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updateLinks="never" codeName="ThisWorkbook" hidePivotFieldList="1" defaultThemeVersion="124226"/>
  <workbookProtection workbookPassword="F90B" lockStructure="1"/>
  <bookViews>
    <workbookView xWindow="-15" yWindow="-15" windowWidth="12120" windowHeight="8250" tabRatio="594" activeTab="7"/>
  </bookViews>
  <sheets>
    <sheet name="1" sheetId="17" r:id="rId1"/>
    <sheet name="Main" sheetId="1" r:id="rId2"/>
    <sheet name="Advance Tax" sheetId="2" r:id="rId3"/>
    <sheet name="W" sheetId="3" state="hidden" r:id="rId4"/>
    <sheet name="IN RPS-2010" sheetId="15" state="hidden" r:id="rId5"/>
    <sheet name="IN RPS-2015" sheetId="4" state="hidden" r:id="rId6"/>
    <sheet name="SB" sheetId="5" r:id="rId7"/>
    <sheet name="Statement" sheetId="6" r:id="rId8"/>
    <sheet name="16" sheetId="7" r:id="rId9"/>
    <sheet name="Rent Receipt" sheetId="8" r:id="rId10"/>
    <sheet name="IHP" sheetId="14" r:id="rId11"/>
    <sheet name="10-IA" sheetId="10" r:id="rId12"/>
    <sheet name="10I" sheetId="11" r:id="rId13"/>
  </sheets>
  <definedNames>
    <definedName name="_xlnm._FilterDatabase" localSheetId="8" hidden="1">'16'!$N$7:$N$126</definedName>
    <definedName name="_xlnm._FilterDatabase" localSheetId="1" hidden="1">Main!$J$3:$L$6</definedName>
    <definedName name="_xlnm._FilterDatabase" localSheetId="6" hidden="1">SB!$L$3:$L$97</definedName>
    <definedName name="_xlnm._FilterDatabase" localSheetId="7" hidden="1">Statement!$Y$3:$Y$34</definedName>
    <definedName name="_xlnm.Print_Area" localSheetId="12">'10I'!$A$1:$G$28</definedName>
    <definedName name="_xlnm.Print_Area" localSheetId="8">'16'!$A$1:$M$126</definedName>
    <definedName name="_xlnm.Print_Area" localSheetId="10">IHP!$A$1:$G$41</definedName>
    <definedName name="_xlnm.Print_Area" localSheetId="9">'Rent Receipt'!$A$1:$S$12</definedName>
    <definedName name="_xlnm.Print_Area" localSheetId="6">SB!$A$1:$K$97</definedName>
    <definedName name="_xlnm.Print_Area" localSheetId="7">Statement!$A$1:$X$30</definedName>
    <definedName name="Z_42E2D281_D8CE_4199_94CF_E6DFE3EDCACD_.wvu.Cols" localSheetId="7" hidden="1">Statement!$AA:$AJ</definedName>
    <definedName name="Z_42E2D281_D8CE_4199_94CF_E6DFE3EDCACD_.wvu.FilterData" localSheetId="1" hidden="1">Main!$J$3:$L$6</definedName>
    <definedName name="Z_42E2D281_D8CE_4199_94CF_E6DFE3EDCACD_.wvu.FilterData" localSheetId="7" hidden="1">Statement!$A$3:$X$28</definedName>
    <definedName name="Z_42E2D281_D8CE_4199_94CF_E6DFE3EDCACD_.wvu.PrintArea" localSheetId="12" hidden="1">'10I'!$A$1:$G$28</definedName>
    <definedName name="Z_42E2D281_D8CE_4199_94CF_E6DFE3EDCACD_.wvu.PrintArea" localSheetId="9" hidden="1">'Rent Receipt'!$A$1:$S$12</definedName>
    <definedName name="Z_42E2D281_D8CE_4199_94CF_E6DFE3EDCACD_.wvu.PrintArea" localSheetId="6" hidden="1">SB!$A$1:$I$96</definedName>
    <definedName name="Z_42E2D281_D8CE_4199_94CF_E6DFE3EDCACD_.wvu.PrintArea" localSheetId="7" hidden="1">Statement!$A$1:$X$30</definedName>
    <definedName name="Z_42E2D281_D8CE_4199_94CF_E6DFE3EDCACD_.wvu.Rows" localSheetId="1" hidden="1">Main!$42:$43</definedName>
    <definedName name="Z_79BDAD5E_470D_413B_AE3A_BBB122EFD8E5_.wvu.Cols" localSheetId="12" hidden="1">'10I'!$H:$H</definedName>
    <definedName name="Z_79BDAD5E_470D_413B_AE3A_BBB122EFD8E5_.wvu.Cols" localSheetId="2" hidden="1">'Advance Tax'!$B:$B</definedName>
    <definedName name="Z_79BDAD5E_470D_413B_AE3A_BBB122EFD8E5_.wvu.Cols" localSheetId="1" hidden="1">Main!$R:$GQ,Main!$ACK:$ACK</definedName>
    <definedName name="Z_79BDAD5E_470D_413B_AE3A_BBB122EFD8E5_.wvu.Cols" localSheetId="7" hidden="1">Statement!$S:$S</definedName>
    <definedName name="Z_79BDAD5E_470D_413B_AE3A_BBB122EFD8E5_.wvu.FilterData" localSheetId="8" hidden="1">'16'!$N$7:$N$126</definedName>
    <definedName name="Z_79BDAD5E_470D_413B_AE3A_BBB122EFD8E5_.wvu.FilterData" localSheetId="1" hidden="1">Main!$J$3:$L$6</definedName>
    <definedName name="Z_79BDAD5E_470D_413B_AE3A_BBB122EFD8E5_.wvu.FilterData" localSheetId="6" hidden="1">SB!$L$3:$L$97</definedName>
    <definedName name="Z_79BDAD5E_470D_413B_AE3A_BBB122EFD8E5_.wvu.FilterData" localSheetId="7" hidden="1">Statement!$Y$3:$Y$34</definedName>
    <definedName name="Z_79BDAD5E_470D_413B_AE3A_BBB122EFD8E5_.wvu.PrintArea" localSheetId="12" hidden="1">'10I'!$A$1:$G$28</definedName>
    <definedName name="Z_79BDAD5E_470D_413B_AE3A_BBB122EFD8E5_.wvu.PrintArea" localSheetId="8" hidden="1">'16'!$A$1:$M$126</definedName>
    <definedName name="Z_79BDAD5E_470D_413B_AE3A_BBB122EFD8E5_.wvu.PrintArea" localSheetId="10" hidden="1">IHP!$A$1:$G$41</definedName>
    <definedName name="Z_79BDAD5E_470D_413B_AE3A_BBB122EFD8E5_.wvu.PrintArea" localSheetId="9" hidden="1">'Rent Receipt'!$A$1:$S$12</definedName>
    <definedName name="Z_79BDAD5E_470D_413B_AE3A_BBB122EFD8E5_.wvu.PrintArea" localSheetId="6" hidden="1">SB!$A$1:$K$97</definedName>
    <definedName name="Z_79BDAD5E_470D_413B_AE3A_BBB122EFD8E5_.wvu.PrintArea" localSheetId="7" hidden="1">Statement!$A$1:$W$30</definedName>
    <definedName name="Z_79BDAD5E_470D_413B_AE3A_BBB122EFD8E5_.wvu.Rows" localSheetId="1" hidden="1">Main!$45:$2128</definedName>
    <definedName name="Z_AF8DD0C3_82AF_40F4_9518_B58C2E7D25DB_.wvu.Cols" localSheetId="12" hidden="1">'10I'!$H:$H</definedName>
    <definedName name="Z_AF8DD0C3_82AF_40F4_9518_B58C2E7D25DB_.wvu.Cols" localSheetId="2" hidden="1">'Advance Tax'!$B:$B</definedName>
    <definedName name="Z_AF8DD0C3_82AF_40F4_9518_B58C2E7D25DB_.wvu.Cols" localSheetId="1" hidden="1">Main!$R:$GL,Main!$ACK:$ACK</definedName>
    <definedName name="Z_AF8DD0C3_82AF_40F4_9518_B58C2E7D25DB_.wvu.Cols" localSheetId="7" hidden="1">Statement!$G:$G</definedName>
    <definedName name="Z_AF8DD0C3_82AF_40F4_9518_B58C2E7D25DB_.wvu.FilterData" localSheetId="8" hidden="1">'16'!$N$7:$N$126</definedName>
    <definedName name="Z_AF8DD0C3_82AF_40F4_9518_B58C2E7D25DB_.wvu.FilterData" localSheetId="1" hidden="1">Main!$J$3:$L$6</definedName>
    <definedName name="Z_AF8DD0C3_82AF_40F4_9518_B58C2E7D25DB_.wvu.FilterData" localSheetId="6" hidden="1">SB!$L$3:$L$97</definedName>
    <definedName name="Z_AF8DD0C3_82AF_40F4_9518_B58C2E7D25DB_.wvu.FilterData" localSheetId="7" hidden="1">Statement!$Y$3:$Y$34</definedName>
    <definedName name="Z_AF8DD0C3_82AF_40F4_9518_B58C2E7D25DB_.wvu.PrintArea" localSheetId="12" hidden="1">'10I'!$A$1:$G$28</definedName>
    <definedName name="Z_AF8DD0C3_82AF_40F4_9518_B58C2E7D25DB_.wvu.PrintArea" localSheetId="8" hidden="1">'16'!$A$1:$M$126</definedName>
    <definedName name="Z_AF8DD0C3_82AF_40F4_9518_B58C2E7D25DB_.wvu.PrintArea" localSheetId="9" hidden="1">'Rent Receipt'!$A$1:$S$12</definedName>
    <definedName name="Z_AF8DD0C3_82AF_40F4_9518_B58C2E7D25DB_.wvu.PrintArea" localSheetId="6" hidden="1">SB!$A$1:$K$97</definedName>
    <definedName name="Z_AF8DD0C3_82AF_40F4_9518_B58C2E7D25DB_.wvu.PrintArea" localSheetId="7" hidden="1">Statement!$A$1:$W$30</definedName>
    <definedName name="Z_AF8DD0C3_82AF_40F4_9518_B58C2E7D25DB_.wvu.Rows" localSheetId="1" hidden="1">Main!$45:$3061</definedName>
  </definedNames>
  <calcPr calcId="144525"/>
  <customWorkbookViews>
    <customWorkbookView name="IBK - Personal View" guid="{AF8DD0C3-82AF-40F4-9518-B58C2E7D25DB}" mergeInterval="0" personalView="1" maximized="1" xWindow="1" yWindow="1" windowWidth="752" windowHeight="332" tabRatio="483" activeSheetId="1"/>
    <customWorkbookView name="I.BALAKRISHNAIAH - Personal View" guid="{42E2D281-D8CE-4199-94CF-E6DFE3EDCACD}" mergeInterval="0" personalView="1" maximized="1" xWindow="1" yWindow="1" windowWidth="796" windowHeight="379" tabRatio="763" activeSheetId="12" showComments="commIndAndComment"/>
    <customWorkbookView name="HARIKA - Personal View" guid="{79BDAD5E-470D-413B-AE3A-BBB122EFD8E5}" mergeInterval="0" personalView="1" maximized="1" windowWidth="1004" windowHeight="540" tabRatio="571" activeSheetId="6"/>
  </customWorkbookViews>
</workbook>
</file>

<file path=xl/calcChain.xml><?xml version="1.0" encoding="utf-8"?>
<calcChain xmlns="http://schemas.openxmlformats.org/spreadsheetml/2006/main">
  <c r="B65" i="5" l="1"/>
  <c r="N21" i="6" l="1"/>
  <c r="X21" i="6" s="1"/>
  <c r="W21" i="6"/>
  <c r="Y21" i="6" l="1"/>
  <c r="H58" i="3"/>
  <c r="H209" i="3" l="1"/>
  <c r="J122" i="1" l="1"/>
  <c r="J130" i="1" l="1"/>
  <c r="K132" i="1"/>
  <c r="K131" i="1"/>
  <c r="K130" i="1"/>
  <c r="K129" i="1"/>
  <c r="YS3" i="1" l="1"/>
  <c r="YS4" i="1"/>
  <c r="YS5" i="1"/>
  <c r="YS6" i="1"/>
  <c r="YS7" i="1"/>
  <c r="YS8" i="1"/>
  <c r="YS9" i="1"/>
  <c r="YS10" i="1"/>
  <c r="YS11" i="1"/>
  <c r="YS12" i="1"/>
  <c r="YS13" i="1"/>
  <c r="YS14" i="1"/>
  <c r="YS15" i="1"/>
  <c r="YS16" i="1"/>
  <c r="YS17" i="1"/>
  <c r="YS18" i="1"/>
  <c r="YS19" i="1"/>
  <c r="YS20" i="1"/>
  <c r="YS21" i="1"/>
  <c r="YS22" i="1"/>
  <c r="YS23" i="1"/>
  <c r="YS24" i="1"/>
  <c r="YS25" i="1"/>
  <c r="YS26" i="1"/>
  <c r="YS27" i="1"/>
  <c r="YS28" i="1"/>
  <c r="YS29" i="1"/>
  <c r="YS30" i="1"/>
  <c r="YS31" i="1"/>
  <c r="YS32" i="1"/>
  <c r="YS33" i="1"/>
  <c r="YS34" i="1"/>
  <c r="YS35" i="1"/>
  <c r="YS36" i="1"/>
  <c r="YS37" i="1"/>
  <c r="YS38" i="1"/>
  <c r="YS39" i="1"/>
  <c r="YS40" i="1"/>
  <c r="YS41" i="1"/>
  <c r="YS42" i="1"/>
  <c r="YS43" i="1"/>
  <c r="YS44" i="1"/>
  <c r="YS45" i="1"/>
  <c r="YS46" i="1"/>
  <c r="YS47" i="1"/>
  <c r="YS48" i="1"/>
  <c r="YS49" i="1"/>
  <c r="YS50" i="1"/>
  <c r="YS51" i="1"/>
  <c r="YS52" i="1"/>
  <c r="YS53" i="1"/>
  <c r="YS54" i="1"/>
  <c r="YS55" i="1"/>
  <c r="YS56" i="1"/>
  <c r="YS57" i="1"/>
  <c r="YS58" i="1"/>
  <c r="YS59" i="1"/>
  <c r="YS60" i="1"/>
  <c r="YS61" i="1"/>
  <c r="YS62" i="1"/>
  <c r="YS63" i="1"/>
  <c r="YS64" i="1"/>
  <c r="YS65" i="1"/>
  <c r="YS66" i="1"/>
  <c r="YS67" i="1"/>
  <c r="YS68" i="1"/>
  <c r="YS69" i="1"/>
  <c r="YS70" i="1"/>
  <c r="YS71" i="1"/>
  <c r="YS72" i="1"/>
  <c r="YS73" i="1"/>
  <c r="YS74" i="1"/>
  <c r="YS75" i="1"/>
  <c r="YS76" i="1"/>
  <c r="YS77" i="1"/>
  <c r="YS78" i="1"/>
  <c r="YS79" i="1"/>
  <c r="YS80" i="1"/>
  <c r="YS81" i="1"/>
  <c r="YS82" i="1"/>
  <c r="YS83" i="1"/>
  <c r="YS84" i="1"/>
  <c r="YS85" i="1"/>
  <c r="YS86" i="1"/>
  <c r="YS87" i="1"/>
  <c r="YS88" i="1"/>
  <c r="YS89" i="1"/>
  <c r="YS90" i="1"/>
  <c r="YS91" i="1"/>
  <c r="YS92" i="1"/>
  <c r="YS93" i="1"/>
  <c r="YS94" i="1"/>
  <c r="YS95" i="1"/>
  <c r="YS96" i="1"/>
  <c r="YS97" i="1"/>
  <c r="YS98" i="1"/>
  <c r="YS99" i="1"/>
  <c r="YS100" i="1"/>
  <c r="YS101" i="1"/>
  <c r="YS102" i="1"/>
  <c r="YS103" i="1"/>
  <c r="YS104" i="1"/>
  <c r="YS105" i="1"/>
  <c r="YS106" i="1"/>
  <c r="YS107" i="1"/>
  <c r="YS108" i="1"/>
  <c r="YS109" i="1"/>
  <c r="YS110" i="1"/>
  <c r="YS111" i="1"/>
  <c r="YS112" i="1"/>
  <c r="YS113" i="1"/>
  <c r="YS114" i="1"/>
  <c r="YS115" i="1"/>
  <c r="YS116" i="1"/>
  <c r="YS117" i="1"/>
  <c r="YS118" i="1"/>
  <c r="YS119" i="1"/>
  <c r="YS120" i="1"/>
  <c r="YS121" i="1"/>
  <c r="YS122" i="1"/>
  <c r="YS123" i="1"/>
  <c r="YS124" i="1"/>
  <c r="YS125" i="1"/>
  <c r="YS126" i="1"/>
  <c r="YS127" i="1"/>
  <c r="YS128" i="1"/>
  <c r="YS129" i="1"/>
  <c r="YS130" i="1"/>
  <c r="YS131" i="1"/>
  <c r="YS132" i="1"/>
  <c r="YS133" i="1"/>
  <c r="YS134" i="1"/>
  <c r="YS135" i="1"/>
  <c r="YS136" i="1"/>
  <c r="YS137" i="1"/>
  <c r="YS138" i="1"/>
  <c r="YS139" i="1"/>
  <c r="YS140" i="1"/>
  <c r="YS141" i="1"/>
  <c r="YS142" i="1"/>
  <c r="YS143" i="1"/>
  <c r="YS144" i="1"/>
  <c r="YS145" i="1"/>
  <c r="YS146" i="1"/>
  <c r="YS147" i="1"/>
  <c r="YS148" i="1"/>
  <c r="YS149" i="1"/>
  <c r="YS150" i="1"/>
  <c r="YS151" i="1"/>
  <c r="YS152" i="1"/>
  <c r="YS153" i="1"/>
  <c r="YS154" i="1"/>
  <c r="YS155" i="1"/>
  <c r="YS156" i="1"/>
  <c r="YS157" i="1"/>
  <c r="YS158" i="1"/>
  <c r="YS159" i="1"/>
  <c r="YS160" i="1"/>
  <c r="YS161" i="1"/>
  <c r="YS162" i="1"/>
  <c r="YS163" i="1"/>
  <c r="YS164" i="1"/>
  <c r="YS165" i="1"/>
  <c r="YS166" i="1"/>
  <c r="YS167" i="1"/>
  <c r="YS168" i="1"/>
  <c r="YS169" i="1"/>
  <c r="YS170" i="1"/>
  <c r="YS171" i="1"/>
  <c r="YS172" i="1"/>
  <c r="YS173" i="1"/>
  <c r="YS174" i="1"/>
  <c r="YS175" i="1"/>
  <c r="YS176" i="1"/>
  <c r="YS177" i="1"/>
  <c r="YS178" i="1"/>
  <c r="YS179" i="1"/>
  <c r="YS180" i="1"/>
  <c r="YS181" i="1"/>
  <c r="YS182" i="1"/>
  <c r="YS183" i="1"/>
  <c r="YS184" i="1"/>
  <c r="YS185" i="1"/>
  <c r="YS186" i="1"/>
  <c r="YS187" i="1"/>
  <c r="YS188" i="1"/>
  <c r="YS189" i="1"/>
  <c r="YS190" i="1"/>
  <c r="YS191" i="1"/>
  <c r="YS192" i="1"/>
  <c r="YS193" i="1"/>
  <c r="YS194" i="1"/>
  <c r="YS195" i="1"/>
  <c r="YS196" i="1"/>
  <c r="YS197" i="1"/>
  <c r="YS198" i="1"/>
  <c r="YS199" i="1"/>
  <c r="YS200" i="1"/>
  <c r="YS201" i="1"/>
  <c r="YS202" i="1"/>
  <c r="YS203" i="1"/>
  <c r="YS204" i="1"/>
  <c r="YS205" i="1"/>
  <c r="YS206" i="1"/>
  <c r="YS207" i="1"/>
  <c r="YS208" i="1"/>
  <c r="YS209" i="1"/>
  <c r="YS210" i="1"/>
  <c r="YS211" i="1"/>
  <c r="YS212" i="1"/>
  <c r="YS213" i="1"/>
  <c r="YS214" i="1"/>
  <c r="YS215" i="1"/>
  <c r="YS216" i="1"/>
  <c r="YS217" i="1"/>
  <c r="YS218" i="1"/>
  <c r="YS219" i="1"/>
  <c r="YS220" i="1"/>
  <c r="YS221" i="1"/>
  <c r="YS222" i="1"/>
  <c r="YS223" i="1"/>
  <c r="YS224" i="1"/>
  <c r="YS225" i="1"/>
  <c r="YS226" i="1"/>
  <c r="YS227" i="1"/>
  <c r="YS228" i="1"/>
  <c r="YS229" i="1"/>
  <c r="YS230" i="1"/>
  <c r="YS231" i="1"/>
  <c r="YS232" i="1"/>
  <c r="YS233" i="1"/>
  <c r="YS234" i="1"/>
  <c r="YS235" i="1"/>
  <c r="YS236" i="1"/>
  <c r="YS237" i="1"/>
  <c r="YS238" i="1"/>
  <c r="YS239" i="1"/>
  <c r="YS240" i="1"/>
  <c r="YS241" i="1"/>
  <c r="YS242" i="1"/>
  <c r="YS243" i="1"/>
  <c r="YS244" i="1"/>
  <c r="YS245" i="1"/>
  <c r="YS246" i="1"/>
  <c r="YS247" i="1"/>
  <c r="YS248" i="1"/>
  <c r="YS249" i="1"/>
  <c r="YS250" i="1"/>
  <c r="YS251" i="1"/>
  <c r="YS252" i="1"/>
  <c r="YS253" i="1"/>
  <c r="YS254" i="1"/>
  <c r="YS255" i="1"/>
  <c r="YS256" i="1"/>
  <c r="YS257" i="1"/>
  <c r="YS258" i="1"/>
  <c r="YS259" i="1"/>
  <c r="YS260" i="1"/>
  <c r="YS261" i="1"/>
  <c r="YS262" i="1"/>
  <c r="YS263" i="1"/>
  <c r="YS264" i="1"/>
  <c r="YS265" i="1"/>
  <c r="YS266" i="1"/>
  <c r="YS267" i="1"/>
  <c r="YS268" i="1"/>
  <c r="YS269" i="1"/>
  <c r="YS270" i="1"/>
  <c r="YS271" i="1"/>
  <c r="YS272" i="1"/>
  <c r="YS273" i="1"/>
  <c r="YS274" i="1"/>
  <c r="YS275" i="1"/>
  <c r="YS276" i="1"/>
  <c r="YS277" i="1"/>
  <c r="YS278" i="1"/>
  <c r="YS279" i="1"/>
  <c r="YS280" i="1"/>
  <c r="YS281" i="1"/>
  <c r="YS282" i="1"/>
  <c r="YS283" i="1"/>
  <c r="YS284" i="1"/>
  <c r="YS285" i="1"/>
  <c r="YS286" i="1"/>
  <c r="YS287" i="1"/>
  <c r="YS288" i="1"/>
  <c r="YS289" i="1"/>
  <c r="YS290" i="1"/>
  <c r="YS291" i="1"/>
  <c r="YS292" i="1"/>
  <c r="YS293" i="1"/>
  <c r="YS294" i="1"/>
  <c r="YS295" i="1"/>
  <c r="YS296" i="1"/>
  <c r="YS297" i="1"/>
  <c r="YS298" i="1"/>
  <c r="YS299" i="1"/>
  <c r="YS300" i="1"/>
  <c r="YS301" i="1"/>
  <c r="YS302" i="1"/>
  <c r="YS303" i="1"/>
  <c r="YS304" i="1"/>
  <c r="YS305" i="1"/>
  <c r="YS306" i="1"/>
  <c r="YS307" i="1"/>
  <c r="YS308" i="1"/>
  <c r="YS309" i="1"/>
  <c r="YS310" i="1"/>
  <c r="YS311" i="1"/>
  <c r="YS312" i="1"/>
  <c r="YS313" i="1"/>
  <c r="YS314" i="1"/>
  <c r="YS315" i="1"/>
  <c r="YS316" i="1"/>
  <c r="YS317" i="1"/>
  <c r="YS318" i="1"/>
  <c r="YS319" i="1"/>
  <c r="YS320" i="1"/>
  <c r="YS321" i="1"/>
  <c r="YS322" i="1"/>
  <c r="YS323" i="1"/>
  <c r="YS324" i="1"/>
  <c r="YS325" i="1"/>
  <c r="YS326" i="1"/>
  <c r="YS327" i="1"/>
  <c r="YS328" i="1"/>
  <c r="YS329" i="1"/>
  <c r="YS330" i="1"/>
  <c r="YS331" i="1"/>
  <c r="YS332" i="1"/>
  <c r="YS333" i="1"/>
  <c r="YS334" i="1"/>
  <c r="YS335" i="1"/>
  <c r="YS336" i="1"/>
  <c r="YS337" i="1"/>
  <c r="YS338" i="1"/>
  <c r="YS339" i="1"/>
  <c r="YS340" i="1"/>
  <c r="YS341" i="1"/>
  <c r="YS342" i="1"/>
  <c r="YS343" i="1"/>
  <c r="YS344" i="1"/>
  <c r="YS345" i="1"/>
  <c r="YS346" i="1"/>
  <c r="YS347" i="1"/>
  <c r="YS348" i="1"/>
  <c r="YS349" i="1"/>
  <c r="YS350" i="1"/>
  <c r="YS351" i="1"/>
  <c r="YS352" i="1"/>
  <c r="YS353" i="1"/>
  <c r="YS354" i="1"/>
  <c r="YS355" i="1"/>
  <c r="YS356" i="1"/>
  <c r="YS357" i="1"/>
  <c r="YS358" i="1"/>
  <c r="YS359" i="1"/>
  <c r="YS360" i="1"/>
  <c r="YS361" i="1"/>
  <c r="YS362" i="1"/>
  <c r="YS363" i="1"/>
  <c r="YS364" i="1"/>
  <c r="YS365" i="1"/>
  <c r="YS366" i="1"/>
  <c r="YS367" i="1"/>
  <c r="YS368" i="1"/>
  <c r="YS369" i="1"/>
  <c r="YS370" i="1"/>
  <c r="YS371" i="1"/>
  <c r="YS372" i="1"/>
  <c r="YS373" i="1"/>
  <c r="YS374" i="1"/>
  <c r="YS375" i="1"/>
  <c r="YS376" i="1"/>
  <c r="YS377" i="1"/>
  <c r="YS378" i="1"/>
  <c r="YS379" i="1"/>
  <c r="YS380" i="1"/>
  <c r="YS381" i="1"/>
  <c r="YS382" i="1"/>
  <c r="YS383" i="1"/>
  <c r="YS384" i="1"/>
  <c r="YS385" i="1"/>
  <c r="YS386" i="1"/>
  <c r="YS387" i="1"/>
  <c r="YS388" i="1"/>
  <c r="YS389" i="1"/>
  <c r="YS390" i="1"/>
  <c r="YS391" i="1"/>
  <c r="YS392" i="1"/>
  <c r="YS393" i="1"/>
  <c r="YS394" i="1"/>
  <c r="YS395" i="1"/>
  <c r="YS396" i="1"/>
  <c r="YS397" i="1"/>
  <c r="YS398" i="1"/>
  <c r="YS399" i="1"/>
  <c r="YS400" i="1"/>
  <c r="YS401" i="1"/>
  <c r="YS402" i="1"/>
  <c r="YS403" i="1"/>
  <c r="YS404" i="1"/>
  <c r="YS405" i="1"/>
  <c r="YS406" i="1"/>
  <c r="YS407" i="1"/>
  <c r="YS408" i="1"/>
  <c r="YS409" i="1"/>
  <c r="YS410" i="1"/>
  <c r="YS411" i="1"/>
  <c r="YS412" i="1"/>
  <c r="YS413" i="1"/>
  <c r="YS414" i="1"/>
  <c r="YS415" i="1"/>
  <c r="YS416" i="1"/>
  <c r="YS417" i="1"/>
  <c r="YS418" i="1"/>
  <c r="YS419" i="1"/>
  <c r="YS420" i="1"/>
  <c r="YS421" i="1"/>
  <c r="YS422" i="1"/>
  <c r="YS423" i="1"/>
  <c r="YS424" i="1"/>
  <c r="YS425" i="1"/>
  <c r="YS426" i="1"/>
  <c r="YS427" i="1"/>
  <c r="YS428" i="1"/>
  <c r="YS429" i="1"/>
  <c r="YS430" i="1"/>
  <c r="YS431" i="1"/>
  <c r="YS432" i="1"/>
  <c r="YS433" i="1"/>
  <c r="YS434" i="1"/>
  <c r="YS435" i="1"/>
  <c r="YS436" i="1"/>
  <c r="YS437" i="1"/>
  <c r="YS438" i="1"/>
  <c r="YS439" i="1"/>
  <c r="YS440" i="1"/>
  <c r="YS441" i="1"/>
  <c r="YS442" i="1"/>
  <c r="YS443" i="1"/>
  <c r="YS444" i="1"/>
  <c r="YS445" i="1"/>
  <c r="YS446" i="1"/>
  <c r="YS447" i="1"/>
  <c r="YS448" i="1"/>
  <c r="YS449" i="1"/>
  <c r="YS450" i="1"/>
  <c r="YS451" i="1"/>
  <c r="YS452" i="1"/>
  <c r="YS453" i="1"/>
  <c r="YS454" i="1"/>
  <c r="YS455" i="1"/>
  <c r="YS456" i="1"/>
  <c r="YS457" i="1"/>
  <c r="YS458" i="1"/>
  <c r="YS459" i="1"/>
  <c r="YS460" i="1"/>
  <c r="YS461" i="1"/>
  <c r="YS462" i="1"/>
  <c r="YS463" i="1"/>
  <c r="YS464" i="1"/>
  <c r="YS465" i="1"/>
  <c r="YS466" i="1"/>
  <c r="YS467" i="1"/>
  <c r="YS468" i="1"/>
  <c r="YS469" i="1"/>
  <c r="YS470" i="1"/>
  <c r="YS471" i="1"/>
  <c r="YS472" i="1"/>
  <c r="YS473" i="1"/>
  <c r="YS474" i="1"/>
  <c r="YS475" i="1"/>
  <c r="YS476" i="1"/>
  <c r="YS477" i="1"/>
  <c r="YS478" i="1"/>
  <c r="YS479" i="1"/>
  <c r="YS480" i="1"/>
  <c r="YS481" i="1"/>
  <c r="YS482" i="1"/>
  <c r="YS483" i="1"/>
  <c r="YS484" i="1"/>
  <c r="YS485" i="1"/>
  <c r="YS486" i="1"/>
  <c r="YS487" i="1"/>
  <c r="YS488" i="1"/>
  <c r="YS489" i="1"/>
  <c r="YS490" i="1"/>
  <c r="YS491" i="1"/>
  <c r="YS492" i="1"/>
  <c r="YS493" i="1"/>
  <c r="YS494" i="1"/>
  <c r="YS495" i="1"/>
  <c r="YS496" i="1"/>
  <c r="YS497" i="1"/>
  <c r="YS498" i="1"/>
  <c r="YS499" i="1"/>
  <c r="YS500" i="1"/>
  <c r="YS501" i="1"/>
  <c r="YS502" i="1"/>
  <c r="YS503" i="1"/>
  <c r="YS504" i="1"/>
  <c r="YS505" i="1"/>
  <c r="YS506" i="1"/>
  <c r="YS507" i="1"/>
  <c r="YS508" i="1"/>
  <c r="YS509" i="1"/>
  <c r="YS510" i="1"/>
  <c r="YS511" i="1"/>
  <c r="YS512" i="1"/>
  <c r="YS513" i="1"/>
  <c r="YS514" i="1"/>
  <c r="YS515" i="1"/>
  <c r="YS516" i="1"/>
  <c r="YS517" i="1"/>
  <c r="YS518" i="1"/>
  <c r="YS519" i="1"/>
  <c r="YS520" i="1"/>
  <c r="YS521" i="1"/>
  <c r="YS522" i="1"/>
  <c r="YS523" i="1"/>
  <c r="YS524" i="1"/>
  <c r="YS525" i="1"/>
  <c r="YS526" i="1"/>
  <c r="YS527" i="1"/>
  <c r="YS528" i="1"/>
  <c r="YS529" i="1"/>
  <c r="YS530" i="1"/>
  <c r="YS531" i="1"/>
  <c r="YS532" i="1"/>
  <c r="YS533" i="1"/>
  <c r="YS534" i="1"/>
  <c r="YS535" i="1"/>
  <c r="YS536" i="1"/>
  <c r="YS537" i="1"/>
  <c r="YS538" i="1"/>
  <c r="YS539" i="1"/>
  <c r="YS540" i="1"/>
  <c r="YS541" i="1"/>
  <c r="YS542" i="1"/>
  <c r="YS543" i="1"/>
  <c r="YS544" i="1"/>
  <c r="YS545" i="1"/>
  <c r="YS546" i="1"/>
  <c r="YS547" i="1"/>
  <c r="YS548" i="1"/>
  <c r="YS549" i="1"/>
  <c r="YS550" i="1"/>
  <c r="YS551" i="1"/>
  <c r="YS552" i="1"/>
  <c r="YS553" i="1"/>
  <c r="YS554" i="1"/>
  <c r="YS555" i="1"/>
  <c r="YS556" i="1"/>
  <c r="YS557" i="1"/>
  <c r="YS558" i="1"/>
  <c r="YS559" i="1"/>
  <c r="YS560" i="1"/>
  <c r="YS561" i="1"/>
  <c r="YS562" i="1"/>
  <c r="YS563" i="1"/>
  <c r="YS564" i="1"/>
  <c r="YS565" i="1"/>
  <c r="YS566" i="1"/>
  <c r="YS567" i="1"/>
  <c r="YS568" i="1"/>
  <c r="YS569" i="1"/>
  <c r="YS570" i="1"/>
  <c r="YS571" i="1"/>
  <c r="YS572" i="1"/>
  <c r="YS573" i="1"/>
  <c r="YS574" i="1"/>
  <c r="YS575" i="1"/>
  <c r="YS576" i="1"/>
  <c r="YS577" i="1"/>
  <c r="YS578" i="1"/>
  <c r="YS579" i="1"/>
  <c r="YS580" i="1"/>
  <c r="YS581" i="1"/>
  <c r="YS582" i="1"/>
  <c r="YS583" i="1"/>
  <c r="YS584" i="1"/>
  <c r="YS585" i="1"/>
  <c r="YS586" i="1"/>
  <c r="YS587" i="1"/>
  <c r="YS588" i="1"/>
  <c r="YS589" i="1"/>
  <c r="YS590" i="1"/>
  <c r="YS591" i="1"/>
  <c r="YS592" i="1"/>
  <c r="YS593" i="1"/>
  <c r="YS594" i="1"/>
  <c r="YS595" i="1"/>
  <c r="YS596" i="1"/>
  <c r="YS597" i="1"/>
  <c r="YS598" i="1"/>
  <c r="YS599" i="1"/>
  <c r="YS600" i="1"/>
  <c r="YS601" i="1"/>
  <c r="YS602" i="1"/>
  <c r="YS603" i="1"/>
  <c r="YS604" i="1"/>
  <c r="YS605" i="1"/>
  <c r="YS606" i="1"/>
  <c r="YS607" i="1"/>
  <c r="YS608" i="1"/>
  <c r="YS609" i="1"/>
  <c r="YS610" i="1"/>
  <c r="YS611" i="1"/>
  <c r="YS612" i="1"/>
  <c r="YS613" i="1"/>
  <c r="YS614" i="1"/>
  <c r="YS615" i="1"/>
  <c r="YS616" i="1"/>
  <c r="YS617" i="1"/>
  <c r="YS618" i="1"/>
  <c r="YS619" i="1"/>
  <c r="YS620" i="1"/>
  <c r="YS621" i="1"/>
  <c r="YS622" i="1"/>
  <c r="YS623" i="1"/>
  <c r="YS624" i="1"/>
  <c r="YS625" i="1"/>
  <c r="YS626" i="1"/>
  <c r="YS627" i="1"/>
  <c r="YS628" i="1"/>
  <c r="YS629" i="1"/>
  <c r="YS630" i="1"/>
  <c r="YS631" i="1"/>
  <c r="YS632" i="1"/>
  <c r="YS633" i="1"/>
  <c r="YS634" i="1"/>
  <c r="YS635" i="1"/>
  <c r="YS636" i="1"/>
  <c r="YS637" i="1"/>
  <c r="YS638" i="1"/>
  <c r="YS639" i="1"/>
  <c r="YS640" i="1"/>
  <c r="YS641" i="1"/>
  <c r="YS642" i="1"/>
  <c r="YS643" i="1"/>
  <c r="YS644" i="1"/>
  <c r="YS645" i="1"/>
  <c r="YS646" i="1"/>
  <c r="YS647" i="1"/>
  <c r="YS648" i="1"/>
  <c r="YS649" i="1"/>
  <c r="YS650" i="1"/>
  <c r="YS651" i="1"/>
  <c r="YS652" i="1"/>
  <c r="YS653" i="1"/>
  <c r="YS654" i="1"/>
  <c r="YS655" i="1"/>
  <c r="YS656" i="1"/>
  <c r="YS657" i="1"/>
  <c r="YS658" i="1"/>
  <c r="YS659" i="1"/>
  <c r="YS660" i="1"/>
  <c r="YS661" i="1"/>
  <c r="YS662" i="1"/>
  <c r="YS663" i="1"/>
  <c r="YS664" i="1"/>
  <c r="YS665" i="1"/>
  <c r="YS666" i="1"/>
  <c r="YS667" i="1"/>
  <c r="YS668" i="1"/>
  <c r="YS669" i="1"/>
  <c r="YS670" i="1"/>
  <c r="YS671" i="1"/>
  <c r="YS672" i="1"/>
  <c r="YS673" i="1"/>
  <c r="YS674" i="1"/>
  <c r="YS675" i="1"/>
  <c r="YS676" i="1"/>
  <c r="YS677" i="1"/>
  <c r="YS678" i="1"/>
  <c r="YS679" i="1"/>
  <c r="YS680" i="1"/>
  <c r="YS681" i="1"/>
  <c r="YS682" i="1"/>
  <c r="YS683" i="1"/>
  <c r="YS684" i="1"/>
  <c r="YS685" i="1"/>
  <c r="YS686" i="1"/>
  <c r="YS687" i="1"/>
  <c r="YS688" i="1"/>
  <c r="YS689" i="1"/>
  <c r="YS690" i="1"/>
  <c r="YS691" i="1"/>
  <c r="YS692" i="1"/>
  <c r="YS693" i="1"/>
  <c r="YS694" i="1"/>
  <c r="YS695" i="1"/>
  <c r="YS696" i="1"/>
  <c r="YS697" i="1"/>
  <c r="YS698" i="1"/>
  <c r="YS699" i="1"/>
  <c r="YS700" i="1"/>
  <c r="YS701" i="1"/>
  <c r="YS702" i="1"/>
  <c r="YS703" i="1"/>
  <c r="YS704" i="1"/>
  <c r="YS705" i="1"/>
  <c r="YS706" i="1"/>
  <c r="YS707" i="1"/>
  <c r="YS708" i="1"/>
  <c r="YS709" i="1"/>
  <c r="YS710" i="1"/>
  <c r="YS711" i="1"/>
  <c r="YS712" i="1"/>
  <c r="YS713" i="1"/>
  <c r="YS714" i="1"/>
  <c r="YS715" i="1"/>
  <c r="YS716" i="1"/>
  <c r="YS717" i="1"/>
  <c r="YS718" i="1"/>
  <c r="YS719" i="1"/>
  <c r="YS720" i="1"/>
  <c r="YS721" i="1"/>
  <c r="YS722" i="1"/>
  <c r="YS723" i="1"/>
  <c r="YS724" i="1"/>
  <c r="YS725" i="1"/>
  <c r="YS726" i="1"/>
  <c r="YS727" i="1"/>
  <c r="YS728" i="1"/>
  <c r="YS729" i="1"/>
  <c r="YS730" i="1"/>
  <c r="YS731" i="1"/>
  <c r="YS732" i="1"/>
  <c r="YS733" i="1"/>
  <c r="YS734" i="1"/>
  <c r="YS735" i="1"/>
  <c r="YS736" i="1"/>
  <c r="YS737" i="1"/>
  <c r="YS738" i="1"/>
  <c r="YS739" i="1"/>
  <c r="YS740" i="1"/>
  <c r="YS741" i="1"/>
  <c r="YS742" i="1"/>
  <c r="YS743" i="1"/>
  <c r="YS744" i="1"/>
  <c r="YS745" i="1"/>
  <c r="YS746" i="1"/>
  <c r="YS747" i="1"/>
  <c r="YS748" i="1"/>
  <c r="YS749" i="1"/>
  <c r="YS750" i="1"/>
  <c r="YS751" i="1"/>
  <c r="YS752" i="1"/>
  <c r="YS753" i="1"/>
  <c r="YS754" i="1"/>
  <c r="YS755" i="1"/>
  <c r="YS756" i="1"/>
  <c r="YS757" i="1"/>
  <c r="YS758" i="1"/>
  <c r="YS759" i="1"/>
  <c r="YS760" i="1"/>
  <c r="YS761" i="1"/>
  <c r="YS762" i="1"/>
  <c r="YS763" i="1"/>
  <c r="YS764" i="1"/>
  <c r="YS765" i="1"/>
  <c r="YS766" i="1"/>
  <c r="YS767" i="1"/>
  <c r="YS768" i="1"/>
  <c r="YS769" i="1"/>
  <c r="YS770" i="1"/>
  <c r="YS771" i="1"/>
  <c r="YS772" i="1"/>
  <c r="YS773" i="1"/>
  <c r="YS774" i="1"/>
  <c r="YS775" i="1"/>
  <c r="YS776" i="1"/>
  <c r="YS777" i="1"/>
  <c r="YS778" i="1"/>
  <c r="YS779" i="1"/>
  <c r="YS780" i="1"/>
  <c r="YS781" i="1"/>
  <c r="YS782" i="1"/>
  <c r="YS783" i="1"/>
  <c r="YS784" i="1"/>
  <c r="YS785" i="1"/>
  <c r="YS786" i="1"/>
  <c r="YS787" i="1"/>
  <c r="YS788" i="1"/>
  <c r="YS789" i="1"/>
  <c r="YS790" i="1"/>
  <c r="YS791" i="1"/>
  <c r="YS792" i="1"/>
  <c r="YS793" i="1"/>
  <c r="YS794" i="1"/>
  <c r="YS795" i="1"/>
  <c r="YS796" i="1"/>
  <c r="YS797" i="1"/>
  <c r="YS798" i="1"/>
  <c r="YS799" i="1"/>
  <c r="YS800" i="1"/>
  <c r="YS801" i="1"/>
  <c r="YS802" i="1"/>
  <c r="YS803" i="1"/>
  <c r="YS804" i="1"/>
  <c r="YS805" i="1"/>
  <c r="YS806" i="1"/>
  <c r="YS807" i="1"/>
  <c r="YS808" i="1"/>
  <c r="YS809" i="1"/>
  <c r="YS810" i="1"/>
  <c r="YS811" i="1"/>
  <c r="YS812" i="1"/>
  <c r="YS813" i="1"/>
  <c r="YS814" i="1"/>
  <c r="YS815" i="1"/>
  <c r="YS816" i="1"/>
  <c r="YS817" i="1"/>
  <c r="YS818" i="1"/>
  <c r="YS819" i="1"/>
  <c r="YS820" i="1"/>
  <c r="YS821" i="1"/>
  <c r="YS822" i="1"/>
  <c r="YS823" i="1"/>
  <c r="YS824" i="1"/>
  <c r="YS825" i="1"/>
  <c r="YS826" i="1"/>
  <c r="YS827" i="1"/>
  <c r="YS828" i="1"/>
  <c r="YS829" i="1"/>
  <c r="YS830" i="1"/>
  <c r="YS831" i="1"/>
  <c r="YS832" i="1"/>
  <c r="YS833" i="1"/>
  <c r="YS834" i="1"/>
  <c r="YS835" i="1"/>
  <c r="YS836" i="1"/>
  <c r="YS837" i="1"/>
  <c r="YS838" i="1"/>
  <c r="YS839" i="1"/>
  <c r="YS840" i="1"/>
  <c r="YS841" i="1"/>
  <c r="YS842" i="1"/>
  <c r="YS843" i="1"/>
  <c r="YS844" i="1"/>
  <c r="YS845" i="1"/>
  <c r="YS846" i="1"/>
  <c r="YS847" i="1"/>
  <c r="YS848" i="1"/>
  <c r="YS849" i="1"/>
  <c r="YS850" i="1"/>
  <c r="YS851" i="1"/>
  <c r="YS852" i="1"/>
  <c r="YS853" i="1"/>
  <c r="YS854" i="1"/>
  <c r="YS855" i="1"/>
  <c r="YS856" i="1"/>
  <c r="YS857" i="1"/>
  <c r="YS858" i="1"/>
  <c r="YS859" i="1"/>
  <c r="YS860" i="1"/>
  <c r="YS861" i="1"/>
  <c r="YS862" i="1"/>
  <c r="YS863" i="1"/>
  <c r="YS864" i="1"/>
  <c r="YS865" i="1"/>
  <c r="YS866" i="1"/>
  <c r="YS867" i="1"/>
  <c r="YS868" i="1"/>
  <c r="YS869" i="1"/>
  <c r="YS870" i="1"/>
  <c r="YS871" i="1"/>
  <c r="YS872" i="1"/>
  <c r="YS873" i="1"/>
  <c r="YS874" i="1"/>
  <c r="YS875" i="1"/>
  <c r="YS876" i="1"/>
  <c r="YS877" i="1"/>
  <c r="YS878" i="1"/>
  <c r="YS879" i="1"/>
  <c r="YS880" i="1"/>
  <c r="YS881" i="1"/>
  <c r="YS882" i="1"/>
  <c r="YS883" i="1"/>
  <c r="YS884" i="1"/>
  <c r="YS885" i="1"/>
  <c r="YS886" i="1"/>
  <c r="YS887" i="1"/>
  <c r="YS888" i="1"/>
  <c r="YS889" i="1"/>
  <c r="YS890" i="1"/>
  <c r="YS891" i="1"/>
  <c r="YS892" i="1"/>
  <c r="YS893" i="1"/>
  <c r="YS894" i="1"/>
  <c r="YS895" i="1"/>
  <c r="YS896" i="1"/>
  <c r="YS897" i="1"/>
  <c r="YS898" i="1"/>
  <c r="YS899" i="1"/>
  <c r="YS900" i="1"/>
  <c r="YS901" i="1"/>
  <c r="YS902" i="1"/>
  <c r="YS903" i="1"/>
  <c r="YS904" i="1"/>
  <c r="YS905" i="1"/>
  <c r="YS906" i="1"/>
  <c r="YS907" i="1"/>
  <c r="YS908" i="1"/>
  <c r="YS909" i="1"/>
  <c r="YS910" i="1"/>
  <c r="YS911" i="1"/>
  <c r="YS912" i="1"/>
  <c r="YS913" i="1"/>
  <c r="YS914" i="1"/>
  <c r="YS915" i="1"/>
  <c r="YS916" i="1"/>
  <c r="YS917" i="1"/>
  <c r="YS918" i="1"/>
  <c r="YS919" i="1"/>
  <c r="YS920" i="1"/>
  <c r="YS921" i="1"/>
  <c r="YS922" i="1"/>
  <c r="YS923" i="1"/>
  <c r="YS924" i="1"/>
  <c r="YS925" i="1"/>
  <c r="YS926" i="1"/>
  <c r="YS927" i="1"/>
  <c r="YS928" i="1"/>
  <c r="YS929" i="1"/>
  <c r="YS930" i="1"/>
  <c r="YS931" i="1"/>
  <c r="YS932" i="1"/>
  <c r="YS933" i="1"/>
  <c r="YS934" i="1"/>
  <c r="YS935" i="1"/>
  <c r="YS936" i="1"/>
  <c r="YS937" i="1"/>
  <c r="YS938" i="1"/>
  <c r="YS939" i="1"/>
  <c r="YS940" i="1"/>
  <c r="YS941" i="1"/>
  <c r="YS942" i="1"/>
  <c r="YS943" i="1"/>
  <c r="YS944" i="1"/>
  <c r="YS945" i="1"/>
  <c r="YS946" i="1"/>
  <c r="YS947" i="1"/>
  <c r="YS948" i="1"/>
  <c r="YS949" i="1"/>
  <c r="YS950" i="1"/>
  <c r="YS951" i="1"/>
  <c r="YS952" i="1"/>
  <c r="YS953" i="1"/>
  <c r="YS954" i="1"/>
  <c r="YS955" i="1"/>
  <c r="YS956" i="1"/>
  <c r="YS957" i="1"/>
  <c r="YS958" i="1"/>
  <c r="YS959" i="1"/>
  <c r="YS960" i="1"/>
  <c r="YS961" i="1"/>
  <c r="YS962" i="1"/>
  <c r="YS963" i="1"/>
  <c r="YS964" i="1"/>
  <c r="YS965" i="1"/>
  <c r="YS966" i="1"/>
  <c r="YS967" i="1"/>
  <c r="YS968" i="1"/>
  <c r="YS969" i="1"/>
  <c r="YS970" i="1"/>
  <c r="YS971" i="1"/>
  <c r="YS972" i="1"/>
  <c r="YS973" i="1"/>
  <c r="YS974" i="1"/>
  <c r="YS975" i="1"/>
  <c r="YS976" i="1"/>
  <c r="YS977" i="1"/>
  <c r="YS978" i="1"/>
  <c r="YS979" i="1"/>
  <c r="YS980" i="1"/>
  <c r="YS981" i="1"/>
  <c r="YS982" i="1"/>
  <c r="YS983" i="1"/>
  <c r="YS984" i="1"/>
  <c r="YS985" i="1"/>
  <c r="YS986" i="1"/>
  <c r="YS987" i="1"/>
  <c r="YS988" i="1"/>
  <c r="YS989" i="1"/>
  <c r="YS990" i="1"/>
  <c r="YS991" i="1"/>
  <c r="YS992" i="1"/>
  <c r="YS993" i="1"/>
  <c r="YS994" i="1"/>
  <c r="YS995" i="1"/>
  <c r="YS996" i="1"/>
  <c r="YS997" i="1"/>
  <c r="YS998" i="1"/>
  <c r="YS999" i="1"/>
  <c r="YS1000" i="1"/>
  <c r="YS1001" i="1"/>
  <c r="YS1002" i="1"/>
  <c r="YS1003" i="1"/>
  <c r="YS1004" i="1"/>
  <c r="YS1005" i="1"/>
  <c r="YS1006" i="1"/>
  <c r="YS1007" i="1"/>
  <c r="YS1008" i="1"/>
  <c r="YS1009" i="1"/>
  <c r="YS1010" i="1"/>
  <c r="YS1011" i="1"/>
  <c r="YS1012" i="1"/>
  <c r="YS1013" i="1"/>
  <c r="YS1014" i="1"/>
  <c r="YS1015" i="1"/>
  <c r="YS1016" i="1"/>
  <c r="YS1017" i="1"/>
  <c r="YS1018" i="1"/>
  <c r="YS1019" i="1"/>
  <c r="YS1020" i="1"/>
  <c r="YS1021" i="1"/>
  <c r="YS1022" i="1"/>
  <c r="YS1023" i="1"/>
  <c r="YS1024" i="1"/>
  <c r="YS1025" i="1"/>
  <c r="YS1026" i="1"/>
  <c r="YS1027" i="1"/>
  <c r="YS1028" i="1"/>
  <c r="YS1029" i="1"/>
  <c r="YS1030" i="1"/>
  <c r="YS1031" i="1"/>
  <c r="YS1032" i="1"/>
  <c r="YS1033" i="1"/>
  <c r="YS1034" i="1"/>
  <c r="YS1035" i="1"/>
  <c r="YS1036" i="1"/>
  <c r="YS1037" i="1"/>
  <c r="YS1038" i="1"/>
  <c r="YS1039" i="1"/>
  <c r="YS1040" i="1"/>
  <c r="YS1041" i="1"/>
  <c r="YS1042" i="1"/>
  <c r="YS1043" i="1"/>
  <c r="YS1044" i="1"/>
  <c r="YS1045" i="1"/>
  <c r="YS1046" i="1"/>
  <c r="YS1047" i="1"/>
  <c r="YS1048" i="1"/>
  <c r="YS1049" i="1"/>
  <c r="YS1050" i="1"/>
  <c r="YS1051" i="1"/>
  <c r="YS1052" i="1"/>
  <c r="YS1053" i="1"/>
  <c r="YS1054" i="1"/>
  <c r="YS1055" i="1"/>
  <c r="YS1056" i="1"/>
  <c r="YS1057" i="1"/>
  <c r="YS1058" i="1"/>
  <c r="YS1059" i="1"/>
  <c r="YS1060" i="1"/>
  <c r="YS1061" i="1"/>
  <c r="YS1062" i="1"/>
  <c r="YS1063" i="1"/>
  <c r="YS1064" i="1"/>
  <c r="YS1065" i="1"/>
  <c r="YS1066" i="1"/>
  <c r="YS1067" i="1"/>
  <c r="YS1068" i="1"/>
  <c r="YS1069" i="1"/>
  <c r="YS1070" i="1"/>
  <c r="YS1071" i="1"/>
  <c r="YS1072" i="1"/>
  <c r="YS1073" i="1"/>
  <c r="YS1074" i="1"/>
  <c r="YS1075" i="1"/>
  <c r="YS1076" i="1"/>
  <c r="YS1077" i="1"/>
  <c r="YS1078" i="1"/>
  <c r="YS1079" i="1"/>
  <c r="YS1080" i="1"/>
  <c r="YS1081" i="1"/>
  <c r="YS1082" i="1"/>
  <c r="YS1083" i="1"/>
  <c r="YS1084" i="1"/>
  <c r="YS1085" i="1"/>
  <c r="YS1086" i="1"/>
  <c r="YS1087" i="1"/>
  <c r="YS1088" i="1"/>
  <c r="YS1089" i="1"/>
  <c r="YS1090" i="1"/>
  <c r="YS1091" i="1"/>
  <c r="YS1092" i="1"/>
  <c r="YS1093" i="1"/>
  <c r="YS1094" i="1"/>
  <c r="YS1095" i="1"/>
  <c r="YS1096" i="1"/>
  <c r="YS1097" i="1"/>
  <c r="YS1098" i="1"/>
  <c r="YS1099" i="1"/>
  <c r="YS1100" i="1"/>
  <c r="YS1101" i="1"/>
  <c r="YS1102" i="1"/>
  <c r="YS1103" i="1"/>
  <c r="YS1104" i="1"/>
  <c r="YS1105" i="1"/>
  <c r="YS1106" i="1"/>
  <c r="YS1107" i="1"/>
  <c r="YS1108" i="1"/>
  <c r="YS1109" i="1"/>
  <c r="YS1110" i="1"/>
  <c r="YS1111" i="1"/>
  <c r="YS1112" i="1"/>
  <c r="YS1113" i="1"/>
  <c r="YS1114" i="1"/>
  <c r="YS1115" i="1"/>
  <c r="YS1116" i="1"/>
  <c r="YS1117" i="1"/>
  <c r="YS1118" i="1"/>
  <c r="YS1119" i="1"/>
  <c r="YS1120" i="1"/>
  <c r="YS1121" i="1"/>
  <c r="YS1122" i="1"/>
  <c r="YS1123" i="1"/>
  <c r="YS1124" i="1"/>
  <c r="YS1125" i="1"/>
  <c r="YS1126" i="1"/>
  <c r="YS1127" i="1"/>
  <c r="YS1128" i="1"/>
  <c r="YS1129" i="1"/>
  <c r="YS1130" i="1"/>
  <c r="YS1131" i="1"/>
  <c r="YS1132" i="1"/>
  <c r="YS1133" i="1"/>
  <c r="YS1134" i="1"/>
  <c r="YS1135" i="1"/>
  <c r="YS1136" i="1"/>
  <c r="YS1137" i="1"/>
  <c r="YS1138" i="1"/>
  <c r="YS1139" i="1"/>
  <c r="YS1140" i="1"/>
  <c r="YS1141" i="1"/>
  <c r="YS1142" i="1"/>
  <c r="YS1143" i="1"/>
  <c r="YS1144" i="1"/>
  <c r="YS1145" i="1"/>
  <c r="YS1146" i="1"/>
  <c r="YS1147" i="1"/>
  <c r="YS1148" i="1"/>
  <c r="YS1149" i="1"/>
  <c r="YS1150" i="1"/>
  <c r="YS1151" i="1"/>
  <c r="YS1152" i="1"/>
  <c r="YS1153" i="1"/>
  <c r="YS1154" i="1"/>
  <c r="YS1155" i="1"/>
  <c r="YS1156" i="1"/>
  <c r="YS1157" i="1"/>
  <c r="YS1158" i="1"/>
  <c r="YS1159" i="1"/>
  <c r="YS1160" i="1"/>
  <c r="YS1161" i="1"/>
  <c r="YS1162" i="1"/>
  <c r="YS1163" i="1"/>
  <c r="YS1164" i="1"/>
  <c r="YS1165" i="1"/>
  <c r="YS1166" i="1"/>
  <c r="YS1167" i="1"/>
  <c r="YS1168" i="1"/>
  <c r="YS1169" i="1"/>
  <c r="YS1170" i="1"/>
  <c r="YS1171" i="1"/>
  <c r="YS1172" i="1"/>
  <c r="YS1173" i="1"/>
  <c r="YS1174" i="1"/>
  <c r="YS1175" i="1"/>
  <c r="YS1176" i="1"/>
  <c r="YS1177" i="1"/>
  <c r="YS1178" i="1"/>
  <c r="YS1179" i="1"/>
  <c r="YS1180" i="1"/>
  <c r="YS1181" i="1"/>
  <c r="YS1182" i="1"/>
  <c r="YS1183" i="1"/>
  <c r="YS1184" i="1"/>
  <c r="YS1185" i="1"/>
  <c r="YS1186" i="1"/>
  <c r="YS1187" i="1"/>
  <c r="YS1188" i="1"/>
  <c r="YS1189" i="1"/>
  <c r="YS1190" i="1"/>
  <c r="YS1191" i="1"/>
  <c r="YS1192" i="1"/>
  <c r="YS1193" i="1"/>
  <c r="YS1194" i="1"/>
  <c r="YS1195" i="1"/>
  <c r="YS1196" i="1"/>
  <c r="YS1197" i="1"/>
  <c r="YS1198" i="1"/>
  <c r="YS1199" i="1"/>
  <c r="YS1200" i="1"/>
  <c r="YS1201" i="1"/>
  <c r="YS1202" i="1"/>
  <c r="YS1203" i="1"/>
  <c r="YS1204" i="1"/>
  <c r="YS1205" i="1"/>
  <c r="YS1206" i="1"/>
  <c r="YS1207" i="1"/>
  <c r="YS1208" i="1"/>
  <c r="YS1209" i="1"/>
  <c r="YS1210" i="1"/>
  <c r="YS1211" i="1"/>
  <c r="YS1212" i="1"/>
  <c r="YS1213" i="1"/>
  <c r="YS1214" i="1"/>
  <c r="YS1215" i="1"/>
  <c r="YS1216" i="1"/>
  <c r="YS1217" i="1"/>
  <c r="YS1218" i="1"/>
  <c r="YS1219" i="1"/>
  <c r="YS1220" i="1"/>
  <c r="YS1221" i="1"/>
  <c r="YS1222" i="1"/>
  <c r="YS1223" i="1"/>
  <c r="YS1224" i="1"/>
  <c r="YS1225" i="1"/>
  <c r="YS1226" i="1"/>
  <c r="YS1227" i="1"/>
  <c r="YS1228" i="1"/>
  <c r="YS1229" i="1"/>
  <c r="YS1230" i="1"/>
  <c r="YS1231" i="1"/>
  <c r="YS1232" i="1"/>
  <c r="YS1233" i="1"/>
  <c r="YS1234" i="1"/>
  <c r="YS1235" i="1"/>
  <c r="YS1236" i="1"/>
  <c r="YS1237" i="1"/>
  <c r="YS1238" i="1"/>
  <c r="YS1239" i="1"/>
  <c r="YS1240" i="1"/>
  <c r="YS1241" i="1"/>
  <c r="YS1242" i="1"/>
  <c r="YS1243" i="1"/>
  <c r="YS1244" i="1"/>
  <c r="YS1245" i="1"/>
  <c r="YS1246" i="1"/>
  <c r="YS1247" i="1"/>
  <c r="YS1248" i="1"/>
  <c r="YS1249" i="1"/>
  <c r="YS1250" i="1"/>
  <c r="YS1251" i="1"/>
  <c r="YS1252" i="1"/>
  <c r="YS1253" i="1"/>
  <c r="YS1254" i="1"/>
  <c r="YS1255" i="1"/>
  <c r="YS1256" i="1"/>
  <c r="YS1257" i="1"/>
  <c r="YS1258" i="1"/>
  <c r="YS1259" i="1"/>
  <c r="YS1260" i="1"/>
  <c r="YS1261" i="1"/>
  <c r="YS1262" i="1"/>
  <c r="YS1263" i="1"/>
  <c r="YS1264" i="1"/>
  <c r="YS1265" i="1"/>
  <c r="YS1266" i="1"/>
  <c r="YS1267" i="1"/>
  <c r="YS1268" i="1"/>
  <c r="YS1269" i="1"/>
  <c r="YS1270" i="1"/>
  <c r="YS1271" i="1"/>
  <c r="YS1272" i="1"/>
  <c r="YS1273" i="1"/>
  <c r="YS1274" i="1"/>
  <c r="YS1275" i="1"/>
  <c r="YS1276" i="1"/>
  <c r="YS1277" i="1"/>
  <c r="YS1278" i="1"/>
  <c r="YS1279" i="1"/>
  <c r="YS1280" i="1"/>
  <c r="YS1281" i="1"/>
  <c r="YS1282" i="1"/>
  <c r="YS1283" i="1"/>
  <c r="YS1284" i="1"/>
  <c r="YS1285" i="1"/>
  <c r="YS1286" i="1"/>
  <c r="YS1287" i="1"/>
  <c r="YS1288" i="1"/>
  <c r="YS1289" i="1"/>
  <c r="YS1290" i="1"/>
  <c r="YS1291" i="1"/>
  <c r="YS1292" i="1"/>
  <c r="YS1293" i="1"/>
  <c r="YS1294" i="1"/>
  <c r="YS1295" i="1"/>
  <c r="YS1296" i="1"/>
  <c r="YS1297" i="1"/>
  <c r="YS1298" i="1"/>
  <c r="YS1299" i="1"/>
  <c r="YS1300" i="1"/>
  <c r="YS1301" i="1"/>
  <c r="YS1302" i="1"/>
  <c r="YS1303" i="1"/>
  <c r="YS1304" i="1"/>
  <c r="YS1305" i="1"/>
  <c r="YS1306" i="1"/>
  <c r="YS1307" i="1"/>
  <c r="YS1308" i="1"/>
  <c r="YS1309" i="1"/>
  <c r="YS1310" i="1"/>
  <c r="YS1311" i="1"/>
  <c r="YS1312" i="1"/>
  <c r="YS1313" i="1"/>
  <c r="YS1314" i="1"/>
  <c r="YS1315" i="1"/>
  <c r="YS1316" i="1"/>
  <c r="YS1317" i="1"/>
  <c r="YS1318" i="1"/>
  <c r="YS1319" i="1"/>
  <c r="YS1320" i="1"/>
  <c r="YS1321" i="1"/>
  <c r="YS1322" i="1"/>
  <c r="YS1323" i="1"/>
  <c r="YS1324" i="1"/>
  <c r="YS1325" i="1"/>
  <c r="YS1326" i="1"/>
  <c r="YS1327" i="1"/>
  <c r="YS1328" i="1"/>
  <c r="YS1329" i="1"/>
  <c r="YS1330" i="1"/>
  <c r="YS1331" i="1"/>
  <c r="YS1332" i="1"/>
  <c r="YS1333" i="1"/>
  <c r="YS1334" i="1"/>
  <c r="YS1335" i="1"/>
  <c r="YS1336" i="1"/>
  <c r="YS1337" i="1"/>
  <c r="YS1338" i="1"/>
  <c r="YS1339" i="1"/>
  <c r="YS1340" i="1"/>
  <c r="YS1341" i="1"/>
  <c r="YS1342" i="1"/>
  <c r="YS1343" i="1"/>
  <c r="YS1344" i="1"/>
  <c r="YS1345" i="1"/>
  <c r="YS1346" i="1"/>
  <c r="YS1347" i="1"/>
  <c r="YS1348" i="1"/>
  <c r="YS1349" i="1"/>
  <c r="YS1350" i="1"/>
  <c r="YS1351" i="1"/>
  <c r="YS1352" i="1"/>
  <c r="YS1353" i="1"/>
  <c r="YS1354" i="1"/>
  <c r="YS1355" i="1"/>
  <c r="YS1356" i="1"/>
  <c r="YS1357" i="1"/>
  <c r="YS1358" i="1"/>
  <c r="YS1359" i="1"/>
  <c r="YS1360" i="1"/>
  <c r="YS1361" i="1"/>
  <c r="YS1362" i="1"/>
  <c r="YS1363" i="1"/>
  <c r="YS1364" i="1"/>
  <c r="YS1365" i="1"/>
  <c r="YS1366" i="1"/>
  <c r="YS1367" i="1"/>
  <c r="YS1368" i="1"/>
  <c r="YS1369" i="1"/>
  <c r="YS1370" i="1"/>
  <c r="YS1371" i="1"/>
  <c r="YS1372" i="1"/>
  <c r="YS1373" i="1"/>
  <c r="YS1374" i="1"/>
  <c r="YS1375" i="1"/>
  <c r="YS1376" i="1"/>
  <c r="YS1377" i="1"/>
  <c r="YS1378" i="1"/>
  <c r="YS1379" i="1"/>
  <c r="YS1380" i="1"/>
  <c r="YS1381" i="1"/>
  <c r="YS1382" i="1"/>
  <c r="YS1383" i="1"/>
  <c r="YS1384" i="1"/>
  <c r="YS1385" i="1"/>
  <c r="YS1386" i="1"/>
  <c r="YS1387" i="1"/>
  <c r="YS1388" i="1"/>
  <c r="YS1389" i="1"/>
  <c r="YS1390" i="1"/>
  <c r="YS1391" i="1"/>
  <c r="YS1392" i="1"/>
  <c r="YS1393" i="1"/>
  <c r="YS1394" i="1"/>
  <c r="YS1395" i="1"/>
  <c r="YS1396" i="1"/>
  <c r="YS1397" i="1"/>
  <c r="YS1398" i="1"/>
  <c r="YS1399" i="1"/>
  <c r="YS1400" i="1"/>
  <c r="YS1401" i="1"/>
  <c r="YS1402" i="1"/>
  <c r="YS1403" i="1"/>
  <c r="YS1404" i="1"/>
  <c r="YS1405" i="1"/>
  <c r="YS1406" i="1"/>
  <c r="YS1407" i="1"/>
  <c r="YS1408" i="1"/>
  <c r="YS1409" i="1"/>
  <c r="YS1410" i="1"/>
  <c r="YS1411" i="1"/>
  <c r="YS1412" i="1"/>
  <c r="YS1413" i="1"/>
  <c r="YS1414" i="1"/>
  <c r="YS1415" i="1"/>
  <c r="YS1416" i="1"/>
  <c r="YS1417" i="1"/>
  <c r="YS1418" i="1"/>
  <c r="YS1419" i="1"/>
  <c r="YS1420" i="1"/>
  <c r="YS1421" i="1"/>
  <c r="YS1422" i="1"/>
  <c r="YS1423" i="1"/>
  <c r="YS1424" i="1"/>
  <c r="YS1425" i="1"/>
  <c r="YS1426" i="1"/>
  <c r="YS1427" i="1"/>
  <c r="YS1428" i="1"/>
  <c r="YS1429" i="1"/>
  <c r="YS1430" i="1"/>
  <c r="YS1431" i="1"/>
  <c r="YS1432" i="1"/>
  <c r="YS1433" i="1"/>
  <c r="YS1434" i="1"/>
  <c r="YS1435" i="1"/>
  <c r="YS1436" i="1"/>
  <c r="YS1437" i="1"/>
  <c r="YS1438" i="1"/>
  <c r="YS1439" i="1"/>
  <c r="YS1440" i="1"/>
  <c r="YS1441" i="1"/>
  <c r="YS1442" i="1"/>
  <c r="YS1443" i="1"/>
  <c r="YS1444" i="1"/>
  <c r="YS1445" i="1"/>
  <c r="YS1446" i="1"/>
  <c r="YS1447" i="1"/>
  <c r="YS1448" i="1"/>
  <c r="YS1449" i="1"/>
  <c r="YS1450" i="1"/>
  <c r="YS1451" i="1"/>
  <c r="YS1452" i="1"/>
  <c r="YS1453" i="1"/>
  <c r="YS1454" i="1"/>
  <c r="YS1455" i="1"/>
  <c r="YS1456" i="1"/>
  <c r="YS1457" i="1"/>
  <c r="YS1458" i="1"/>
  <c r="YS1459" i="1"/>
  <c r="YS1460" i="1"/>
  <c r="YS1461" i="1"/>
  <c r="YS1462" i="1"/>
  <c r="YS1463" i="1"/>
  <c r="YS1464" i="1"/>
  <c r="YS1465" i="1"/>
  <c r="YS1466" i="1"/>
  <c r="YS1467" i="1"/>
  <c r="YS1468" i="1"/>
  <c r="YS1469" i="1"/>
  <c r="YS1470" i="1"/>
  <c r="YS1471" i="1"/>
  <c r="YS1472" i="1"/>
  <c r="YS1473" i="1"/>
  <c r="YS1474" i="1"/>
  <c r="YS1475" i="1"/>
  <c r="YS1476" i="1"/>
  <c r="YS1477" i="1"/>
  <c r="YS1478" i="1"/>
  <c r="YS1479" i="1"/>
  <c r="YS1480" i="1"/>
  <c r="YS1481" i="1"/>
  <c r="YS1482" i="1"/>
  <c r="YS1483" i="1"/>
  <c r="YS1484" i="1"/>
  <c r="YS1485" i="1"/>
  <c r="YS1486" i="1"/>
  <c r="YS1487" i="1"/>
  <c r="YS1488" i="1"/>
  <c r="YS1489" i="1"/>
  <c r="YS1490" i="1"/>
  <c r="YS1491" i="1"/>
  <c r="YS1492" i="1"/>
  <c r="YS1493" i="1"/>
  <c r="YS1494" i="1"/>
  <c r="YS1495" i="1"/>
  <c r="YS1496" i="1"/>
  <c r="YS1497" i="1"/>
  <c r="YS1498" i="1"/>
  <c r="YS1499" i="1"/>
  <c r="YS1500" i="1"/>
  <c r="YS1501" i="1"/>
  <c r="YS1502" i="1"/>
  <c r="YS1503" i="1"/>
  <c r="YS1504" i="1"/>
  <c r="YS1505" i="1"/>
  <c r="YS1506" i="1"/>
  <c r="YS1507" i="1"/>
  <c r="YS1508" i="1"/>
  <c r="YS1509" i="1"/>
  <c r="YS1510" i="1"/>
  <c r="YS1511" i="1"/>
  <c r="YS1512" i="1"/>
  <c r="YS1513" i="1"/>
  <c r="YS1514" i="1"/>
  <c r="YS1515" i="1"/>
  <c r="YS1516" i="1"/>
  <c r="YS1517" i="1"/>
  <c r="YS1518" i="1"/>
  <c r="YS1519" i="1"/>
  <c r="YS1520" i="1"/>
  <c r="YS1521" i="1"/>
  <c r="YS1522" i="1"/>
  <c r="YS1523" i="1"/>
  <c r="YS1524" i="1"/>
  <c r="YS1525" i="1"/>
  <c r="YS1526" i="1"/>
  <c r="YS1527" i="1"/>
  <c r="YS1528" i="1"/>
  <c r="YS1529" i="1"/>
  <c r="YS1530" i="1"/>
  <c r="YS1531" i="1"/>
  <c r="YS1532" i="1"/>
  <c r="YS1533" i="1"/>
  <c r="YS1534" i="1"/>
  <c r="YS1535" i="1"/>
  <c r="YS1536" i="1"/>
  <c r="YS1537" i="1"/>
  <c r="YS1538" i="1"/>
  <c r="YS1539" i="1"/>
  <c r="YS1540" i="1"/>
  <c r="YS1541" i="1"/>
  <c r="YS1542" i="1"/>
  <c r="YS1543" i="1"/>
  <c r="YS1544" i="1"/>
  <c r="YS1545" i="1"/>
  <c r="YS1546" i="1"/>
  <c r="YS1547" i="1"/>
  <c r="YS1548" i="1"/>
  <c r="YS1549" i="1"/>
  <c r="YS1550" i="1"/>
  <c r="YS1551" i="1"/>
  <c r="YS1552" i="1"/>
  <c r="YS1553" i="1"/>
  <c r="YS1554" i="1"/>
  <c r="YS1555" i="1"/>
  <c r="YS1556" i="1"/>
  <c r="YS1557" i="1"/>
  <c r="YS1558" i="1"/>
  <c r="YS1559" i="1"/>
  <c r="YS1560" i="1"/>
  <c r="YS1561" i="1"/>
  <c r="YS1562" i="1"/>
  <c r="YS1563" i="1"/>
  <c r="YS1564" i="1"/>
  <c r="YS1565" i="1"/>
  <c r="YS1566" i="1"/>
  <c r="YS1567" i="1"/>
  <c r="YS1568" i="1"/>
  <c r="YS1569" i="1"/>
  <c r="YS1570" i="1"/>
  <c r="YS1571" i="1"/>
  <c r="YS1572" i="1"/>
  <c r="YS1573" i="1"/>
  <c r="YS1574" i="1"/>
  <c r="YS1575" i="1"/>
  <c r="YS1576" i="1"/>
  <c r="YS1577" i="1"/>
  <c r="YS1578" i="1"/>
  <c r="YS1579" i="1"/>
  <c r="YS1580" i="1"/>
  <c r="YS1581" i="1"/>
  <c r="YS1582" i="1"/>
  <c r="YS1583" i="1"/>
  <c r="YS1584" i="1"/>
  <c r="YS1585" i="1"/>
  <c r="YS1586" i="1"/>
  <c r="YS1587" i="1"/>
  <c r="YS1588" i="1"/>
  <c r="YS1589" i="1"/>
  <c r="YS1590" i="1"/>
  <c r="YS1591" i="1"/>
  <c r="YS1592" i="1"/>
  <c r="YS1593" i="1"/>
  <c r="YS1594" i="1"/>
  <c r="YS1595" i="1"/>
  <c r="YS1596" i="1"/>
  <c r="YS1597" i="1"/>
  <c r="YS1598" i="1"/>
  <c r="YS1599" i="1"/>
  <c r="YS1600" i="1"/>
  <c r="YS1601" i="1"/>
  <c r="YS1602" i="1"/>
  <c r="YS1603" i="1"/>
  <c r="YS1604" i="1"/>
  <c r="YS1605" i="1"/>
  <c r="YS1606" i="1"/>
  <c r="YS1607" i="1"/>
  <c r="YS1608" i="1"/>
  <c r="YS1609" i="1"/>
  <c r="YS1610" i="1"/>
  <c r="YS1611" i="1"/>
  <c r="YS1612" i="1"/>
  <c r="YS1613" i="1"/>
  <c r="YS1614" i="1"/>
  <c r="YS1615" i="1"/>
  <c r="YS1616" i="1"/>
  <c r="YS1617" i="1"/>
  <c r="YS1618" i="1"/>
  <c r="YS1619" i="1"/>
  <c r="YS1620" i="1"/>
  <c r="YS1621" i="1"/>
  <c r="YS1622" i="1"/>
  <c r="YS1623" i="1"/>
  <c r="YS1624" i="1"/>
  <c r="YS1625" i="1"/>
  <c r="YS1626" i="1"/>
  <c r="YS1627" i="1"/>
  <c r="YS1628" i="1"/>
  <c r="YS1629" i="1"/>
  <c r="YS1630" i="1"/>
  <c r="YS1631" i="1"/>
  <c r="YS1632" i="1"/>
  <c r="YS1633" i="1"/>
  <c r="YS1634" i="1"/>
  <c r="YS1635" i="1"/>
  <c r="YS1636" i="1"/>
  <c r="YS1637" i="1"/>
  <c r="YS1638" i="1"/>
  <c r="YS1639" i="1"/>
  <c r="YS1640" i="1"/>
  <c r="YS1641" i="1"/>
  <c r="YS1642" i="1"/>
  <c r="YS1643" i="1"/>
  <c r="YS1644" i="1"/>
  <c r="YS1645" i="1"/>
  <c r="YS1646" i="1"/>
  <c r="YS1647" i="1"/>
  <c r="YS1648" i="1"/>
  <c r="YS1649" i="1"/>
  <c r="YS1650" i="1"/>
  <c r="YS1651" i="1"/>
  <c r="YS1652" i="1"/>
  <c r="YS1653" i="1"/>
  <c r="YS1654" i="1"/>
  <c r="YS1655" i="1"/>
  <c r="YS1656" i="1"/>
  <c r="YS1657" i="1"/>
  <c r="YS1658" i="1"/>
  <c r="YS1659" i="1"/>
  <c r="YS1660" i="1"/>
  <c r="YS1661" i="1"/>
  <c r="YS1662" i="1"/>
  <c r="YS1663" i="1"/>
  <c r="YS1664" i="1"/>
  <c r="YS1665" i="1"/>
  <c r="YS1666" i="1"/>
  <c r="YS1667" i="1"/>
  <c r="YS1668" i="1"/>
  <c r="YS1669" i="1"/>
  <c r="YS1670" i="1"/>
  <c r="YS1671" i="1"/>
  <c r="YS1672" i="1"/>
  <c r="YS1673" i="1"/>
  <c r="YS1674" i="1"/>
  <c r="YS1675" i="1"/>
  <c r="YS1676" i="1"/>
  <c r="YS1677" i="1"/>
  <c r="YS1678" i="1"/>
  <c r="YS1679" i="1"/>
  <c r="YS1680" i="1"/>
  <c r="YS1681" i="1"/>
  <c r="YS1682" i="1"/>
  <c r="YS1683" i="1"/>
  <c r="YS1684" i="1"/>
  <c r="YS1685" i="1"/>
  <c r="YS1686" i="1"/>
  <c r="YS1687" i="1"/>
  <c r="YS1688" i="1"/>
  <c r="YS1689" i="1"/>
  <c r="YS1690" i="1"/>
  <c r="YS1691" i="1"/>
  <c r="YS1692" i="1"/>
  <c r="YS1693" i="1"/>
  <c r="YS1694" i="1"/>
  <c r="YS1695" i="1"/>
  <c r="YS1696" i="1"/>
  <c r="YS1697" i="1"/>
  <c r="YS1698" i="1"/>
  <c r="YS1699" i="1"/>
  <c r="YS1700" i="1"/>
  <c r="YS1701" i="1"/>
  <c r="YS1702" i="1"/>
  <c r="YS1703" i="1"/>
  <c r="YS1704" i="1"/>
  <c r="YS1705" i="1"/>
  <c r="YS1706" i="1"/>
  <c r="YS1707" i="1"/>
  <c r="YS1708" i="1"/>
  <c r="YS1709" i="1"/>
  <c r="YS1710" i="1"/>
  <c r="YS1711" i="1"/>
  <c r="YS1712" i="1"/>
  <c r="YS1713" i="1"/>
  <c r="YS1714" i="1"/>
  <c r="YS1715" i="1"/>
  <c r="YS1716" i="1"/>
  <c r="YS1717" i="1"/>
  <c r="YS1718" i="1"/>
  <c r="YS1719" i="1"/>
  <c r="YS1720" i="1"/>
  <c r="YS1721" i="1"/>
  <c r="YS1722" i="1"/>
  <c r="YS1723" i="1"/>
  <c r="YS1724" i="1"/>
  <c r="YS1725" i="1"/>
  <c r="YS1726" i="1"/>
  <c r="YS1727" i="1"/>
  <c r="YS1728" i="1"/>
  <c r="YS1729" i="1"/>
  <c r="YS1730" i="1"/>
  <c r="YS1731" i="1"/>
  <c r="YS1732" i="1"/>
  <c r="YS1733" i="1"/>
  <c r="YS1734" i="1"/>
  <c r="YS1735" i="1"/>
  <c r="YS1736" i="1"/>
  <c r="YS1737" i="1"/>
  <c r="YS1738" i="1"/>
  <c r="YS1739" i="1"/>
  <c r="YS1740" i="1"/>
  <c r="YS1741" i="1"/>
  <c r="YS1742" i="1"/>
  <c r="YS1743" i="1"/>
  <c r="YS1744" i="1"/>
  <c r="YS1745" i="1"/>
  <c r="YS1746" i="1"/>
  <c r="YS1747" i="1"/>
  <c r="YS1748" i="1"/>
  <c r="YS1749" i="1"/>
  <c r="YS1750" i="1"/>
  <c r="YS1751" i="1"/>
  <c r="YS1752" i="1"/>
  <c r="YS1753" i="1"/>
  <c r="YS1754" i="1"/>
  <c r="YS1755" i="1"/>
  <c r="YS1756" i="1"/>
  <c r="YS1757" i="1"/>
  <c r="YS1758" i="1"/>
  <c r="YS1759" i="1"/>
  <c r="YS1760" i="1"/>
  <c r="YS1761" i="1"/>
  <c r="YS1762" i="1"/>
  <c r="YS1763" i="1"/>
  <c r="YS1764" i="1"/>
  <c r="YS1765" i="1"/>
  <c r="YS1766" i="1"/>
  <c r="YS1767" i="1"/>
  <c r="YS1768" i="1"/>
  <c r="YS1769" i="1"/>
  <c r="YS1770" i="1"/>
  <c r="YS1771" i="1"/>
  <c r="YS1772" i="1"/>
  <c r="YS1773" i="1"/>
  <c r="YS1774" i="1"/>
  <c r="YS1775" i="1"/>
  <c r="YS1776" i="1"/>
  <c r="YS1777" i="1"/>
  <c r="YS1778" i="1"/>
  <c r="YS1779" i="1"/>
  <c r="YS1780" i="1"/>
  <c r="YS1781" i="1"/>
  <c r="YS1782" i="1"/>
  <c r="YS1783" i="1"/>
  <c r="YS1784" i="1"/>
  <c r="YS1785" i="1"/>
  <c r="YS1786" i="1"/>
  <c r="YS1787" i="1"/>
  <c r="YS1788" i="1"/>
  <c r="YS1789" i="1"/>
  <c r="YS1790" i="1"/>
  <c r="YS1791" i="1"/>
  <c r="YS1792" i="1"/>
  <c r="YS1793" i="1"/>
  <c r="YS1794" i="1"/>
  <c r="YS1795" i="1"/>
  <c r="YS1796" i="1"/>
  <c r="YS1797" i="1"/>
  <c r="YS1798" i="1"/>
  <c r="YS1799" i="1"/>
  <c r="YS1800" i="1"/>
  <c r="YS1801" i="1"/>
  <c r="YS1802" i="1"/>
  <c r="YS1803" i="1"/>
  <c r="YS1804" i="1"/>
  <c r="YS1805" i="1"/>
  <c r="YS1806" i="1"/>
  <c r="YS1807" i="1"/>
  <c r="YS1808" i="1"/>
  <c r="YS1809" i="1"/>
  <c r="YS1810" i="1"/>
  <c r="YS1811" i="1"/>
  <c r="YS1812" i="1"/>
  <c r="YS1813" i="1"/>
  <c r="YS1814" i="1"/>
  <c r="YS1815" i="1"/>
  <c r="YS1816" i="1"/>
  <c r="YS1817" i="1"/>
  <c r="YS1818" i="1"/>
  <c r="YS1819" i="1"/>
  <c r="YS1820" i="1"/>
  <c r="YS1821" i="1"/>
  <c r="YS1822" i="1"/>
  <c r="YS1823" i="1"/>
  <c r="YS1824" i="1"/>
  <c r="YS1825" i="1"/>
  <c r="YS1826" i="1"/>
  <c r="YS1827" i="1"/>
  <c r="YS1828" i="1"/>
  <c r="YS1829" i="1"/>
  <c r="YS1830" i="1"/>
  <c r="YS1831" i="1"/>
  <c r="YS1832" i="1"/>
  <c r="YS1833" i="1"/>
  <c r="YS1834" i="1"/>
  <c r="YS1835" i="1"/>
  <c r="YS1836" i="1"/>
  <c r="YS1837" i="1"/>
  <c r="YS1838" i="1"/>
  <c r="YS1839" i="1"/>
  <c r="YS1840" i="1"/>
  <c r="YS1841" i="1"/>
  <c r="YS1842" i="1"/>
  <c r="YS1843" i="1"/>
  <c r="YS1844" i="1"/>
  <c r="YS1845" i="1"/>
  <c r="YS1846" i="1"/>
  <c r="YS1847" i="1"/>
  <c r="YS1848" i="1"/>
  <c r="YS1849" i="1"/>
  <c r="YS1850" i="1"/>
  <c r="YS1851" i="1"/>
  <c r="YS1852" i="1"/>
  <c r="YS1853" i="1"/>
  <c r="YS1854" i="1"/>
  <c r="YS1855" i="1"/>
  <c r="YS1856" i="1"/>
  <c r="YS1857" i="1"/>
  <c r="YS1858" i="1"/>
  <c r="YS1859" i="1"/>
  <c r="YS1860" i="1"/>
  <c r="YS1861" i="1"/>
  <c r="YS1862" i="1"/>
  <c r="YS1863" i="1"/>
  <c r="YS1864" i="1"/>
  <c r="YS1865" i="1"/>
  <c r="YS1866" i="1"/>
  <c r="YS1867" i="1"/>
  <c r="YS1868" i="1"/>
  <c r="YS1869" i="1"/>
  <c r="YS1870" i="1"/>
  <c r="YS1871" i="1"/>
  <c r="YS1872" i="1"/>
  <c r="YS1873" i="1"/>
  <c r="YS1874" i="1"/>
  <c r="YS1875" i="1"/>
  <c r="YS1876" i="1"/>
  <c r="YS1877" i="1"/>
  <c r="YS1878" i="1"/>
  <c r="YS1879" i="1"/>
  <c r="YS1880" i="1"/>
  <c r="YS1881" i="1"/>
  <c r="YS1882" i="1"/>
  <c r="YS1883" i="1"/>
  <c r="YS1884" i="1"/>
  <c r="YS1885" i="1"/>
  <c r="YS1886" i="1"/>
  <c r="YS1887" i="1"/>
  <c r="YS1888" i="1"/>
  <c r="YS1889" i="1"/>
  <c r="YS1890" i="1"/>
  <c r="YS1891" i="1"/>
  <c r="YS1892" i="1"/>
  <c r="YS1893" i="1"/>
  <c r="YS1894" i="1"/>
  <c r="YS1895" i="1"/>
  <c r="YS1896" i="1"/>
  <c r="YS1897" i="1"/>
  <c r="YS1898" i="1"/>
  <c r="YS1899" i="1"/>
  <c r="YS1900" i="1"/>
  <c r="YS1901" i="1"/>
  <c r="YS1902" i="1"/>
  <c r="YS1903" i="1"/>
  <c r="YS1904" i="1"/>
  <c r="YS1905" i="1"/>
  <c r="YS1906" i="1"/>
  <c r="YS1907" i="1"/>
  <c r="YS1908" i="1"/>
  <c r="YS1909" i="1"/>
  <c r="YS1910" i="1"/>
  <c r="YS1911" i="1"/>
  <c r="YS1912" i="1"/>
  <c r="YS1913" i="1"/>
  <c r="YS1914" i="1"/>
  <c r="YS1915" i="1"/>
  <c r="YS1916" i="1"/>
  <c r="YS1917" i="1"/>
  <c r="YS1918" i="1"/>
  <c r="YS1919" i="1"/>
  <c r="YS1920" i="1"/>
  <c r="YS1921" i="1"/>
  <c r="YS1922" i="1"/>
  <c r="YS1923" i="1"/>
  <c r="YS1924" i="1"/>
  <c r="YS1925" i="1"/>
  <c r="YS1926" i="1"/>
  <c r="YS1927" i="1"/>
  <c r="YS1928" i="1"/>
  <c r="YS1929" i="1"/>
  <c r="YS1930" i="1"/>
  <c r="YS1931" i="1"/>
  <c r="YS1932" i="1"/>
  <c r="YS1933" i="1"/>
  <c r="YS1934" i="1"/>
  <c r="YS1935" i="1"/>
  <c r="YS1936" i="1"/>
  <c r="YS1937" i="1"/>
  <c r="YS1938" i="1"/>
  <c r="YS1939" i="1"/>
  <c r="YS1940" i="1"/>
  <c r="YS1941" i="1"/>
  <c r="YS1942" i="1"/>
  <c r="YS1943" i="1"/>
  <c r="YS1944" i="1"/>
  <c r="YS1945" i="1"/>
  <c r="YS1946" i="1"/>
  <c r="YS1947" i="1"/>
  <c r="YS1948" i="1"/>
  <c r="YS1949" i="1"/>
  <c r="YS1950" i="1"/>
  <c r="YS1951" i="1"/>
  <c r="YS1952" i="1"/>
  <c r="YS1953" i="1"/>
  <c r="YS1954" i="1"/>
  <c r="YS1955" i="1"/>
  <c r="YS1956" i="1"/>
  <c r="YS1957" i="1"/>
  <c r="YS1958" i="1"/>
  <c r="YS1959" i="1"/>
  <c r="YS1960" i="1"/>
  <c r="YS1961" i="1"/>
  <c r="YS1962" i="1"/>
  <c r="YS1963" i="1"/>
  <c r="YS1964" i="1"/>
  <c r="YS1965" i="1"/>
  <c r="YS1966" i="1"/>
  <c r="YS1967" i="1"/>
  <c r="YS1968" i="1"/>
  <c r="YS1969" i="1"/>
  <c r="YS1970" i="1"/>
  <c r="YS1971" i="1"/>
  <c r="YS1972" i="1"/>
  <c r="YS1973" i="1"/>
  <c r="YS1974" i="1"/>
  <c r="YS1975" i="1"/>
  <c r="YS1976" i="1"/>
  <c r="YS1977" i="1"/>
  <c r="YS1978" i="1"/>
  <c r="YS1979" i="1"/>
  <c r="YS1980" i="1"/>
  <c r="YS1981" i="1"/>
  <c r="YS1982" i="1"/>
  <c r="YS1983" i="1"/>
  <c r="YS1984" i="1"/>
  <c r="YS1985" i="1"/>
  <c r="YS1986" i="1"/>
  <c r="YS1987" i="1"/>
  <c r="YS1988" i="1"/>
  <c r="YS1989" i="1"/>
  <c r="YS1990" i="1"/>
  <c r="YS1991" i="1"/>
  <c r="YS1992" i="1"/>
  <c r="YS1993" i="1"/>
  <c r="YS1994" i="1"/>
  <c r="YS1995" i="1"/>
  <c r="YS1996" i="1"/>
  <c r="YS1997" i="1"/>
  <c r="YS1998" i="1"/>
  <c r="YS1999" i="1"/>
  <c r="YS2000" i="1"/>
  <c r="YS2001" i="1"/>
  <c r="YS2002" i="1"/>
  <c r="YS2003" i="1"/>
  <c r="YS2004" i="1"/>
  <c r="YS2005" i="1"/>
  <c r="YS2006" i="1"/>
  <c r="YS2007" i="1"/>
  <c r="YS2008" i="1"/>
  <c r="YS2009" i="1"/>
  <c r="YS2010" i="1"/>
  <c r="YS2011" i="1"/>
  <c r="YS2012" i="1"/>
  <c r="YS2013" i="1"/>
  <c r="YS2014" i="1"/>
  <c r="YS2015" i="1"/>
  <c r="YS2016" i="1"/>
  <c r="YS2017" i="1"/>
  <c r="YS2018" i="1"/>
  <c r="YS2019" i="1"/>
  <c r="YS2020" i="1"/>
  <c r="YS2021" i="1"/>
  <c r="YS2022" i="1"/>
  <c r="YS2023" i="1"/>
  <c r="YS2024" i="1"/>
  <c r="YS2025" i="1"/>
  <c r="YS2026" i="1"/>
  <c r="YS2027" i="1"/>
  <c r="YS2028" i="1"/>
  <c r="YS2029" i="1"/>
  <c r="YS2030" i="1"/>
  <c r="YS2031" i="1"/>
  <c r="YS2032" i="1"/>
  <c r="YS2033" i="1"/>
  <c r="YS2034" i="1"/>
  <c r="YS2035" i="1"/>
  <c r="YS2036" i="1"/>
  <c r="YS2037" i="1"/>
  <c r="YS2038" i="1"/>
  <c r="YS2039" i="1"/>
  <c r="YS2040" i="1"/>
  <c r="YS2041" i="1"/>
  <c r="YS2042" i="1"/>
  <c r="YS2043" i="1"/>
  <c r="YS2044" i="1"/>
  <c r="YS2045" i="1"/>
  <c r="YS2046" i="1"/>
  <c r="YS2047" i="1"/>
  <c r="YS2048" i="1"/>
  <c r="YS2049" i="1"/>
  <c r="YS2050" i="1"/>
  <c r="YS2051" i="1"/>
  <c r="YS2052" i="1"/>
  <c r="YS2053" i="1"/>
  <c r="YS2054" i="1"/>
  <c r="YS2055" i="1"/>
  <c r="YS2056" i="1"/>
  <c r="YS2057" i="1"/>
  <c r="YS2058" i="1"/>
  <c r="YS2059" i="1"/>
  <c r="YS2060" i="1"/>
  <c r="YS2061" i="1"/>
  <c r="YS2062" i="1"/>
  <c r="YS2063" i="1"/>
  <c r="YS2064" i="1"/>
  <c r="YS2065" i="1"/>
  <c r="YS2066" i="1"/>
  <c r="YS2067" i="1"/>
  <c r="YS2068" i="1"/>
  <c r="YS2069" i="1"/>
  <c r="YS2070" i="1"/>
  <c r="YS2071" i="1"/>
  <c r="YS2072" i="1"/>
  <c r="YS2073" i="1"/>
  <c r="YS2074" i="1"/>
  <c r="YS2075" i="1"/>
  <c r="YS2076" i="1"/>
  <c r="YS2077" i="1"/>
  <c r="YS2078" i="1"/>
  <c r="YS2079" i="1"/>
  <c r="YS2080" i="1"/>
  <c r="YS2081" i="1"/>
  <c r="YS2082" i="1"/>
  <c r="YS2083" i="1"/>
  <c r="YS2084" i="1"/>
  <c r="YS2085" i="1"/>
  <c r="YS2086" i="1"/>
  <c r="YS2087" i="1"/>
  <c r="YS2088" i="1"/>
  <c r="YS2089" i="1"/>
  <c r="YS2090" i="1"/>
  <c r="YS2091" i="1"/>
  <c r="YS2092" i="1"/>
  <c r="YS2093" i="1"/>
  <c r="YS2094" i="1"/>
  <c r="YS2095" i="1"/>
  <c r="YS2096" i="1"/>
  <c r="YS2097" i="1"/>
  <c r="YS2098" i="1"/>
  <c r="YS2099" i="1"/>
  <c r="YS2100" i="1"/>
  <c r="YS2101" i="1"/>
  <c r="YS2102" i="1"/>
  <c r="YS2103" i="1"/>
  <c r="YS2104" i="1"/>
  <c r="YS2105" i="1"/>
  <c r="YS2106" i="1"/>
  <c r="YS2107" i="1"/>
  <c r="YS2108" i="1"/>
  <c r="YS2109" i="1"/>
  <c r="YS2110" i="1"/>
  <c r="YS2111" i="1"/>
  <c r="YS2112" i="1"/>
  <c r="YS2113" i="1"/>
  <c r="YS2114" i="1"/>
  <c r="YS2115" i="1"/>
  <c r="YS2116" i="1"/>
  <c r="YS2117" i="1"/>
  <c r="YS2118" i="1"/>
  <c r="YS2119" i="1"/>
  <c r="YS2120" i="1"/>
  <c r="YS2121" i="1"/>
  <c r="YS2122" i="1"/>
  <c r="YS2123" i="1"/>
  <c r="YS2124" i="1"/>
  <c r="YS2125" i="1"/>
  <c r="YS2126" i="1"/>
  <c r="YS2127" i="1"/>
  <c r="YS2128" i="1"/>
  <c r="YS2129" i="1"/>
  <c r="YS2130" i="1"/>
  <c r="YS2131" i="1"/>
  <c r="YS2132" i="1"/>
  <c r="YS2133" i="1"/>
  <c r="YS2134" i="1"/>
  <c r="YS2135" i="1"/>
  <c r="YS2136" i="1"/>
  <c r="YS2137" i="1"/>
  <c r="YS2138" i="1"/>
  <c r="YS2139" i="1"/>
  <c r="YS2140" i="1"/>
  <c r="YS2141" i="1"/>
  <c r="YS2142" i="1"/>
  <c r="YS2143" i="1"/>
  <c r="YS2144" i="1"/>
  <c r="YS2145" i="1"/>
  <c r="YS2146" i="1"/>
  <c r="YS2147" i="1"/>
  <c r="YS2148" i="1"/>
  <c r="YS2149" i="1"/>
  <c r="YS2150" i="1"/>
  <c r="YS2" i="1"/>
  <c r="G19" i="6" l="1"/>
  <c r="FI54" i="3"/>
  <c r="EK55" i="3" s="1"/>
  <c r="EK54" i="3"/>
  <c r="DU11" i="3"/>
  <c r="ES11" i="3"/>
  <c r="ES7" i="3"/>
  <c r="ES6" i="3"/>
  <c r="ES5" i="3"/>
  <c r="ES4" i="3"/>
  <c r="ES3" i="3"/>
  <c r="ER11" i="3"/>
  <c r="ER4" i="3"/>
  <c r="ER3" i="3"/>
  <c r="ER2" i="3"/>
  <c r="FL1" i="3"/>
  <c r="EY1" i="3"/>
  <c r="EZ1" i="3" s="1"/>
  <c r="FA1" i="3" s="1"/>
  <c r="FB1" i="3" s="1"/>
  <c r="FC1" i="3" s="1"/>
  <c r="FD1" i="3" s="1"/>
  <c r="FE1" i="3" s="1"/>
  <c r="FF1" i="3" s="1"/>
  <c r="FG1" i="3" s="1"/>
  <c r="FH1" i="3" s="1"/>
  <c r="FI1" i="3" s="1"/>
  <c r="FJ1" i="3" s="1"/>
  <c r="FK1" i="3" s="1"/>
  <c r="DU3" i="3" l="1"/>
  <c r="DY1" i="3"/>
  <c r="DT11" i="3"/>
  <c r="DT4" i="3"/>
  <c r="EN1" i="3"/>
  <c r="EB1" i="3"/>
  <c r="EC1" i="3" s="1"/>
  <c r="ED1" i="3" s="1"/>
  <c r="EE1" i="3" s="1"/>
  <c r="EF1" i="3" s="1"/>
  <c r="EG1" i="3" s="1"/>
  <c r="EH1" i="3" s="1"/>
  <c r="EI1" i="3" s="1"/>
  <c r="EJ1" i="3" s="1"/>
  <c r="EK1" i="3" s="1"/>
  <c r="EL1" i="3" s="1"/>
  <c r="EM1" i="3" s="1"/>
  <c r="EA1" i="3"/>
  <c r="CT1" i="3"/>
  <c r="AZ1" i="3"/>
  <c r="A29" i="3"/>
  <c r="EW1" i="3" l="1"/>
  <c r="DX1" i="3"/>
  <c r="BZ4" i="3"/>
  <c r="AF4" i="3"/>
  <c r="H9" i="3"/>
  <c r="DL54" i="3"/>
  <c r="CQ54" i="3"/>
  <c r="BZ11" i="3"/>
  <c r="DC1" i="3"/>
  <c r="DD1" i="3" s="1"/>
  <c r="DE1" i="3" s="1"/>
  <c r="DF1" i="3" s="1"/>
  <c r="DG1" i="3" s="1"/>
  <c r="DH1" i="3" s="1"/>
  <c r="DI1" i="3" s="1"/>
  <c r="DJ1" i="3" s="1"/>
  <c r="DK1" i="3" s="1"/>
  <c r="DL1" i="3" s="1"/>
  <c r="DM1" i="3" s="1"/>
  <c r="DN1" i="3" s="1"/>
  <c r="DB1" i="3"/>
  <c r="CH1" i="3"/>
  <c r="CI1" i="3" s="1"/>
  <c r="CJ1" i="3" s="1"/>
  <c r="CK1" i="3" s="1"/>
  <c r="CL1" i="3" s="1"/>
  <c r="CM1" i="3" s="1"/>
  <c r="CN1" i="3" s="1"/>
  <c r="CO1" i="3" s="1"/>
  <c r="CP1" i="3" s="1"/>
  <c r="CQ1" i="3" s="1"/>
  <c r="CR1" i="3" s="1"/>
  <c r="CS1" i="3" s="1"/>
  <c r="CG1" i="3"/>
  <c r="AW54" i="3"/>
  <c r="E9" i="5" l="1"/>
  <c r="EV1" i="3"/>
  <c r="CQ55" i="3"/>
  <c r="BR62" i="3" s="1"/>
  <c r="CI3" i="1"/>
  <c r="R210" i="4" l="1"/>
  <c r="R210" i="15"/>
  <c r="S9" i="15" l="1"/>
  <c r="YV3" i="1"/>
  <c r="I8" i="1" s="1"/>
  <c r="YV2" i="1"/>
  <c r="I6" i="1" s="1"/>
  <c r="Y161" i="4"/>
  <c r="BC4" i="1" l="1"/>
  <c r="AM1" i="3"/>
  <c r="AN1" i="3" s="1"/>
  <c r="AO1" i="3" s="1"/>
  <c r="AP1" i="3" s="1"/>
  <c r="AQ1" i="3" s="1"/>
  <c r="AR1" i="3" s="1"/>
  <c r="AS1" i="3" s="1"/>
  <c r="AT1" i="3" s="1"/>
  <c r="AU1" i="3" s="1"/>
  <c r="AV1" i="3" s="1"/>
  <c r="AW1" i="3" s="1"/>
  <c r="AX1" i="3" s="1"/>
  <c r="AY1" i="3" s="1"/>
  <c r="AF2" i="3"/>
  <c r="AF3" i="3"/>
  <c r="I152" i="3"/>
  <c r="J12" i="3"/>
  <c r="J11" i="3"/>
  <c r="J10" i="3"/>
  <c r="J9" i="3"/>
  <c r="B50" i="3"/>
  <c r="C50" i="3"/>
  <c r="A53" i="3"/>
  <c r="A52" i="3"/>
  <c r="A51" i="3"/>
  <c r="A50" i="3"/>
  <c r="H11" i="3" s="1"/>
  <c r="B99" i="3" s="1"/>
  <c r="A49" i="3"/>
  <c r="H10" i="3" s="1"/>
  <c r="A48" i="3"/>
  <c r="A37" i="3"/>
  <c r="B56" i="3" l="1"/>
  <c r="DT5" i="3"/>
  <c r="ER5" i="3"/>
  <c r="H101" i="3"/>
  <c r="J153" i="3"/>
  <c r="A41" i="3"/>
  <c r="A28" i="3"/>
  <c r="A27" i="3"/>
  <c r="A40" i="3"/>
  <c r="A39" i="3"/>
  <c r="A38" i="3"/>
  <c r="A36" i="3"/>
  <c r="H205" i="3"/>
  <c r="AF11" i="3" s="1"/>
  <c r="G7" i="3"/>
  <c r="J152" i="3" l="1"/>
  <c r="H206" i="3"/>
  <c r="N40" i="3"/>
  <c r="N41" i="3" s="1"/>
  <c r="X92" i="15" l="1"/>
  <c r="L92" i="15"/>
  <c r="K92" i="15"/>
  <c r="J92" i="15"/>
  <c r="K91" i="15" s="1"/>
  <c r="L90" i="15" s="1"/>
  <c r="Y91" i="15"/>
  <c r="Y92" i="15" s="1"/>
  <c r="L91" i="15"/>
  <c r="Z90" i="15"/>
  <c r="Z91" i="15" s="1"/>
  <c r="Z92" i="15" s="1"/>
  <c r="R14" i="15"/>
  <c r="D14" i="15"/>
  <c r="E13" i="15"/>
  <c r="S13" i="15" s="1"/>
  <c r="C13" i="15"/>
  <c r="Q13" i="15" s="1"/>
  <c r="R10" i="15"/>
  <c r="B5" i="15"/>
  <c r="R2" i="15" s="1"/>
  <c r="S4" i="15"/>
  <c r="B3" i="15"/>
  <c r="F3" i="15" s="1"/>
  <c r="D2" i="15"/>
  <c r="O1" i="2"/>
  <c r="AN10" i="1" l="1"/>
  <c r="P5" i="15"/>
  <c r="R207" i="15" s="1"/>
  <c r="R3" i="15"/>
  <c r="F5" i="15"/>
  <c r="G22" i="15" s="1"/>
  <c r="P6" i="15"/>
  <c r="G19" i="15" l="1"/>
  <c r="T3" i="15"/>
  <c r="P7" i="15"/>
  <c r="P3" i="15" s="1"/>
  <c r="L40" i="3"/>
  <c r="L41" i="3" s="1"/>
  <c r="K39" i="3"/>
  <c r="K38" i="3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67" i="1"/>
  <c r="X68" i="1"/>
  <c r="Y67" i="1" s="1"/>
  <c r="Z66" i="1" s="1"/>
  <c r="Y66" i="1"/>
  <c r="D31" i="3" l="1"/>
  <c r="U19" i="15"/>
  <c r="T4" i="15"/>
  <c r="X69" i="1"/>
  <c r="Y68" i="1" l="1"/>
  <c r="Z67" i="1" s="1"/>
  <c r="AA66" i="1" s="1"/>
  <c r="X70" i="1"/>
  <c r="Y69" i="1" l="1"/>
  <c r="Z68" i="1" s="1"/>
  <c r="AA67" i="1" s="1"/>
  <c r="X71" i="1"/>
  <c r="H193" i="3" l="1"/>
  <c r="X72" i="1"/>
  <c r="Y70" i="1"/>
  <c r="Z69" i="1" s="1"/>
  <c r="AA68" i="1" s="1"/>
  <c r="Y71" i="1" l="1"/>
  <c r="Z70" i="1" s="1"/>
  <c r="AA69" i="1" s="1"/>
  <c r="X73" i="1"/>
  <c r="Y72" i="1" l="1"/>
  <c r="Z71" i="1" s="1"/>
  <c r="AA70" i="1" s="1"/>
  <c r="X74" i="1"/>
  <c r="H196" i="3" l="1"/>
  <c r="Y73" i="1"/>
  <c r="Z72" i="1" s="1"/>
  <c r="AA71" i="1" s="1"/>
  <c r="X75" i="1"/>
  <c r="X76" i="1" l="1"/>
  <c r="Y74" i="1"/>
  <c r="Z73" i="1" s="1"/>
  <c r="AA72" i="1" s="1"/>
  <c r="Y75" i="1" l="1"/>
  <c r="Z74" i="1" s="1"/>
  <c r="AA73" i="1" s="1"/>
  <c r="X77" i="1"/>
  <c r="Y76" i="1" l="1"/>
  <c r="Z75" i="1" s="1"/>
  <c r="AA74" i="1" s="1"/>
  <c r="X78" i="1"/>
  <c r="H211" i="3" l="1"/>
  <c r="Y77" i="1"/>
  <c r="Z76" i="1" s="1"/>
  <c r="AA75" i="1" s="1"/>
  <c r="X79" i="1"/>
  <c r="X80" i="1" l="1"/>
  <c r="Y78" i="1"/>
  <c r="Z77" i="1" s="1"/>
  <c r="AA76" i="1" s="1"/>
  <c r="Y79" i="1" l="1"/>
  <c r="Z78" i="1" s="1"/>
  <c r="AA77" i="1" s="1"/>
  <c r="X81" i="1"/>
  <c r="H199" i="3" l="1"/>
  <c r="Y80" i="1"/>
  <c r="Z79" i="1" s="1"/>
  <c r="AA78" i="1" s="1"/>
  <c r="X82" i="1"/>
  <c r="Y81" i="1" l="1"/>
  <c r="Z80" i="1" s="1"/>
  <c r="AA79" i="1" s="1"/>
  <c r="X83" i="1"/>
  <c r="H202" i="3" l="1"/>
  <c r="X84" i="1"/>
  <c r="Y82" i="1"/>
  <c r="Z81" i="1" s="1"/>
  <c r="AA80" i="1" s="1"/>
  <c r="Y83" i="1" l="1"/>
  <c r="Z82" i="1" s="1"/>
  <c r="AA81" i="1" s="1"/>
  <c r="X85" i="1"/>
  <c r="Y84" i="1" l="1"/>
  <c r="Z83" i="1" s="1"/>
  <c r="AA82" i="1" s="1"/>
  <c r="X86" i="1"/>
  <c r="Y85" i="1" l="1"/>
  <c r="Z84" i="1" s="1"/>
  <c r="AA83" i="1" s="1"/>
  <c r="X87" i="1"/>
  <c r="X88" i="1" l="1"/>
  <c r="Y86" i="1"/>
  <c r="Z85" i="1" s="1"/>
  <c r="AA84" i="1" s="1"/>
  <c r="Y87" i="1" l="1"/>
  <c r="Z86" i="1" s="1"/>
  <c r="AA85" i="1" s="1"/>
  <c r="X89" i="1"/>
  <c r="Y88" i="1" l="1"/>
  <c r="Z87" i="1" s="1"/>
  <c r="AA86" i="1" s="1"/>
  <c r="X90" i="1"/>
  <c r="Y89" i="1" l="1"/>
  <c r="Z88" i="1" s="1"/>
  <c r="AA87" i="1" s="1"/>
  <c r="X91" i="1"/>
  <c r="X92" i="1" l="1"/>
  <c r="Y90" i="1"/>
  <c r="Z89" i="1" s="1"/>
  <c r="AA88" i="1" s="1"/>
  <c r="Y91" i="1" l="1"/>
  <c r="Z90" i="1" s="1"/>
  <c r="AA89" i="1" s="1"/>
  <c r="X93" i="1"/>
  <c r="Y92" i="1" l="1"/>
  <c r="Z91" i="1" s="1"/>
  <c r="AA90" i="1" s="1"/>
  <c r="X94" i="1"/>
  <c r="Y93" i="1" l="1"/>
  <c r="Z92" i="1" s="1"/>
  <c r="AA91" i="1" s="1"/>
  <c r="X95" i="1"/>
  <c r="X96" i="1" l="1"/>
  <c r="Y94" i="1"/>
  <c r="Z93" i="1" s="1"/>
  <c r="AA92" i="1" s="1"/>
  <c r="I38" i="4" l="1"/>
  <c r="Y95" i="1"/>
  <c r="Z94" i="1" s="1"/>
  <c r="AA93" i="1" s="1"/>
  <c r="X97" i="1"/>
  <c r="I40" i="15" l="1"/>
  <c r="J39" i="15" s="1"/>
  <c r="K38" i="15" s="1"/>
  <c r="L37" i="15" s="1"/>
  <c r="EK56" i="3"/>
  <c r="I9" i="3"/>
  <c r="I10" i="3"/>
  <c r="I12" i="3"/>
  <c r="DU7" i="3" s="1"/>
  <c r="I11" i="3"/>
  <c r="I8" i="15"/>
  <c r="I9" i="15" s="1"/>
  <c r="J8" i="15" s="1"/>
  <c r="I8" i="4"/>
  <c r="I10" i="15"/>
  <c r="J9" i="15" s="1"/>
  <c r="K8" i="15" s="1"/>
  <c r="C15" i="4"/>
  <c r="W8" i="4"/>
  <c r="W9" i="4"/>
  <c r="I11" i="15"/>
  <c r="J10" i="15" s="1"/>
  <c r="K9" i="15" s="1"/>
  <c r="L8" i="15" s="1"/>
  <c r="I9" i="4"/>
  <c r="I10" i="4"/>
  <c r="I12" i="15"/>
  <c r="J11" i="15" s="1"/>
  <c r="K10" i="15" s="1"/>
  <c r="L9" i="15" s="1"/>
  <c r="W10" i="4"/>
  <c r="W11" i="4"/>
  <c r="I11" i="4"/>
  <c r="I13" i="15"/>
  <c r="J12" i="15" s="1"/>
  <c r="K11" i="15" s="1"/>
  <c r="L10" i="15" s="1"/>
  <c r="W12" i="4"/>
  <c r="I12" i="4"/>
  <c r="I14" i="15"/>
  <c r="J13" i="15" s="1"/>
  <c r="K12" i="15" s="1"/>
  <c r="L11" i="15" s="1"/>
  <c r="W13" i="4"/>
  <c r="I13" i="4"/>
  <c r="I15" i="15"/>
  <c r="J14" i="15" s="1"/>
  <c r="K13" i="15" s="1"/>
  <c r="L12" i="15" s="1"/>
  <c r="W14" i="4"/>
  <c r="I14" i="4"/>
  <c r="I16" i="15"/>
  <c r="J15" i="15" s="1"/>
  <c r="K14" i="15" s="1"/>
  <c r="L13" i="15" s="1"/>
  <c r="W15" i="4"/>
  <c r="I17" i="15"/>
  <c r="J16" i="15" s="1"/>
  <c r="K15" i="15" s="1"/>
  <c r="L14" i="15" s="1"/>
  <c r="I15" i="4"/>
  <c r="W16" i="4"/>
  <c r="I18" i="15"/>
  <c r="J17" i="15" s="1"/>
  <c r="K16" i="15" s="1"/>
  <c r="L15" i="15" s="1"/>
  <c r="I16" i="4"/>
  <c r="W17" i="4"/>
  <c r="I19" i="15"/>
  <c r="J18" i="15" s="1"/>
  <c r="K17" i="15" s="1"/>
  <c r="L16" i="15" s="1"/>
  <c r="I17" i="4"/>
  <c r="W18" i="4"/>
  <c r="I20" i="15"/>
  <c r="J19" i="15" s="1"/>
  <c r="K18" i="15" s="1"/>
  <c r="L17" i="15" s="1"/>
  <c r="I18" i="4"/>
  <c r="W19" i="4"/>
  <c r="I21" i="15"/>
  <c r="J20" i="15" s="1"/>
  <c r="K19" i="15" s="1"/>
  <c r="L18" i="15" s="1"/>
  <c r="I19" i="4"/>
  <c r="W20" i="4"/>
  <c r="I22" i="15"/>
  <c r="J21" i="15" s="1"/>
  <c r="K20" i="15" s="1"/>
  <c r="L19" i="15" s="1"/>
  <c r="I20" i="4"/>
  <c r="W21" i="4"/>
  <c r="I23" i="15"/>
  <c r="J22" i="15" s="1"/>
  <c r="K21" i="15" s="1"/>
  <c r="L20" i="15" s="1"/>
  <c r="I21" i="4"/>
  <c r="W22" i="4"/>
  <c r="I24" i="15"/>
  <c r="J23" i="15" s="1"/>
  <c r="K22" i="15" s="1"/>
  <c r="L21" i="15" s="1"/>
  <c r="I22" i="4"/>
  <c r="W23" i="4"/>
  <c r="I25" i="15"/>
  <c r="J24" i="15" s="1"/>
  <c r="K23" i="15" s="1"/>
  <c r="L22" i="15" s="1"/>
  <c r="I23" i="4"/>
  <c r="W24" i="4"/>
  <c r="I26" i="15"/>
  <c r="J25" i="15" s="1"/>
  <c r="K24" i="15" s="1"/>
  <c r="L23" i="15" s="1"/>
  <c r="I24" i="4"/>
  <c r="W25" i="4"/>
  <c r="I27" i="15"/>
  <c r="J26" i="15" s="1"/>
  <c r="K25" i="15" s="1"/>
  <c r="L24" i="15" s="1"/>
  <c r="I25" i="4"/>
  <c r="W26" i="4"/>
  <c r="I28" i="15"/>
  <c r="J27" i="15" s="1"/>
  <c r="K26" i="15" s="1"/>
  <c r="L25" i="15" s="1"/>
  <c r="I26" i="4"/>
  <c r="W27" i="4"/>
  <c r="I29" i="15"/>
  <c r="J28" i="15" s="1"/>
  <c r="K27" i="15" s="1"/>
  <c r="L26" i="15" s="1"/>
  <c r="I27" i="4"/>
  <c r="W28" i="4"/>
  <c r="I30" i="15"/>
  <c r="J29" i="15" s="1"/>
  <c r="K28" i="15" s="1"/>
  <c r="L27" i="15" s="1"/>
  <c r="I28" i="4"/>
  <c r="W29" i="4"/>
  <c r="I31" i="15"/>
  <c r="J30" i="15" s="1"/>
  <c r="K29" i="15" s="1"/>
  <c r="L28" i="15" s="1"/>
  <c r="I29" i="4"/>
  <c r="W30" i="4"/>
  <c r="I32" i="15"/>
  <c r="J31" i="15" s="1"/>
  <c r="K30" i="15" s="1"/>
  <c r="L29" i="15" s="1"/>
  <c r="I30" i="4"/>
  <c r="W31" i="4"/>
  <c r="I33" i="15"/>
  <c r="J32" i="15" s="1"/>
  <c r="K31" i="15" s="1"/>
  <c r="L30" i="15" s="1"/>
  <c r="I31" i="4"/>
  <c r="W32" i="4"/>
  <c r="I34" i="15"/>
  <c r="J33" i="15" s="1"/>
  <c r="K32" i="15" s="1"/>
  <c r="L31" i="15" s="1"/>
  <c r="I32" i="4"/>
  <c r="W33" i="4"/>
  <c r="I35" i="15"/>
  <c r="J34" i="15" s="1"/>
  <c r="K33" i="15" s="1"/>
  <c r="L32" i="15" s="1"/>
  <c r="I33" i="4"/>
  <c r="W34" i="4"/>
  <c r="I36" i="15"/>
  <c r="J35" i="15" s="1"/>
  <c r="K34" i="15" s="1"/>
  <c r="L33" i="15" s="1"/>
  <c r="I34" i="4"/>
  <c r="W35" i="4"/>
  <c r="I37" i="15"/>
  <c r="J36" i="15" s="1"/>
  <c r="K35" i="15" s="1"/>
  <c r="L34" i="15" s="1"/>
  <c r="I35" i="4"/>
  <c r="W36" i="4"/>
  <c r="I38" i="15"/>
  <c r="J37" i="15" s="1"/>
  <c r="K36" i="15" s="1"/>
  <c r="L35" i="15" s="1"/>
  <c r="I36" i="4"/>
  <c r="W37" i="4"/>
  <c r="I39" i="15"/>
  <c r="J38" i="15" s="1"/>
  <c r="K37" i="15" s="1"/>
  <c r="L36" i="15" s="1"/>
  <c r="I37" i="4"/>
  <c r="W38" i="4"/>
  <c r="I39" i="4"/>
  <c r="W39" i="4"/>
  <c r="I41" i="15"/>
  <c r="Y96" i="1"/>
  <c r="Z95" i="1" s="1"/>
  <c r="AA94" i="1" s="1"/>
  <c r="X98" i="1"/>
  <c r="DU5" i="3" l="1"/>
  <c r="D99" i="3"/>
  <c r="C56" i="3"/>
  <c r="DU4" i="3"/>
  <c r="D56" i="3"/>
  <c r="DU6" i="3"/>
  <c r="C99" i="3"/>
  <c r="I40" i="4"/>
  <c r="W40" i="4"/>
  <c r="J40" i="15"/>
  <c r="K39" i="15" s="1"/>
  <c r="L38" i="15" s="1"/>
  <c r="I42" i="15"/>
  <c r="Y97" i="1"/>
  <c r="Z96" i="1" s="1"/>
  <c r="AA95" i="1" s="1"/>
  <c r="X99" i="1"/>
  <c r="I41" i="4" l="1"/>
  <c r="W41" i="4"/>
  <c r="I43" i="15"/>
  <c r="J41" i="15"/>
  <c r="K40" i="15" s="1"/>
  <c r="L39" i="15" s="1"/>
  <c r="X100" i="1"/>
  <c r="Y98" i="1"/>
  <c r="Z97" i="1" s="1"/>
  <c r="AA96" i="1" s="1"/>
  <c r="I42" i="4" l="1"/>
  <c r="W42" i="4"/>
  <c r="J42" i="15"/>
  <c r="K41" i="15" s="1"/>
  <c r="L40" i="15" s="1"/>
  <c r="I44" i="15"/>
  <c r="Y99" i="1"/>
  <c r="Z98" i="1" s="1"/>
  <c r="AA97" i="1" s="1"/>
  <c r="X101" i="1"/>
  <c r="I43" i="4" l="1"/>
  <c r="W43" i="4"/>
  <c r="J43" i="15"/>
  <c r="K42" i="15" s="1"/>
  <c r="L41" i="15" s="1"/>
  <c r="I45" i="15"/>
  <c r="Y100" i="1"/>
  <c r="Z99" i="1" s="1"/>
  <c r="AA98" i="1" s="1"/>
  <c r="X102" i="1"/>
  <c r="I44" i="4" l="1"/>
  <c r="W44" i="4"/>
  <c r="J44" i="15"/>
  <c r="K43" i="15" s="1"/>
  <c r="L42" i="15" s="1"/>
  <c r="I46" i="15"/>
  <c r="Y101" i="1"/>
  <c r="Z100" i="1" s="1"/>
  <c r="AA99" i="1" s="1"/>
  <c r="X103" i="1"/>
  <c r="I45" i="4" l="1"/>
  <c r="W45" i="4"/>
  <c r="J45" i="15"/>
  <c r="K44" i="15" s="1"/>
  <c r="L43" i="15" s="1"/>
  <c r="I47" i="15"/>
  <c r="X104" i="1"/>
  <c r="Y102" i="1"/>
  <c r="Z101" i="1" s="1"/>
  <c r="AA100" i="1" s="1"/>
  <c r="I46" i="4" l="1"/>
  <c r="W46" i="4"/>
  <c r="J46" i="15"/>
  <c r="K45" i="15" s="1"/>
  <c r="L44" i="15" s="1"/>
  <c r="I48" i="15"/>
  <c r="Y103" i="1"/>
  <c r="Z102" i="1" s="1"/>
  <c r="AA101" i="1" s="1"/>
  <c r="X105" i="1"/>
  <c r="I47" i="4" l="1"/>
  <c r="W47" i="4"/>
  <c r="J47" i="15"/>
  <c r="K46" i="15" s="1"/>
  <c r="L45" i="15" s="1"/>
  <c r="I49" i="15"/>
  <c r="X106" i="1"/>
  <c r="Y104" i="1"/>
  <c r="Z103" i="1" s="1"/>
  <c r="AA102" i="1" s="1"/>
  <c r="I48" i="4" l="1"/>
  <c r="W48" i="4"/>
  <c r="J48" i="15"/>
  <c r="K47" i="15" s="1"/>
  <c r="L46" i="15" s="1"/>
  <c r="I50" i="15"/>
  <c r="Y105" i="1"/>
  <c r="Z104" i="1" s="1"/>
  <c r="AA103" i="1" s="1"/>
  <c r="X107" i="1"/>
  <c r="I49" i="4" l="1"/>
  <c r="W49" i="4"/>
  <c r="J49" i="15"/>
  <c r="K48" i="15" s="1"/>
  <c r="L47" i="15" s="1"/>
  <c r="I51" i="15"/>
  <c r="X108" i="1"/>
  <c r="Y106" i="1"/>
  <c r="Z105" i="1" s="1"/>
  <c r="AA104" i="1" s="1"/>
  <c r="I50" i="4" l="1"/>
  <c r="W50" i="4"/>
  <c r="J50" i="15"/>
  <c r="K49" i="15" s="1"/>
  <c r="L48" i="15" s="1"/>
  <c r="I52" i="15"/>
  <c r="Y107" i="1"/>
  <c r="Z106" i="1" s="1"/>
  <c r="AA105" i="1" s="1"/>
  <c r="X109" i="1"/>
  <c r="I51" i="4" l="1"/>
  <c r="W51" i="4"/>
  <c r="W69" i="1"/>
  <c r="W73" i="1"/>
  <c r="W77" i="1"/>
  <c r="W81" i="1"/>
  <c r="W85" i="1"/>
  <c r="W89" i="1"/>
  <c r="W93" i="1"/>
  <c r="W97" i="1"/>
  <c r="W101" i="1"/>
  <c r="W70" i="1"/>
  <c r="W74" i="1"/>
  <c r="W78" i="1"/>
  <c r="W82" i="1"/>
  <c r="W86" i="1"/>
  <c r="W90" i="1"/>
  <c r="W94" i="1"/>
  <c r="W98" i="1"/>
  <c r="W102" i="1"/>
  <c r="W67" i="1"/>
  <c r="W71" i="1"/>
  <c r="W75" i="1"/>
  <c r="W79" i="1"/>
  <c r="W83" i="1"/>
  <c r="W87" i="1"/>
  <c r="W91" i="1"/>
  <c r="W95" i="1"/>
  <c r="W99" i="1"/>
  <c r="W103" i="1"/>
  <c r="W66" i="1"/>
  <c r="W68" i="1"/>
  <c r="W72" i="1"/>
  <c r="W76" i="1"/>
  <c r="W80" i="1"/>
  <c r="W84" i="1"/>
  <c r="W88" i="1"/>
  <c r="W92" i="1"/>
  <c r="W96" i="1"/>
  <c r="W100" i="1"/>
  <c r="W104" i="1"/>
  <c r="I53" i="15"/>
  <c r="J51" i="15"/>
  <c r="K50" i="15" s="1"/>
  <c r="L49" i="15" s="1"/>
  <c r="X110" i="1"/>
  <c r="Y108" i="1"/>
  <c r="Z107" i="1" s="1"/>
  <c r="AA106" i="1" s="1"/>
  <c r="I52" i="4" l="1"/>
  <c r="W52" i="4"/>
  <c r="W105" i="1"/>
  <c r="J52" i="15"/>
  <c r="K51" i="15" s="1"/>
  <c r="L50" i="15" s="1"/>
  <c r="I54" i="15"/>
  <c r="Y109" i="1"/>
  <c r="Z108" i="1" s="1"/>
  <c r="AA107" i="1" s="1"/>
  <c r="X111" i="1"/>
  <c r="I53" i="4" l="1"/>
  <c r="W53" i="4"/>
  <c r="J53" i="15"/>
  <c r="K52" i="15" s="1"/>
  <c r="L51" i="15" s="1"/>
  <c r="I55" i="15"/>
  <c r="X112" i="1"/>
  <c r="Y110" i="1"/>
  <c r="Z109" i="1" s="1"/>
  <c r="AA108" i="1" s="1"/>
  <c r="I54" i="4" l="1"/>
  <c r="W54" i="4"/>
  <c r="J54" i="15"/>
  <c r="K53" i="15" s="1"/>
  <c r="L52" i="15" s="1"/>
  <c r="I56" i="15"/>
  <c r="Y111" i="1"/>
  <c r="Z110" i="1" s="1"/>
  <c r="AA109" i="1" s="1"/>
  <c r="X113" i="1"/>
  <c r="I55" i="4" l="1"/>
  <c r="W55" i="4"/>
  <c r="J55" i="15"/>
  <c r="K54" i="15" s="1"/>
  <c r="L53" i="15" s="1"/>
  <c r="I57" i="15"/>
  <c r="X114" i="1"/>
  <c r="Y112" i="1"/>
  <c r="Z111" i="1" s="1"/>
  <c r="AA110" i="1" s="1"/>
  <c r="I56" i="4" l="1"/>
  <c r="W56" i="4"/>
  <c r="J56" i="15"/>
  <c r="K55" i="15" s="1"/>
  <c r="L54" i="15" s="1"/>
  <c r="I58" i="15"/>
  <c r="Y113" i="1"/>
  <c r="Z112" i="1" s="1"/>
  <c r="AA111" i="1" s="1"/>
  <c r="X115" i="1"/>
  <c r="I57" i="4" l="1"/>
  <c r="W57" i="4"/>
  <c r="J57" i="15"/>
  <c r="K56" i="15" s="1"/>
  <c r="L55" i="15" s="1"/>
  <c r="I59" i="15"/>
  <c r="X116" i="1"/>
  <c r="Y114" i="1"/>
  <c r="Z113" i="1" s="1"/>
  <c r="AA112" i="1" s="1"/>
  <c r="I58" i="4" l="1"/>
  <c r="W58" i="4"/>
  <c r="J58" i="15"/>
  <c r="K57" i="15" s="1"/>
  <c r="L56" i="15" s="1"/>
  <c r="I60" i="15"/>
  <c r="Y115" i="1"/>
  <c r="Z114" i="1" s="1"/>
  <c r="AA113" i="1" s="1"/>
  <c r="X117" i="1"/>
  <c r="I59" i="4" l="1"/>
  <c r="W59" i="4"/>
  <c r="J59" i="15"/>
  <c r="K58" i="15" s="1"/>
  <c r="L57" i="15" s="1"/>
  <c r="I61" i="15"/>
  <c r="X118" i="1"/>
  <c r="Y116" i="1"/>
  <c r="Z115" i="1" s="1"/>
  <c r="AA114" i="1" s="1"/>
  <c r="I60" i="4" l="1"/>
  <c r="W60" i="4"/>
  <c r="J60" i="15"/>
  <c r="K59" i="15" s="1"/>
  <c r="L58" i="15" s="1"/>
  <c r="I62" i="15"/>
  <c r="Y117" i="1"/>
  <c r="Z116" i="1" s="1"/>
  <c r="AA115" i="1" s="1"/>
  <c r="X119" i="1"/>
  <c r="I61" i="4" l="1"/>
  <c r="W61" i="4"/>
  <c r="J61" i="15"/>
  <c r="K60" i="15" s="1"/>
  <c r="L59" i="15" s="1"/>
  <c r="I63" i="15"/>
  <c r="X120" i="1"/>
  <c r="Y118" i="1"/>
  <c r="Z117" i="1" s="1"/>
  <c r="AA116" i="1" s="1"/>
  <c r="I62" i="4" l="1"/>
  <c r="W62" i="4"/>
  <c r="J62" i="15"/>
  <c r="K61" i="15" s="1"/>
  <c r="L60" i="15" s="1"/>
  <c r="I64" i="15"/>
  <c r="Y119" i="1"/>
  <c r="Z118" i="1" s="1"/>
  <c r="AA117" i="1" s="1"/>
  <c r="X121" i="1"/>
  <c r="I63" i="4" l="1"/>
  <c r="W63" i="4"/>
  <c r="J63" i="15"/>
  <c r="K62" i="15" s="1"/>
  <c r="L61" i="15" s="1"/>
  <c r="I65" i="15"/>
  <c r="X122" i="1"/>
  <c r="Y120" i="1"/>
  <c r="Z119" i="1" s="1"/>
  <c r="AA118" i="1" s="1"/>
  <c r="I64" i="4" l="1"/>
  <c r="W64" i="4"/>
  <c r="J64" i="15"/>
  <c r="K63" i="15" s="1"/>
  <c r="L62" i="15" s="1"/>
  <c r="I66" i="15"/>
  <c r="Y121" i="1"/>
  <c r="Z120" i="1" s="1"/>
  <c r="AA119" i="1" s="1"/>
  <c r="X123" i="1"/>
  <c r="I65" i="4" l="1"/>
  <c r="W65" i="4"/>
  <c r="J65" i="15"/>
  <c r="K64" i="15" s="1"/>
  <c r="L63" i="15" s="1"/>
  <c r="I67" i="15"/>
  <c r="X124" i="1"/>
  <c r="Y122" i="1"/>
  <c r="Z121" i="1" s="1"/>
  <c r="AA120" i="1" s="1"/>
  <c r="I66" i="4" l="1"/>
  <c r="W66" i="4"/>
  <c r="J66" i="15"/>
  <c r="K65" i="15" s="1"/>
  <c r="L64" i="15" s="1"/>
  <c r="I68" i="15"/>
  <c r="Y123" i="1"/>
  <c r="Z122" i="1" s="1"/>
  <c r="AA121" i="1" s="1"/>
  <c r="X125" i="1"/>
  <c r="I67" i="4" l="1"/>
  <c r="W67" i="4"/>
  <c r="J67" i="15"/>
  <c r="K66" i="15" s="1"/>
  <c r="L65" i="15" s="1"/>
  <c r="I69" i="15"/>
  <c r="X126" i="1"/>
  <c r="Y124" i="1"/>
  <c r="Z123" i="1" s="1"/>
  <c r="AA122" i="1" s="1"/>
  <c r="I68" i="4" l="1"/>
  <c r="W68" i="4"/>
  <c r="J68" i="15"/>
  <c r="K67" i="15" s="1"/>
  <c r="L66" i="15" s="1"/>
  <c r="I70" i="15"/>
  <c r="Y125" i="1"/>
  <c r="Z124" i="1" s="1"/>
  <c r="AA123" i="1" s="1"/>
  <c r="X127" i="1"/>
  <c r="I69" i="4" l="1"/>
  <c r="W69" i="4"/>
  <c r="J69" i="15"/>
  <c r="K68" i="15" s="1"/>
  <c r="L67" i="15" s="1"/>
  <c r="I71" i="15"/>
  <c r="X128" i="1"/>
  <c r="Y126" i="1"/>
  <c r="Z125" i="1" s="1"/>
  <c r="AA124" i="1" s="1"/>
  <c r="I70" i="4" l="1"/>
  <c r="W70" i="4"/>
  <c r="J70" i="15"/>
  <c r="K69" i="15" s="1"/>
  <c r="L68" i="15" s="1"/>
  <c r="I72" i="15"/>
  <c r="Y127" i="1"/>
  <c r="Z126" i="1" s="1"/>
  <c r="AA125" i="1" s="1"/>
  <c r="X129" i="1"/>
  <c r="I71" i="4" l="1"/>
  <c r="W71" i="4"/>
  <c r="J71" i="15"/>
  <c r="K70" i="15" s="1"/>
  <c r="L69" i="15" s="1"/>
  <c r="I73" i="15"/>
  <c r="X130" i="1"/>
  <c r="Y128" i="1"/>
  <c r="Z127" i="1" s="1"/>
  <c r="AA126" i="1" s="1"/>
  <c r="I72" i="4" l="1"/>
  <c r="W72" i="4"/>
  <c r="J72" i="15"/>
  <c r="K71" i="15" s="1"/>
  <c r="L70" i="15" s="1"/>
  <c r="I74" i="15"/>
  <c r="Y129" i="1"/>
  <c r="Z128" i="1" s="1"/>
  <c r="AA127" i="1" s="1"/>
  <c r="X131" i="1"/>
  <c r="I73" i="4" l="1"/>
  <c r="W73" i="4"/>
  <c r="W113" i="1"/>
  <c r="W114" i="1"/>
  <c r="W119" i="1"/>
  <c r="W120" i="1"/>
  <c r="W121" i="1"/>
  <c r="W118" i="1"/>
  <c r="W107" i="1"/>
  <c r="W123" i="1"/>
  <c r="W108" i="1"/>
  <c r="W124" i="1"/>
  <c r="W125" i="1"/>
  <c r="W106" i="1"/>
  <c r="W122" i="1"/>
  <c r="W111" i="1"/>
  <c r="W112" i="1"/>
  <c r="W109" i="1"/>
  <c r="W110" i="1"/>
  <c r="W126" i="1"/>
  <c r="W115" i="1"/>
  <c r="W116" i="1"/>
  <c r="W117" i="1"/>
  <c r="J73" i="15"/>
  <c r="K72" i="15" s="1"/>
  <c r="L71" i="15" s="1"/>
  <c r="I75" i="15"/>
  <c r="X132" i="1"/>
  <c r="Y130" i="1"/>
  <c r="Z129" i="1" s="1"/>
  <c r="AA128" i="1" s="1"/>
  <c r="I74" i="4" l="1"/>
  <c r="W74" i="4"/>
  <c r="W127" i="1"/>
  <c r="J74" i="15"/>
  <c r="K73" i="15" s="1"/>
  <c r="L72" i="15" s="1"/>
  <c r="I76" i="15"/>
  <c r="Y131" i="1"/>
  <c r="Z130" i="1" s="1"/>
  <c r="AA129" i="1" s="1"/>
  <c r="X133" i="1"/>
  <c r="I75" i="4" l="1"/>
  <c r="W75" i="4"/>
  <c r="J75" i="15"/>
  <c r="K74" i="15" s="1"/>
  <c r="L73" i="15" s="1"/>
  <c r="I77" i="15"/>
  <c r="X134" i="1"/>
  <c r="Y132" i="1"/>
  <c r="Z131" i="1" s="1"/>
  <c r="AA130" i="1" s="1"/>
  <c r="I76" i="4" l="1"/>
  <c r="W76" i="4"/>
  <c r="J76" i="15"/>
  <c r="K75" i="15" s="1"/>
  <c r="L74" i="15" s="1"/>
  <c r="I78" i="15"/>
  <c r="Y133" i="1"/>
  <c r="Z132" i="1" s="1"/>
  <c r="AA131" i="1" s="1"/>
  <c r="X135" i="1"/>
  <c r="I77" i="4" l="1"/>
  <c r="W77" i="4"/>
  <c r="J77" i="15"/>
  <c r="K76" i="15" s="1"/>
  <c r="L75" i="15" s="1"/>
  <c r="I79" i="15"/>
  <c r="X136" i="1"/>
  <c r="Y134" i="1"/>
  <c r="Z133" i="1" s="1"/>
  <c r="AA132" i="1" s="1"/>
  <c r="I78" i="4" l="1"/>
  <c r="W78" i="4"/>
  <c r="J78" i="15"/>
  <c r="K77" i="15" s="1"/>
  <c r="L76" i="15" s="1"/>
  <c r="I80" i="15"/>
  <c r="Y135" i="1"/>
  <c r="Z134" i="1" s="1"/>
  <c r="AA133" i="1" s="1"/>
  <c r="X137" i="1"/>
  <c r="I79" i="4" l="1"/>
  <c r="W79" i="4"/>
  <c r="J79" i="15"/>
  <c r="K78" i="15" s="1"/>
  <c r="L77" i="15" s="1"/>
  <c r="I81" i="15"/>
  <c r="X138" i="1"/>
  <c r="Y136" i="1"/>
  <c r="Z135" i="1" s="1"/>
  <c r="AA134" i="1" s="1"/>
  <c r="I80" i="4" l="1"/>
  <c r="W80" i="4"/>
  <c r="I82" i="15"/>
  <c r="J80" i="15"/>
  <c r="K79" i="15" s="1"/>
  <c r="L78" i="15" s="1"/>
  <c r="Y137" i="1"/>
  <c r="Z136" i="1" s="1"/>
  <c r="AA135" i="1" s="1"/>
  <c r="X139" i="1"/>
  <c r="I81" i="4" l="1"/>
  <c r="W81" i="4"/>
  <c r="J81" i="15"/>
  <c r="K80" i="15" s="1"/>
  <c r="L79" i="15" s="1"/>
  <c r="I83" i="15"/>
  <c r="X140" i="1"/>
  <c r="Y138" i="1"/>
  <c r="Z137" i="1" s="1"/>
  <c r="AA136" i="1" s="1"/>
  <c r="I82" i="4" l="1"/>
  <c r="W82" i="4"/>
  <c r="I84" i="15"/>
  <c r="J82" i="15"/>
  <c r="K81" i="15" s="1"/>
  <c r="L80" i="15" s="1"/>
  <c r="Y139" i="1"/>
  <c r="Z138" i="1" s="1"/>
  <c r="AA137" i="1" s="1"/>
  <c r="X141" i="1"/>
  <c r="I83" i="4" l="1"/>
  <c r="W83" i="4"/>
  <c r="J83" i="15"/>
  <c r="K82" i="15" s="1"/>
  <c r="L81" i="15" s="1"/>
  <c r="I85" i="15"/>
  <c r="X142" i="1"/>
  <c r="Y140" i="1"/>
  <c r="Z139" i="1" s="1"/>
  <c r="AA138" i="1" s="1"/>
  <c r="I84" i="4" l="1"/>
  <c r="W84" i="4"/>
  <c r="W130" i="1"/>
  <c r="W134" i="1"/>
  <c r="W129" i="1"/>
  <c r="W135" i="1"/>
  <c r="W131" i="1"/>
  <c r="W136" i="1"/>
  <c r="W128" i="1"/>
  <c r="W137" i="1"/>
  <c r="W132" i="1"/>
  <c r="W133" i="1"/>
  <c r="J84" i="15"/>
  <c r="K83" i="15" s="1"/>
  <c r="L82" i="15" s="1"/>
  <c r="I86" i="15"/>
  <c r="Y141" i="1"/>
  <c r="Z140" i="1" s="1"/>
  <c r="AA139" i="1" s="1"/>
  <c r="X143" i="1"/>
  <c r="I85" i="4" l="1"/>
  <c r="W85" i="4"/>
  <c r="W138" i="1"/>
  <c r="J85" i="15"/>
  <c r="K84" i="15" s="1"/>
  <c r="L83" i="15" s="1"/>
  <c r="I87" i="15"/>
  <c r="X144" i="1"/>
  <c r="Y142" i="1"/>
  <c r="Z141" i="1" s="1"/>
  <c r="AA140" i="1" s="1"/>
  <c r="I86" i="4" l="1"/>
  <c r="W86" i="4"/>
  <c r="J86" i="15"/>
  <c r="K85" i="15" s="1"/>
  <c r="L84" i="15" s="1"/>
  <c r="I88" i="15"/>
  <c r="Y143" i="1"/>
  <c r="Z142" i="1" s="1"/>
  <c r="AA141" i="1" s="1"/>
  <c r="X145" i="1"/>
  <c r="I87" i="4" l="1"/>
  <c r="W87" i="4"/>
  <c r="J87" i="15"/>
  <c r="K86" i="15" s="1"/>
  <c r="L85" i="15" s="1"/>
  <c r="I89" i="15"/>
  <c r="X146" i="1"/>
  <c r="Y144" i="1"/>
  <c r="Z143" i="1" s="1"/>
  <c r="AA142" i="1" s="1"/>
  <c r="I88" i="4" l="1"/>
  <c r="W88" i="4"/>
  <c r="J88" i="15"/>
  <c r="K87" i="15" s="1"/>
  <c r="L86" i="15" s="1"/>
  <c r="I90" i="15"/>
  <c r="Y145" i="1"/>
  <c r="Z144" i="1" s="1"/>
  <c r="AA143" i="1" s="1"/>
  <c r="X147" i="1"/>
  <c r="I89" i="4" l="1"/>
  <c r="W89" i="4"/>
  <c r="W142" i="1"/>
  <c r="W140" i="1"/>
  <c r="W139" i="1"/>
  <c r="W141" i="1"/>
  <c r="J89" i="15"/>
  <c r="K88" i="15" s="1"/>
  <c r="L87" i="15" s="1"/>
  <c r="I91" i="15"/>
  <c r="X148" i="1"/>
  <c r="Y146" i="1"/>
  <c r="Z145" i="1" s="1"/>
  <c r="AA144" i="1" s="1"/>
  <c r="I90" i="4" l="1"/>
  <c r="W90" i="4"/>
  <c r="W143" i="1"/>
  <c r="J90" i="15"/>
  <c r="K89" i="15" s="1"/>
  <c r="L88" i="15" s="1"/>
  <c r="I92" i="15"/>
  <c r="J91" i="15" s="1"/>
  <c r="K90" i="15" s="1"/>
  <c r="L89" i="15" s="1"/>
  <c r="Y147" i="1"/>
  <c r="Z146" i="1" s="1"/>
  <c r="AA145" i="1" s="1"/>
  <c r="X149" i="1"/>
  <c r="I91" i="4" l="1"/>
  <c r="W91" i="4"/>
  <c r="X150" i="1"/>
  <c r="Y148" i="1"/>
  <c r="Z147" i="1" s="1"/>
  <c r="AA146" i="1" s="1"/>
  <c r="I92" i="4" l="1"/>
  <c r="W93" i="4" s="1"/>
  <c r="X92" i="4" s="1"/>
  <c r="W92" i="4"/>
  <c r="W145" i="1"/>
  <c r="W144" i="1"/>
  <c r="W146" i="1"/>
  <c r="Y149" i="1"/>
  <c r="Z148" i="1" s="1"/>
  <c r="AA147" i="1" s="1"/>
  <c r="X151" i="1"/>
  <c r="Y91" i="4" l="1"/>
  <c r="Z90" i="4" s="1"/>
  <c r="X93" i="4"/>
  <c r="Y92" i="4" s="1"/>
  <c r="X152" i="1"/>
  <c r="Y150" i="1"/>
  <c r="Z149" i="1" s="1"/>
  <c r="AA148" i="1" s="1"/>
  <c r="Y93" i="4" l="1"/>
  <c r="Z92" i="4" s="1"/>
  <c r="Z93" i="4" s="1"/>
  <c r="Z91" i="4"/>
  <c r="Y151" i="1"/>
  <c r="Z150" i="1" s="1"/>
  <c r="AA149" i="1" s="1"/>
  <c r="X153" i="1"/>
  <c r="W147" i="1"/>
  <c r="BL2" i="1"/>
  <c r="BM1" i="1"/>
  <c r="BL1" i="1"/>
  <c r="C9" i="15" s="1"/>
  <c r="B22" i="15" s="1"/>
  <c r="F382" i="1"/>
  <c r="F370" i="1"/>
  <c r="I138" i="1"/>
  <c r="I211" i="3"/>
  <c r="H210" i="3"/>
  <c r="E29" i="14"/>
  <c r="AB66" i="1" l="1"/>
  <c r="I4" i="1" s="1"/>
  <c r="W148" i="1"/>
  <c r="W149" i="1" s="1"/>
  <c r="W150" i="1" s="1"/>
  <c r="W151" i="1" s="1"/>
  <c r="W152" i="1" s="1"/>
  <c r="C11" i="15"/>
  <c r="B19" i="15"/>
  <c r="Q9" i="15"/>
  <c r="B9" i="15"/>
  <c r="B15" i="15"/>
  <c r="E9" i="15"/>
  <c r="D53" i="15" s="1"/>
  <c r="D69" i="15" s="1"/>
  <c r="G14" i="15"/>
  <c r="U14" i="15" s="1"/>
  <c r="R69" i="15" s="1"/>
  <c r="P22" i="15" l="1"/>
  <c r="T207" i="15"/>
  <c r="F9" i="15"/>
  <c r="T9" i="15"/>
  <c r="C15" i="15"/>
  <c r="Q15" i="15" s="1"/>
  <c r="S30" i="15" s="1"/>
  <c r="P8" i="15"/>
  <c r="R208" i="15"/>
  <c r="P70" i="15"/>
  <c r="O71" i="15" s="1"/>
  <c r="R91" i="15"/>
  <c r="R53" i="15"/>
  <c r="B70" i="15"/>
  <c r="A16" i="15"/>
  <c r="P9" i="15"/>
  <c r="P19" i="15"/>
  <c r="P106" i="15" s="1"/>
  <c r="Q11" i="15"/>
  <c r="B30" i="15"/>
  <c r="B54" i="15"/>
  <c r="A55" i="15" s="1"/>
  <c r="E23" i="14"/>
  <c r="E18" i="14"/>
  <c r="Q54" i="15" l="1"/>
  <c r="S54" i="15" s="1"/>
  <c r="C54" i="15"/>
  <c r="E54" i="15" s="1"/>
  <c r="C30" i="15"/>
  <c r="Q30" i="15"/>
  <c r="V30" i="15" s="1"/>
  <c r="E30" i="15"/>
  <c r="A17" i="15"/>
  <c r="A18" i="15" s="1"/>
  <c r="P164" i="15"/>
  <c r="P215" i="15" s="1"/>
  <c r="F30" i="15"/>
  <c r="A31" i="15"/>
  <c r="P147" i="15"/>
  <c r="R92" i="15"/>
  <c r="Q92" i="15"/>
  <c r="B16" i="15"/>
  <c r="D16" i="15" s="1"/>
  <c r="O16" i="15"/>
  <c r="A71" i="15"/>
  <c r="B104" i="15"/>
  <c r="E24" i="14"/>
  <c r="E34" i="14" s="1"/>
  <c r="E28" i="14"/>
  <c r="F138" i="1"/>
  <c r="E27" i="14"/>
  <c r="D20" i="14"/>
  <c r="E59" i="14"/>
  <c r="E58" i="14"/>
  <c r="E60" i="14" s="1"/>
  <c r="J129" i="1"/>
  <c r="J132" i="1"/>
  <c r="J131" i="1"/>
  <c r="J92" i="4"/>
  <c r="K91" i="4" s="1"/>
  <c r="L90" i="4" s="1"/>
  <c r="K92" i="4"/>
  <c r="L91" i="4" s="1"/>
  <c r="L92" i="4"/>
  <c r="H30" i="15" l="1"/>
  <c r="B17" i="15"/>
  <c r="D17" i="15" s="1"/>
  <c r="O165" i="15"/>
  <c r="B18" i="15"/>
  <c r="D18" i="15" s="1"/>
  <c r="D19" i="15"/>
  <c r="Q93" i="15"/>
  <c r="R93" i="15"/>
  <c r="P16" i="15"/>
  <c r="R16" i="15" s="1"/>
  <c r="G24" i="14"/>
  <c r="G25" i="14" s="1"/>
  <c r="E33" i="14"/>
  <c r="E61" i="14"/>
  <c r="G30" i="14"/>
  <c r="E32" i="14" s="1"/>
  <c r="R94" i="15" l="1"/>
  <c r="Q94" i="15"/>
  <c r="G34" i="14"/>
  <c r="G35" i="14" s="1"/>
  <c r="G36" i="14" s="1"/>
  <c r="I139" i="1" s="1"/>
  <c r="R95" i="15" l="1"/>
  <c r="Q95" i="15"/>
  <c r="BZ25" i="1"/>
  <c r="C41" i="14"/>
  <c r="D53" i="5"/>
  <c r="R96" i="15" l="1"/>
  <c r="Q96" i="15"/>
  <c r="P29" i="1"/>
  <c r="Q97" i="15" l="1"/>
  <c r="R97" i="15"/>
  <c r="D43" i="5"/>
  <c r="I210" i="3"/>
  <c r="Q98" i="15" l="1"/>
  <c r="R98" i="15"/>
  <c r="P10" i="15"/>
  <c r="S10" i="15"/>
  <c r="T10" i="15"/>
  <c r="P4" i="15"/>
  <c r="C12" i="15"/>
  <c r="P15" i="15"/>
  <c r="S12" i="15"/>
  <c r="C16" i="15"/>
  <c r="C17" i="15" s="1"/>
  <c r="C18" i="15" s="1"/>
  <c r="E19" i="15" s="1"/>
  <c r="O17" i="15"/>
  <c r="Q16" i="15"/>
  <c r="F16" i="6"/>
  <c r="G16" i="6"/>
  <c r="H16" i="6"/>
  <c r="I16" i="6"/>
  <c r="K16" i="6"/>
  <c r="M16" i="6"/>
  <c r="AW72" i="5"/>
  <c r="D49" i="7"/>
  <c r="D54" i="5"/>
  <c r="R99" i="15" l="1"/>
  <c r="Q99" i="15"/>
  <c r="A20" i="15"/>
  <c r="C19" i="15"/>
  <c r="G3" i="15" s="1"/>
  <c r="D3" i="15" s="1"/>
  <c r="O18" i="15"/>
  <c r="P17" i="15"/>
  <c r="R17" i="15" s="1"/>
  <c r="Q17" i="15" s="1"/>
  <c r="P54" i="15"/>
  <c r="P30" i="15"/>
  <c r="Q12" i="15"/>
  <c r="H11" i="7"/>
  <c r="BC3" i="1"/>
  <c r="Q100" i="15" l="1"/>
  <c r="R100" i="15"/>
  <c r="O31" i="15"/>
  <c r="T30" i="15"/>
  <c r="O55" i="15"/>
  <c r="P18" i="15"/>
  <c r="R18" i="15" s="1"/>
  <c r="Q18" i="15" s="1"/>
  <c r="R19" i="15"/>
  <c r="B20" i="15"/>
  <c r="A21" i="15"/>
  <c r="BS4" i="1"/>
  <c r="C9" i="4"/>
  <c r="DX3" i="3" l="1"/>
  <c r="EV3" i="3"/>
  <c r="Q101" i="15"/>
  <c r="R101" i="15"/>
  <c r="S19" i="15"/>
  <c r="O20" i="15" s="1"/>
  <c r="D20" i="15"/>
  <c r="C20" i="15" s="1"/>
  <c r="B21" i="15"/>
  <c r="D21" i="15" s="1"/>
  <c r="F99" i="3"/>
  <c r="B9" i="4"/>
  <c r="A16" i="4" s="1"/>
  <c r="C94" i="3"/>
  <c r="C137" i="3"/>
  <c r="EU3" i="3" l="1"/>
  <c r="DW3" i="3"/>
  <c r="Q102" i="15"/>
  <c r="R102" i="15"/>
  <c r="Q19" i="15"/>
  <c r="C21" i="15"/>
  <c r="C22" i="15" s="1"/>
  <c r="F23" i="15" s="1"/>
  <c r="O21" i="15"/>
  <c r="P21" i="15" s="1"/>
  <c r="R21" i="15" s="1"/>
  <c r="P20" i="15"/>
  <c r="B101" i="7"/>
  <c r="E101" i="7" s="1"/>
  <c r="B102" i="7"/>
  <c r="E102" i="7" s="1"/>
  <c r="B103" i="7"/>
  <c r="E103" i="7" s="1"/>
  <c r="B104" i="7"/>
  <c r="E104" i="7" s="1"/>
  <c r="B105" i="7"/>
  <c r="E105" i="7" s="1"/>
  <c r="B106" i="7"/>
  <c r="E106" i="7" s="1"/>
  <c r="B107" i="7"/>
  <c r="E107" i="7" s="1"/>
  <c r="B108" i="7"/>
  <c r="E108" i="7" s="1"/>
  <c r="B109" i="7"/>
  <c r="E109" i="7" s="1"/>
  <c r="B110" i="7"/>
  <c r="E110" i="7" s="1"/>
  <c r="B100" i="7"/>
  <c r="E100" i="7" s="1"/>
  <c r="E68" i="7"/>
  <c r="L59" i="7"/>
  <c r="L60" i="7"/>
  <c r="J59" i="7"/>
  <c r="R20" i="15" l="1"/>
  <c r="Q20" i="15" s="1"/>
  <c r="Q21" i="15" s="1"/>
  <c r="Q22" i="15" s="1"/>
  <c r="T23" i="15" s="1"/>
  <c r="E62" i="14"/>
  <c r="E63" i="14" s="1"/>
  <c r="H59" i="3"/>
  <c r="K59" i="3" s="1"/>
  <c r="D58" i="3"/>
  <c r="BV5" i="1"/>
  <c r="BV6" i="1" s="1"/>
  <c r="BV7" i="1" s="1"/>
  <c r="BV8" i="1" s="1"/>
  <c r="BV9" i="1" s="1"/>
  <c r="BV10" i="1" s="1"/>
  <c r="BV11" i="1" s="1"/>
  <c r="BV12" i="1" s="1"/>
  <c r="BV13" i="1" s="1"/>
  <c r="BV14" i="1" s="1"/>
  <c r="BV15" i="1" s="1"/>
  <c r="BV16" i="1" s="1"/>
  <c r="BV17" i="1" s="1"/>
  <c r="BV18" i="1" s="1"/>
  <c r="BV19" i="1" s="1"/>
  <c r="BV20" i="1" s="1"/>
  <c r="BV21" i="1" s="1"/>
  <c r="BV22" i="1" s="1"/>
  <c r="BV23" i="1" s="1"/>
  <c r="BV24" i="1" s="1"/>
  <c r="BV25" i="1" s="1"/>
  <c r="BV26" i="1" s="1"/>
  <c r="BV27" i="1" s="1"/>
  <c r="BV28" i="1" s="1"/>
  <c r="BV29" i="1" s="1"/>
  <c r="BV30" i="1" s="1"/>
  <c r="BV31" i="1" s="1"/>
  <c r="BV32" i="1" s="1"/>
  <c r="BV33" i="1" s="1"/>
  <c r="BV34" i="1" s="1"/>
  <c r="BV35" i="1" s="1"/>
  <c r="BV36" i="1" s="1"/>
  <c r="BV37" i="1" s="1"/>
  <c r="BV38" i="1" s="1"/>
  <c r="BV39" i="1" s="1"/>
  <c r="BV40" i="1" s="1"/>
  <c r="BV41" i="1" s="1"/>
  <c r="BV42" i="1" s="1"/>
  <c r="BV43" i="1" s="1"/>
  <c r="BV44" i="1" s="1"/>
  <c r="BV45" i="1" s="1"/>
  <c r="BV46" i="1" s="1"/>
  <c r="BV47" i="1" s="1"/>
  <c r="BV48" i="1" s="1"/>
  <c r="BV49" i="1" s="1"/>
  <c r="BV50" i="1" s="1"/>
  <c r="BV51" i="1" s="1"/>
  <c r="BV52" i="1" s="1"/>
  <c r="BV53" i="1" s="1"/>
  <c r="BV54" i="1" s="1"/>
  <c r="BV55" i="1" s="1"/>
  <c r="BV56" i="1" s="1"/>
  <c r="BV57" i="1" s="1"/>
  <c r="BV58" i="1" s="1"/>
  <c r="BV59" i="1" s="1"/>
  <c r="BV60" i="1" s="1"/>
  <c r="BV61" i="1" s="1"/>
  <c r="BV62" i="1" s="1"/>
  <c r="BV63" i="1" s="1"/>
  <c r="BV64" i="1" s="1"/>
  <c r="BV65" i="1" s="1"/>
  <c r="BV66" i="1" s="1"/>
  <c r="BV67" i="1" s="1"/>
  <c r="BV68" i="1" s="1"/>
  <c r="BV69" i="1" s="1"/>
  <c r="BV70" i="1" s="1"/>
  <c r="BV71" i="1" s="1"/>
  <c r="BV72" i="1" s="1"/>
  <c r="BV73" i="1" s="1"/>
  <c r="BV74" i="1" s="1"/>
  <c r="BV75" i="1" s="1"/>
  <c r="BV76" i="1" s="1"/>
  <c r="BV77" i="1" s="1"/>
  <c r="BV78" i="1" s="1"/>
  <c r="BV79" i="1" s="1"/>
  <c r="BV80" i="1" s="1"/>
  <c r="BV81" i="1" s="1"/>
  <c r="BV82" i="1" s="1"/>
  <c r="BV83" i="1" s="1"/>
  <c r="BV84" i="1" s="1"/>
  <c r="BV85" i="1" s="1"/>
  <c r="BV86" i="1" s="1"/>
  <c r="BV87" i="1" s="1"/>
  <c r="BV88" i="1" s="1"/>
  <c r="BV89" i="1" s="1"/>
  <c r="BV90" i="1" s="1"/>
  <c r="BV91" i="1" s="1"/>
  <c r="BV92" i="1" s="1"/>
  <c r="BV93" i="1" s="1"/>
  <c r="BV94" i="1" s="1"/>
  <c r="BV95" i="1" s="1"/>
  <c r="BV96" i="1" s="1"/>
  <c r="BV97" i="1" s="1"/>
  <c r="BV98" i="1" s="1"/>
  <c r="BV99" i="1" s="1"/>
  <c r="BV100" i="1" s="1"/>
  <c r="BV101" i="1" s="1"/>
  <c r="BV102" i="1" s="1"/>
  <c r="BV103" i="1" s="1"/>
  <c r="BV104" i="1" s="1"/>
  <c r="BV105" i="1" s="1"/>
  <c r="BV106" i="1" s="1"/>
  <c r="BV107" i="1" s="1"/>
  <c r="BV108" i="1" s="1"/>
  <c r="BV109" i="1" s="1"/>
  <c r="BV110" i="1" s="1"/>
  <c r="BV111" i="1" s="1"/>
  <c r="BV112" i="1" s="1"/>
  <c r="BV113" i="1" s="1"/>
  <c r="BV114" i="1" s="1"/>
  <c r="BV115" i="1" s="1"/>
  <c r="BV116" i="1" s="1"/>
  <c r="BV117" i="1" s="1"/>
  <c r="BV118" i="1" s="1"/>
  <c r="BV119" i="1" s="1"/>
  <c r="BV120" i="1" s="1"/>
  <c r="BV121" i="1" s="1"/>
  <c r="BV122" i="1" s="1"/>
  <c r="BV123" i="1" s="1"/>
  <c r="BV124" i="1" s="1"/>
  <c r="BV125" i="1" s="1"/>
  <c r="BV126" i="1" s="1"/>
  <c r="BV127" i="1" s="1"/>
  <c r="BV128" i="1" s="1"/>
  <c r="BV129" i="1" s="1"/>
  <c r="BV130" i="1" s="1"/>
  <c r="BV131" i="1" s="1"/>
  <c r="BV132" i="1" s="1"/>
  <c r="BV133" i="1" s="1"/>
  <c r="BV134" i="1" s="1"/>
  <c r="BV135" i="1" s="1"/>
  <c r="BV136" i="1" s="1"/>
  <c r="BV137" i="1" s="1"/>
  <c r="BV138" i="1" s="1"/>
  <c r="BV139" i="1" s="1"/>
  <c r="BV140" i="1" s="1"/>
  <c r="BV141" i="1" s="1"/>
  <c r="BV142" i="1" s="1"/>
  <c r="BV143" i="1" s="1"/>
  <c r="BV144" i="1" s="1"/>
  <c r="BV145" i="1" s="1"/>
  <c r="BV146" i="1" s="1"/>
  <c r="BV147" i="1" s="1"/>
  <c r="BV148" i="1" s="1"/>
  <c r="BV149" i="1" s="1"/>
  <c r="BV150" i="1" s="1"/>
  <c r="BV151" i="1" s="1"/>
  <c r="BV152" i="1" s="1"/>
  <c r="BV153" i="1" s="1"/>
  <c r="BV154" i="1" s="1"/>
  <c r="BV155" i="1" s="1"/>
  <c r="BV156" i="1" s="1"/>
  <c r="BV157" i="1" s="1"/>
  <c r="I17" i="7"/>
  <c r="D17" i="7" s="1"/>
  <c r="I16" i="7"/>
  <c r="D16" i="7" s="1"/>
  <c r="I15" i="7"/>
  <c r="G6" i="7"/>
  <c r="U3" i="6"/>
  <c r="D15" i="7" l="1"/>
  <c r="L15" i="7"/>
  <c r="B15" i="11" l="1"/>
  <c r="C9" i="8"/>
  <c r="J39" i="7"/>
  <c r="J40" i="7"/>
  <c r="J41" i="7"/>
  <c r="J42" i="7"/>
  <c r="J43" i="7"/>
  <c r="H101" i="7"/>
  <c r="H103" i="7"/>
  <c r="H105" i="7"/>
  <c r="H107" i="7"/>
  <c r="H109" i="7"/>
  <c r="A101" i="7"/>
  <c r="B4" i="2"/>
  <c r="B5" i="2"/>
  <c r="B6" i="2"/>
  <c r="B7" i="2"/>
  <c r="B8" i="2"/>
  <c r="B9" i="2"/>
  <c r="B10" i="2"/>
  <c r="B11" i="2"/>
  <c r="B12" i="2"/>
  <c r="B13" i="2"/>
  <c r="B3" i="2"/>
  <c r="D89" i="7"/>
  <c r="D91" i="7"/>
  <c r="J85" i="7"/>
  <c r="J83" i="7"/>
  <c r="J82" i="7"/>
  <c r="J81" i="7"/>
  <c r="J80" i="7"/>
  <c r="J79" i="7"/>
  <c r="J77" i="7"/>
  <c r="J76" i="7"/>
  <c r="H77" i="7"/>
  <c r="H79" i="7"/>
  <c r="H80" i="7"/>
  <c r="H81" i="7"/>
  <c r="H82" i="7"/>
  <c r="H85" i="7"/>
  <c r="L84" i="7"/>
  <c r="I38" i="5"/>
  <c r="F64" i="5"/>
  <c r="F68" i="5"/>
  <c r="H54" i="5"/>
  <c r="H55" i="5"/>
  <c r="H56" i="5"/>
  <c r="H57" i="5"/>
  <c r="H58" i="5"/>
  <c r="H59" i="5"/>
  <c r="H60" i="5"/>
  <c r="H61" i="5"/>
  <c r="H62" i="5"/>
  <c r="I68" i="5"/>
  <c r="I64" i="5"/>
  <c r="G58" i="5"/>
  <c r="G59" i="5"/>
  <c r="D59" i="5" s="1"/>
  <c r="D55" i="7" s="1"/>
  <c r="G60" i="5"/>
  <c r="G61" i="5"/>
  <c r="G62" i="5"/>
  <c r="G63" i="5"/>
  <c r="F63" i="5" s="1"/>
  <c r="G57" i="5"/>
  <c r="D55" i="5"/>
  <c r="D51" i="7" s="1"/>
  <c r="L81" i="7"/>
  <c r="L72" i="7"/>
  <c r="L71" i="7"/>
  <c r="L70" i="7"/>
  <c r="L68" i="7"/>
  <c r="L58" i="7"/>
  <c r="L57" i="7"/>
  <c r="L56" i="7"/>
  <c r="L55" i="7"/>
  <c r="L54" i="7"/>
  <c r="L53" i="7"/>
  <c r="L52" i="7"/>
  <c r="L51" i="7"/>
  <c r="L50" i="7"/>
  <c r="L48" i="7"/>
  <c r="L46" i="7"/>
  <c r="L43" i="7"/>
  <c r="L42" i="7"/>
  <c r="L41" i="7"/>
  <c r="L40" i="7"/>
  <c r="L38" i="7"/>
  <c r="L37" i="7"/>
  <c r="L36" i="7"/>
  <c r="L35" i="7"/>
  <c r="L34" i="7"/>
  <c r="L33" i="7"/>
  <c r="L32" i="7"/>
  <c r="L31" i="7"/>
  <c r="L30" i="7"/>
  <c r="L29" i="7"/>
  <c r="L28" i="7"/>
  <c r="L27" i="7"/>
  <c r="L25" i="7"/>
  <c r="L24" i="7"/>
  <c r="L23" i="7"/>
  <c r="L22" i="7"/>
  <c r="J75" i="7"/>
  <c r="J58" i="7"/>
  <c r="J57" i="7"/>
  <c r="J56" i="7"/>
  <c r="J55" i="7"/>
  <c r="J54" i="7"/>
  <c r="J53" i="7"/>
  <c r="J52" i="7"/>
  <c r="J51" i="7"/>
  <c r="J50" i="7"/>
  <c r="J48" i="7"/>
  <c r="J46" i="7"/>
  <c r="J45" i="7"/>
  <c r="J37" i="7"/>
  <c r="J36" i="7"/>
  <c r="J35" i="7"/>
  <c r="J32" i="7"/>
  <c r="J31" i="7"/>
  <c r="J30" i="7"/>
  <c r="J29" i="7"/>
  <c r="J28" i="7"/>
  <c r="J27" i="7"/>
  <c r="J25" i="7"/>
  <c r="J24" i="7"/>
  <c r="J23" i="7"/>
  <c r="J22" i="7"/>
  <c r="H24" i="7"/>
  <c r="H25" i="7"/>
  <c r="H27" i="7"/>
  <c r="H34" i="7"/>
  <c r="H35" i="7"/>
  <c r="H36" i="7"/>
  <c r="H38" i="7"/>
  <c r="H39" i="7"/>
  <c r="H40" i="7"/>
  <c r="H41" i="7"/>
  <c r="H42" i="7"/>
  <c r="H43" i="7"/>
  <c r="H45" i="7"/>
  <c r="H46" i="7"/>
  <c r="H48" i="7"/>
  <c r="H75" i="7"/>
  <c r="H76" i="7"/>
  <c r="C48" i="7"/>
  <c r="N118" i="1"/>
  <c r="N117" i="1"/>
  <c r="C27" i="5" s="1"/>
  <c r="C28" i="7"/>
  <c r="B28" i="7" s="1"/>
  <c r="Q122" i="1"/>
  <c r="Q118" i="1"/>
  <c r="Q117" i="1"/>
  <c r="Q116" i="1"/>
  <c r="Q115" i="1"/>
  <c r="N115" i="1"/>
  <c r="J10" i="8"/>
  <c r="C8" i="8"/>
  <c r="D62" i="5" l="1"/>
  <c r="D58" i="7" s="1"/>
  <c r="L62" i="5"/>
  <c r="I61" i="7"/>
  <c r="H64" i="5"/>
  <c r="J61" i="7" s="1"/>
  <c r="E84" i="5"/>
  <c r="H68" i="5"/>
  <c r="J68" i="5" s="1"/>
  <c r="J66" i="7" s="1"/>
  <c r="D57" i="5"/>
  <c r="D53" i="7" s="1"/>
  <c r="F60" i="5"/>
  <c r="D58" i="5"/>
  <c r="D54" i="7" s="1"/>
  <c r="F61" i="5"/>
  <c r="C61" i="5"/>
  <c r="F59" i="5"/>
  <c r="F62" i="5"/>
  <c r="E87" i="5"/>
  <c r="M38" i="5"/>
  <c r="L38" i="5"/>
  <c r="C68" i="5"/>
  <c r="I66" i="7"/>
  <c r="N66" i="7" s="1"/>
  <c r="D61" i="5"/>
  <c r="D57" i="7" s="1"/>
  <c r="D60" i="5"/>
  <c r="D56" i="7" s="1"/>
  <c r="A110" i="7"/>
  <c r="A102" i="7"/>
  <c r="A106" i="7"/>
  <c r="A100" i="7"/>
  <c r="A108" i="7"/>
  <c r="A104" i="7"/>
  <c r="A109" i="7"/>
  <c r="A107" i="7"/>
  <c r="A105" i="7"/>
  <c r="A103" i="7"/>
  <c r="H110" i="7"/>
  <c r="H108" i="7"/>
  <c r="H106" i="7"/>
  <c r="H104" i="7"/>
  <c r="H102" i="7"/>
  <c r="H100" i="7"/>
  <c r="F57" i="5"/>
  <c r="I56" i="7"/>
  <c r="I54" i="7"/>
  <c r="F58" i="5"/>
  <c r="I57" i="7"/>
  <c r="C57" i="7" s="1"/>
  <c r="I55" i="7"/>
  <c r="I53" i="7"/>
  <c r="I58" i="7"/>
  <c r="I59" i="7"/>
  <c r="G44" i="7"/>
  <c r="J64" i="5" l="1"/>
  <c r="H66" i="7"/>
  <c r="N59" i="7"/>
  <c r="C59" i="7"/>
  <c r="N54" i="7"/>
  <c r="E66" i="7"/>
  <c r="C66" i="7"/>
  <c r="H53" i="7"/>
  <c r="N53" i="7"/>
  <c r="H57" i="7"/>
  <c r="N57" i="7"/>
  <c r="H58" i="7"/>
  <c r="N58" i="7"/>
  <c r="H55" i="7"/>
  <c r="N55" i="7"/>
  <c r="H56" i="7"/>
  <c r="N56" i="7"/>
  <c r="H59" i="7"/>
  <c r="H54" i="7"/>
  <c r="G8" i="7" l="1"/>
  <c r="E8" i="7"/>
  <c r="W25" i="6" l="1"/>
  <c r="L25" i="6"/>
  <c r="A25" i="6"/>
  <c r="W24" i="6"/>
  <c r="L24" i="6"/>
  <c r="A24" i="6"/>
  <c r="W23" i="6"/>
  <c r="L23" i="6"/>
  <c r="A23" i="6"/>
  <c r="W22" i="6"/>
  <c r="L22" i="6"/>
  <c r="A22" i="6"/>
  <c r="W20" i="6"/>
  <c r="N20" i="6"/>
  <c r="Y20" i="6" s="1"/>
  <c r="X20" i="6" l="1"/>
  <c r="N22" i="6"/>
  <c r="N23" i="6"/>
  <c r="N24" i="6"/>
  <c r="X24" i="6" s="1"/>
  <c r="Y24" i="6" s="1"/>
  <c r="N25" i="6"/>
  <c r="X25" i="6" s="1"/>
  <c r="Y25" i="6" s="1"/>
  <c r="X23" i="6" l="1"/>
  <c r="Y23" i="6"/>
  <c r="X22" i="6"/>
  <c r="Y22" i="6"/>
  <c r="W16" i="6"/>
  <c r="O3" i="6" l="1"/>
  <c r="E86" i="5"/>
  <c r="E85" i="5"/>
  <c r="G88" i="5" l="1"/>
  <c r="I88" i="5" s="1"/>
  <c r="L16" i="7"/>
  <c r="D63" i="5" l="1"/>
  <c r="L60" i="5" l="1"/>
  <c r="L58" i="5"/>
  <c r="L59" i="5"/>
  <c r="L61" i="5"/>
  <c r="L57" i="5" l="1"/>
  <c r="D50" i="7"/>
  <c r="G47" i="5" l="1"/>
  <c r="I73" i="7" l="1"/>
  <c r="F47" i="5"/>
  <c r="L47" i="5"/>
  <c r="G46" i="5"/>
  <c r="G45" i="5"/>
  <c r="G44" i="5"/>
  <c r="N73" i="7" l="1"/>
  <c r="B73" i="7" s="1"/>
  <c r="C73" i="7"/>
  <c r="E73" i="7"/>
  <c r="H73" i="7"/>
  <c r="I70" i="7"/>
  <c r="N70" i="7" s="1"/>
  <c r="I72" i="7"/>
  <c r="N72" i="7" s="1"/>
  <c r="B72" i="7" s="1"/>
  <c r="I71" i="7"/>
  <c r="N71" i="7" s="1"/>
  <c r="F46" i="5"/>
  <c r="L45" i="5"/>
  <c r="L44" i="5"/>
  <c r="F45" i="5"/>
  <c r="L46" i="5"/>
  <c r="F44" i="5"/>
  <c r="M42" i="5"/>
  <c r="E71" i="7" l="1"/>
  <c r="H71" i="7"/>
  <c r="E72" i="7"/>
  <c r="H72" i="7"/>
  <c r="E70" i="7"/>
  <c r="H70" i="7"/>
  <c r="B35" i="5"/>
  <c r="G28" i="5" l="1"/>
  <c r="F28" i="5" s="1"/>
  <c r="C28" i="5"/>
  <c r="C32" i="7" s="1"/>
  <c r="B32" i="7" s="1"/>
  <c r="G27" i="5"/>
  <c r="F27" i="5" s="1"/>
  <c r="C31" i="7"/>
  <c r="B31" i="7" s="1"/>
  <c r="G26" i="5"/>
  <c r="G25" i="5"/>
  <c r="C25" i="5"/>
  <c r="C29" i="7" s="1"/>
  <c r="M24" i="5"/>
  <c r="F25" i="5" l="1"/>
  <c r="G29" i="7"/>
  <c r="L28" i="5"/>
  <c r="G32" i="7"/>
  <c r="L27" i="5"/>
  <c r="G31" i="7"/>
  <c r="L26" i="5"/>
  <c r="G30" i="7"/>
  <c r="F26" i="5"/>
  <c r="L25" i="5"/>
  <c r="M25" i="5" l="1"/>
  <c r="B25" i="5" s="1"/>
  <c r="B29" i="7" s="1"/>
  <c r="M28" i="5"/>
  <c r="B28" i="5" s="1"/>
  <c r="M27" i="5"/>
  <c r="B27" i="5" s="1"/>
  <c r="M26" i="5"/>
  <c r="D14" i="5" l="1"/>
  <c r="D13" i="5"/>
  <c r="D11" i="5" l="1"/>
  <c r="F10" i="5"/>
  <c r="AV77" i="5"/>
  <c r="F7" i="5"/>
  <c r="F6" i="5"/>
  <c r="A1" i="5"/>
  <c r="D5" i="14" l="1"/>
  <c r="D4" i="14"/>
  <c r="Q15" i="4" l="1"/>
  <c r="R14" i="4"/>
  <c r="D14" i="4"/>
  <c r="E13" i="4"/>
  <c r="C13" i="4"/>
  <c r="R10" i="4"/>
  <c r="T9" i="4"/>
  <c r="S9" i="4"/>
  <c r="F9" i="4"/>
  <c r="B5" i="4"/>
  <c r="S4" i="4"/>
  <c r="B3" i="4"/>
  <c r="AJ1" i="3" l="1"/>
  <c r="AJ3" i="3" s="1"/>
  <c r="B22" i="4"/>
  <c r="CD1" i="3"/>
  <c r="S13" i="4"/>
  <c r="R2" i="4"/>
  <c r="P5" i="4" s="1"/>
  <c r="R207" i="4" s="1"/>
  <c r="Q30" i="4"/>
  <c r="S30" i="4"/>
  <c r="B19" i="4"/>
  <c r="C54" i="4"/>
  <c r="E54" i="4" s="1"/>
  <c r="C30" i="4"/>
  <c r="E30" i="4"/>
  <c r="F5" i="4"/>
  <c r="Q9" i="4"/>
  <c r="Q13" i="4"/>
  <c r="P6" i="4"/>
  <c r="P7" i="4" s="1"/>
  <c r="P9" i="4"/>
  <c r="C11" i="4"/>
  <c r="R208" i="4" s="1"/>
  <c r="D2" i="4"/>
  <c r="AI3" i="3" l="1"/>
  <c r="CY1" i="3"/>
  <c r="CY3" i="3" s="1"/>
  <c r="CX3" i="3" s="1"/>
  <c r="CD3" i="3"/>
  <c r="CC3" i="3" s="1"/>
  <c r="AK1" i="3"/>
  <c r="W161" i="4"/>
  <c r="R3" i="4"/>
  <c r="P8" i="4"/>
  <c r="P22" i="4"/>
  <c r="B16" i="4"/>
  <c r="D16" i="4" s="1"/>
  <c r="G22" i="4"/>
  <c r="V30" i="4"/>
  <c r="P3" i="4"/>
  <c r="H30" i="4"/>
  <c r="AG3" i="3" l="1"/>
  <c r="AF5" i="3"/>
  <c r="BF1" i="3"/>
  <c r="P19" i="4"/>
  <c r="Q11" i="4"/>
  <c r="AG11" i="3" l="1"/>
  <c r="AG6" i="3"/>
  <c r="AG5" i="3"/>
  <c r="CA11" i="3"/>
  <c r="AG4" i="3"/>
  <c r="AG7" i="3"/>
  <c r="BR54" i="3" l="1"/>
  <c r="AW55" i="3" s="1"/>
  <c r="I53" i="3" l="1"/>
  <c r="F53" i="3"/>
  <c r="I202" i="3" l="1"/>
  <c r="I201" i="3" l="1"/>
  <c r="I199" i="3" l="1"/>
  <c r="D32" i="3"/>
  <c r="B38" i="3" s="1"/>
  <c r="B41" i="3" l="1"/>
  <c r="B37" i="3"/>
  <c r="B40" i="3"/>
  <c r="B39" i="3"/>
  <c r="B36" i="3"/>
  <c r="I198" i="3"/>
  <c r="G30" i="3" l="1"/>
  <c r="I196" i="3"/>
  <c r="I195" i="3" l="1"/>
  <c r="F27" i="3" l="1"/>
  <c r="I193" i="3"/>
  <c r="I192" i="3" l="1"/>
  <c r="H192" i="3"/>
  <c r="H195" i="3" s="1"/>
  <c r="H198" i="3" s="1"/>
  <c r="H201" i="3" s="1"/>
  <c r="G24" i="3" l="1"/>
  <c r="F24" i="3"/>
  <c r="DX52" i="3" l="1"/>
  <c r="EA52" i="3" s="1"/>
  <c r="EV52" i="3"/>
  <c r="G23" i="3"/>
  <c r="EY52" i="3" l="1"/>
  <c r="FB52" i="3" s="1"/>
  <c r="EU52" i="3"/>
  <c r="DW52" i="3"/>
  <c r="EC52" i="3"/>
  <c r="F23" i="3"/>
  <c r="FG52" i="3" l="1"/>
  <c r="FA52" i="3"/>
  <c r="EI52" i="3"/>
  <c r="EB52" i="3"/>
  <c r="DX51" i="3"/>
  <c r="EV51" i="3"/>
  <c r="EU51" i="3" s="1"/>
  <c r="ED52" i="3"/>
  <c r="EZ52" i="3"/>
  <c r="L28" i="3"/>
  <c r="DW51" i="3" l="1"/>
  <c r="FK52" i="3"/>
  <c r="K28" i="3"/>
  <c r="F14" i="3" l="1"/>
  <c r="F13" i="3"/>
  <c r="K41" i="3" l="1"/>
  <c r="K40" i="3"/>
  <c r="F10" i="3" l="1"/>
  <c r="B4" i="3" l="1"/>
  <c r="F30" i="3" l="1"/>
  <c r="G29" i="3"/>
  <c r="C4" i="3"/>
  <c r="I4" i="3" s="1"/>
  <c r="B3" i="3"/>
  <c r="B2" i="3"/>
  <c r="C2" i="3" s="1"/>
  <c r="BH1" i="3"/>
  <c r="O1" i="3"/>
  <c r="I2" i="3" l="1"/>
  <c r="H2" i="3"/>
  <c r="D2" i="3"/>
  <c r="F28" i="3"/>
  <c r="G27" i="3"/>
  <c r="E4" i="3"/>
  <c r="F29" i="3"/>
  <c r="G28" i="3"/>
  <c r="AJ52" i="3"/>
  <c r="AJ51" i="3"/>
  <c r="F2" i="3"/>
  <c r="BE1" i="3"/>
  <c r="E2" i="3"/>
  <c r="G2" i="3"/>
  <c r="C3" i="3"/>
  <c r="E3" i="3"/>
  <c r="V373" i="1"/>
  <c r="U373" i="1"/>
  <c r="V372" i="1"/>
  <c r="U372" i="1"/>
  <c r="V371" i="1"/>
  <c r="W371" i="1" s="1"/>
  <c r="U371" i="1"/>
  <c r="AM52" i="3" l="1"/>
  <c r="AN52" i="3" s="1"/>
  <c r="AU52" i="3" s="1"/>
  <c r="AI51" i="3"/>
  <c r="H3" i="3"/>
  <c r="I3" i="3"/>
  <c r="X371" i="1"/>
  <c r="AA371" i="1" s="1"/>
  <c r="X373" i="1"/>
  <c r="W373" i="1" s="1"/>
  <c r="BE52" i="3"/>
  <c r="BE51" i="3"/>
  <c r="BE3" i="3"/>
  <c r="AI52" i="3"/>
  <c r="V370" i="1"/>
  <c r="U370" i="1"/>
  <c r="V369" i="1"/>
  <c r="W369" i="1" s="1"/>
  <c r="U369" i="1"/>
  <c r="BH52" i="3" l="1"/>
  <c r="BI52" i="3" s="1"/>
  <c r="BP52" i="3" s="1"/>
  <c r="AD371" i="1"/>
  <c r="AE371" i="1" s="1"/>
  <c r="AB371" i="1"/>
  <c r="AC371" i="1" s="1"/>
  <c r="X370" i="1"/>
  <c r="X369" i="1"/>
  <c r="Y369" i="1" s="1"/>
  <c r="AA373" i="1"/>
  <c r="AB373" i="1" s="1"/>
  <c r="BD3" i="3"/>
  <c r="BD52" i="3"/>
  <c r="BD51" i="3"/>
  <c r="V368" i="1"/>
  <c r="U368" i="1"/>
  <c r="AG371" i="1" l="1"/>
  <c r="AF371" i="1"/>
  <c r="W370" i="1"/>
  <c r="Y370" i="1"/>
  <c r="Z369" i="1"/>
  <c r="X368" i="1"/>
  <c r="V367" i="1"/>
  <c r="U367" i="1"/>
  <c r="X367" i="1" l="1"/>
  <c r="W368" i="1"/>
  <c r="Y368" i="1"/>
  <c r="AA368" i="1"/>
  <c r="W367" i="1" l="1"/>
  <c r="AA367" i="1"/>
  <c r="AD367" i="1" s="1"/>
  <c r="AG367" i="1" s="1"/>
  <c r="Z368" i="1"/>
  <c r="AB368" i="1"/>
  <c r="AD368" i="1"/>
  <c r="V366" i="1"/>
  <c r="U366" i="1"/>
  <c r="X366" i="1" l="1"/>
  <c r="W366" i="1" s="1"/>
  <c r="AC368" i="1"/>
  <c r="AE368" i="1"/>
  <c r="V365" i="1"/>
  <c r="W365" i="1" s="1"/>
  <c r="U365" i="1"/>
  <c r="X365" i="1" s="1"/>
  <c r="Y365" i="1" s="1"/>
  <c r="AA366" i="1" l="1"/>
  <c r="AB366" i="1" s="1"/>
  <c r="V364" i="1"/>
  <c r="U364" i="1"/>
  <c r="V363" i="1" l="1"/>
  <c r="W363" i="1" s="1"/>
  <c r="U363" i="1"/>
  <c r="X363" i="1" l="1"/>
  <c r="Y363" i="1" s="1"/>
  <c r="V362" i="1"/>
  <c r="U362" i="1"/>
  <c r="Z363" i="1" l="1"/>
  <c r="V361" i="1"/>
  <c r="U361" i="1"/>
  <c r="V360" i="1" l="1"/>
  <c r="U360" i="1"/>
  <c r="X360" i="1" l="1"/>
  <c r="W360" i="1" s="1"/>
  <c r="V359" i="1"/>
  <c r="W359" i="1" s="1"/>
  <c r="U359" i="1"/>
  <c r="AA360" i="1" l="1"/>
  <c r="AB360" i="1" s="1"/>
  <c r="X359" i="1"/>
  <c r="Y359" i="1" s="1"/>
  <c r="Z359" i="1" s="1"/>
  <c r="V358" i="1"/>
  <c r="U358" i="1"/>
  <c r="X358" i="1" l="1"/>
  <c r="W358" i="1" s="1"/>
  <c r="V357" i="1"/>
  <c r="W357" i="1" s="1"/>
  <c r="U357" i="1"/>
  <c r="AA358" i="1" l="1"/>
  <c r="AB358" i="1" s="1"/>
  <c r="X357" i="1"/>
  <c r="Y357" i="1" s="1"/>
  <c r="V356" i="1"/>
  <c r="U356" i="1"/>
  <c r="X356" i="1" s="1"/>
  <c r="W356" i="1" l="1"/>
  <c r="Z357" i="1"/>
  <c r="AA357" i="1"/>
  <c r="AA356" i="1"/>
  <c r="AB356" i="1" s="1"/>
  <c r="AC356" i="1" s="1"/>
  <c r="V355" i="1"/>
  <c r="U355" i="1"/>
  <c r="AD357" i="1" l="1"/>
  <c r="AE357" i="1" s="1"/>
  <c r="AF357" i="1" s="1"/>
  <c r="X355" i="1"/>
  <c r="V354" i="1"/>
  <c r="U354" i="1"/>
  <c r="V353" i="1"/>
  <c r="W353" i="1" s="1"/>
  <c r="U353" i="1"/>
  <c r="V352" i="1"/>
  <c r="W352" i="1" s="1"/>
  <c r="U352" i="1"/>
  <c r="V351" i="1"/>
  <c r="U351" i="1"/>
  <c r="X353" i="1" l="1"/>
  <c r="Y353" i="1" s="1"/>
  <c r="X354" i="1"/>
  <c r="W354" i="1" s="1"/>
  <c r="W355" i="1"/>
  <c r="AA355" i="1"/>
  <c r="AG357" i="1"/>
  <c r="AH357" i="1" s="1"/>
  <c r="AA353" i="1" l="1"/>
  <c r="AB353" i="1" s="1"/>
  <c r="AC353" i="1" s="1"/>
  <c r="AA354" i="1"/>
  <c r="AB354" i="1" s="1"/>
  <c r="AC354" i="1" s="1"/>
  <c r="Z353" i="1"/>
  <c r="AD355" i="1"/>
  <c r="AE355" i="1" s="1"/>
  <c r="AF355" i="1" s="1"/>
  <c r="V350" i="1"/>
  <c r="U350" i="1"/>
  <c r="AD353" i="1" l="1"/>
  <c r="AE353" i="1" s="1"/>
  <c r="AF353" i="1" s="1"/>
  <c r="X350" i="1"/>
  <c r="W350" i="1" s="1"/>
  <c r="V349" i="1"/>
  <c r="U349" i="1"/>
  <c r="AG353" i="1" l="1"/>
  <c r="AH353" i="1" s="1"/>
  <c r="T353" i="1"/>
  <c r="X349" i="1"/>
  <c r="AA350" i="1"/>
  <c r="AB350" i="1" s="1"/>
  <c r="W349" i="1" l="1"/>
  <c r="AD350" i="1"/>
  <c r="AA349" i="1"/>
  <c r="AB349" i="1" s="1"/>
  <c r="AC349" i="1" s="1"/>
  <c r="V348" i="1"/>
  <c r="U348" i="1"/>
  <c r="AC350" i="1" l="1"/>
  <c r="AE350" i="1"/>
  <c r="AD349" i="1"/>
  <c r="AG349" i="1" s="1"/>
  <c r="V347" i="1" l="1"/>
  <c r="U347" i="1"/>
  <c r="V346" i="1" l="1"/>
  <c r="U346" i="1"/>
  <c r="X346" i="1" l="1"/>
  <c r="W346" i="1" s="1"/>
  <c r="AA346" i="1" l="1"/>
  <c r="AB346" i="1" s="1"/>
  <c r="V345" i="1" l="1"/>
  <c r="W345" i="1" s="1"/>
  <c r="U345" i="1"/>
  <c r="X345" i="1" l="1"/>
  <c r="Y345" i="1" s="1"/>
  <c r="Z345" i="1" s="1"/>
  <c r="V344" i="1" l="1"/>
  <c r="U344" i="1"/>
  <c r="V343" i="1" l="1"/>
  <c r="W343" i="1" s="1"/>
  <c r="U343" i="1"/>
  <c r="X343" i="1" s="1"/>
  <c r="AA343" i="1" l="1"/>
  <c r="AD343" i="1" s="1"/>
  <c r="AB343" i="1" l="1"/>
  <c r="AC343" i="1" s="1"/>
  <c r="AG343" i="1"/>
  <c r="V342" i="1" l="1"/>
  <c r="U342" i="1"/>
  <c r="X342" i="1" l="1"/>
  <c r="W342" i="1" l="1"/>
  <c r="Y342" i="1"/>
  <c r="V341" i="1" l="1"/>
  <c r="W341" i="1" s="1"/>
  <c r="U341" i="1"/>
  <c r="X341" i="1" s="1"/>
  <c r="Y341" i="1" s="1"/>
  <c r="V340" i="1" l="1"/>
  <c r="U340" i="1"/>
  <c r="X340" i="1" l="1"/>
  <c r="W340" i="1" l="1"/>
  <c r="Y340" i="1"/>
  <c r="V339" i="1" l="1"/>
  <c r="U339" i="1"/>
  <c r="X339" i="1" l="1"/>
  <c r="W339" i="1" s="1"/>
  <c r="AA339" i="1" l="1"/>
  <c r="AD339" i="1" s="1"/>
  <c r="AG339" i="1" l="1"/>
  <c r="AH339" i="1" l="1"/>
  <c r="V338" i="1" l="1"/>
  <c r="U338" i="1"/>
  <c r="X338" i="1" l="1"/>
  <c r="W338" i="1" s="1"/>
  <c r="AA338" i="1" l="1"/>
  <c r="AB338" i="1" s="1"/>
  <c r="V337" i="1" l="1"/>
  <c r="W337" i="1" s="1"/>
  <c r="U337" i="1"/>
  <c r="X337" i="1" s="1"/>
  <c r="Y337" i="1" s="1"/>
  <c r="Z337" i="1" s="1"/>
  <c r="V336" i="1" l="1"/>
  <c r="U336" i="1"/>
  <c r="V335" i="1" l="1"/>
  <c r="W335" i="1" s="1"/>
  <c r="U335" i="1"/>
  <c r="X335" i="1" s="1"/>
  <c r="Y335" i="1" s="1"/>
  <c r="V334" i="1" l="1"/>
  <c r="U334" i="1"/>
  <c r="X334" i="1" l="1"/>
  <c r="W334" i="1" s="1"/>
  <c r="AA334" i="1" l="1"/>
  <c r="AB334" i="1" s="1"/>
  <c r="V333" i="1"/>
  <c r="W333" i="1" s="1"/>
  <c r="U333" i="1"/>
  <c r="X333" i="1" l="1"/>
  <c r="Y333" i="1" s="1"/>
  <c r="V332" i="1" l="1"/>
  <c r="U332" i="1"/>
  <c r="V331" i="1" l="1"/>
  <c r="W331" i="1" s="1"/>
  <c r="U331" i="1"/>
  <c r="X331" i="1" l="1"/>
  <c r="Y331" i="1" s="1"/>
  <c r="Z331" i="1" s="1"/>
  <c r="AA331" i="1" l="1"/>
  <c r="I331" i="1"/>
  <c r="AB331" i="1" l="1"/>
  <c r="AD331" i="1"/>
  <c r="AG331" i="1" s="1"/>
  <c r="AC331" i="1" l="1"/>
  <c r="V330" i="1"/>
  <c r="U330" i="1"/>
  <c r="I330" i="1"/>
  <c r="V329" i="1" l="1"/>
  <c r="U329" i="1"/>
  <c r="I329" i="1"/>
  <c r="X329" i="1" l="1"/>
  <c r="W329" i="1" s="1"/>
  <c r="AA329" i="1" l="1"/>
  <c r="V328" i="1"/>
  <c r="U328" i="1"/>
  <c r="AB329" i="1" l="1"/>
  <c r="AC329" i="1" s="1"/>
  <c r="X328" i="1"/>
  <c r="W328" i="1" s="1"/>
  <c r="AD329" i="1"/>
  <c r="AG329" i="1" s="1"/>
  <c r="AA328" i="1" l="1"/>
  <c r="AB328" i="1" s="1"/>
  <c r="AC328" i="1" s="1"/>
  <c r="I328" i="1" l="1"/>
  <c r="V327" i="1" l="1"/>
  <c r="U327" i="1"/>
  <c r="X327" i="1" l="1"/>
  <c r="W327" i="1" s="1"/>
  <c r="I327" i="1"/>
  <c r="AA327" i="1" l="1"/>
  <c r="AD327" i="1" s="1"/>
  <c r="AG327" i="1" l="1"/>
  <c r="V326" i="1"/>
  <c r="U326" i="1"/>
  <c r="I326" i="1" l="1"/>
  <c r="V325" i="1" l="1"/>
  <c r="U325" i="1"/>
  <c r="X325" i="1" l="1"/>
  <c r="W325" i="1" s="1"/>
  <c r="AA325" i="1" l="1"/>
  <c r="I325" i="1"/>
  <c r="AD325" i="1" l="1"/>
  <c r="AG325" i="1" s="1"/>
  <c r="V324" i="1"/>
  <c r="U324" i="1"/>
  <c r="I324" i="1"/>
  <c r="V323" i="1" l="1"/>
  <c r="U323" i="1"/>
  <c r="X323" i="1" l="1"/>
  <c r="W323" i="1" s="1"/>
  <c r="AA323" i="1" l="1"/>
  <c r="AD323" i="1" s="1"/>
  <c r="I323" i="1"/>
  <c r="AE323" i="1" l="1"/>
  <c r="AF323" i="1" s="1"/>
  <c r="AG323" i="1"/>
  <c r="V322" i="1"/>
  <c r="U322" i="1"/>
  <c r="I322" i="1" l="1"/>
  <c r="V321" i="1" l="1"/>
  <c r="U321" i="1"/>
  <c r="I321" i="1" l="1"/>
  <c r="V320" i="1" l="1"/>
  <c r="U320" i="1"/>
  <c r="I320" i="1"/>
  <c r="X320" i="1" l="1"/>
  <c r="W320" i="1" s="1"/>
  <c r="AA320" i="1" l="1"/>
  <c r="AB320" i="1" s="1"/>
  <c r="V319" i="1" l="1"/>
  <c r="U319" i="1"/>
  <c r="I319" i="1" l="1"/>
  <c r="V318" i="1" l="1"/>
  <c r="U318" i="1"/>
  <c r="I318" i="1" l="1"/>
  <c r="V317" i="1" l="1"/>
  <c r="U317" i="1"/>
  <c r="I317" i="1" l="1"/>
  <c r="V316" i="1" l="1"/>
  <c r="W316" i="1" s="1"/>
  <c r="U316" i="1"/>
  <c r="X316" i="1" l="1"/>
  <c r="Y316" i="1" s="1"/>
  <c r="I316" i="1"/>
  <c r="V315" i="1" l="1"/>
  <c r="U315" i="1"/>
  <c r="I315" i="1" l="1"/>
  <c r="V314" i="1" l="1"/>
  <c r="W314" i="1" s="1"/>
  <c r="U314" i="1"/>
  <c r="X314" i="1" s="1"/>
  <c r="Y314" i="1" s="1"/>
  <c r="Z314" i="1" l="1"/>
  <c r="I314" i="1"/>
  <c r="V313" i="1" l="1"/>
  <c r="U313" i="1"/>
  <c r="I313" i="1" l="1"/>
  <c r="V312" i="1" l="1"/>
  <c r="W312" i="1" s="1"/>
  <c r="U312" i="1"/>
  <c r="X312" i="1" s="1"/>
  <c r="Y312" i="1" s="1"/>
  <c r="Z312" i="1" s="1"/>
  <c r="AA312" i="1" l="1"/>
  <c r="AB312" i="1" s="1"/>
  <c r="I312" i="1" l="1"/>
  <c r="V311" i="1" l="1"/>
  <c r="U311" i="1"/>
  <c r="I311" i="1"/>
  <c r="X311" i="1" l="1"/>
  <c r="W311" i="1" s="1"/>
  <c r="V310" i="1"/>
  <c r="U310" i="1"/>
  <c r="AA311" i="1" l="1"/>
  <c r="AB311" i="1" s="1"/>
  <c r="I310" i="1"/>
  <c r="V309" i="1" l="1"/>
  <c r="U309" i="1"/>
  <c r="I309" i="1" l="1"/>
  <c r="H309" i="1" s="1"/>
  <c r="H310" i="1" l="1"/>
  <c r="H311" i="1" l="1"/>
  <c r="H312" i="1" l="1"/>
  <c r="H313" i="1" l="1"/>
  <c r="H314" i="1" l="1"/>
  <c r="V308" i="1"/>
  <c r="W308" i="1" s="1"/>
  <c r="U308" i="1"/>
  <c r="X308" i="1" l="1"/>
  <c r="Y308" i="1" s="1"/>
  <c r="H315" i="1"/>
  <c r="H316" i="1" l="1"/>
  <c r="H317" i="1" l="1"/>
  <c r="V307" i="1"/>
  <c r="U307" i="1"/>
  <c r="X307" i="1" l="1"/>
  <c r="W307" i="1" s="1"/>
  <c r="H318" i="1"/>
  <c r="H319" i="1" l="1"/>
  <c r="AA307" i="1"/>
  <c r="AD307" i="1" s="1"/>
  <c r="AE307" i="1" l="1"/>
  <c r="H320" i="1"/>
  <c r="H321" i="1" l="1"/>
  <c r="V306" i="1"/>
  <c r="W306" i="1" s="1"/>
  <c r="U306" i="1"/>
  <c r="I306" i="1"/>
  <c r="X306" i="1" l="1"/>
  <c r="Y306" i="1" s="1"/>
  <c r="H322" i="1"/>
  <c r="V305" i="1"/>
  <c r="U305" i="1"/>
  <c r="H323" i="1" l="1"/>
  <c r="H324" i="1" l="1"/>
  <c r="H325" i="1" s="1"/>
  <c r="H326" i="1" s="1"/>
  <c r="H327" i="1" s="1"/>
  <c r="H328" i="1" s="1"/>
  <c r="H329" i="1" s="1"/>
  <c r="H330" i="1" s="1"/>
  <c r="H331" i="1" s="1"/>
  <c r="I305" i="1" l="1"/>
  <c r="V304" i="1" l="1"/>
  <c r="W304" i="1" s="1"/>
  <c r="U304" i="1"/>
  <c r="X304" i="1" s="1"/>
  <c r="Y304" i="1" s="1"/>
  <c r="Z304" i="1" s="1"/>
  <c r="I304" i="1"/>
  <c r="V303" i="1" l="1"/>
  <c r="U303" i="1"/>
  <c r="I303" i="1" l="1"/>
  <c r="V302" i="1" l="1"/>
  <c r="W302" i="1" s="1"/>
  <c r="U302" i="1"/>
  <c r="X302" i="1" l="1"/>
  <c r="Y302" i="1" s="1"/>
  <c r="Z302" i="1" l="1"/>
  <c r="I302" i="1"/>
  <c r="V301" i="1" l="1"/>
  <c r="U301" i="1"/>
  <c r="I301" i="1"/>
  <c r="V300" i="1" l="1"/>
  <c r="U300" i="1"/>
  <c r="X300" i="1" l="1"/>
  <c r="W300" i="1" s="1"/>
  <c r="AA300" i="1" l="1"/>
  <c r="AB300" i="1" s="1"/>
  <c r="AC300" i="1" s="1"/>
  <c r="I300" i="1"/>
  <c r="AD300" i="1" l="1"/>
  <c r="AE300" i="1" s="1"/>
  <c r="V299" i="1"/>
  <c r="U299" i="1"/>
  <c r="I299" i="1"/>
  <c r="V298" i="1" l="1"/>
  <c r="U298" i="1"/>
  <c r="I298" i="1" l="1"/>
  <c r="V297" i="1" l="1"/>
  <c r="U297" i="1"/>
  <c r="I297" i="1" l="1"/>
  <c r="V296" i="1" l="1"/>
  <c r="U296" i="1"/>
  <c r="X296" i="1" l="1"/>
  <c r="W296" i="1" s="1"/>
  <c r="AA296" i="1" l="1"/>
  <c r="AB296" i="1" s="1"/>
  <c r="I296" i="1"/>
  <c r="V295" i="1" l="1"/>
  <c r="U295" i="1"/>
  <c r="I295" i="1"/>
  <c r="X295" i="1" l="1"/>
  <c r="W295" i="1" s="1"/>
  <c r="AA295" i="1" l="1"/>
  <c r="AB295" i="1" s="1"/>
  <c r="V294" i="1"/>
  <c r="U294" i="1"/>
  <c r="I294" i="1" l="1"/>
  <c r="V293" i="1" l="1"/>
  <c r="U293" i="1"/>
  <c r="I293" i="1" l="1"/>
  <c r="V292" i="1" l="1"/>
  <c r="U292" i="1"/>
  <c r="X292" i="1" l="1"/>
  <c r="W292" i="1" s="1"/>
  <c r="I292" i="1"/>
  <c r="AA292" i="1" l="1"/>
  <c r="AB292" i="1" s="1"/>
  <c r="V291" i="1"/>
  <c r="U291" i="1"/>
  <c r="I291" i="1" l="1"/>
  <c r="V290" i="1" l="1"/>
  <c r="U290" i="1"/>
  <c r="I290" i="1"/>
  <c r="X290" i="1" l="1"/>
  <c r="W290" i="1" s="1"/>
  <c r="AA290" i="1" l="1"/>
  <c r="AB290" i="1" s="1"/>
  <c r="AC290" i="1" s="1"/>
  <c r="V289" i="1"/>
  <c r="U289" i="1"/>
  <c r="I289" i="1"/>
  <c r="V288" i="1" l="1"/>
  <c r="U288" i="1"/>
  <c r="I288" i="1" l="1"/>
  <c r="V287" i="1" l="1"/>
  <c r="W287" i="1" s="1"/>
  <c r="U287" i="1"/>
  <c r="I287" i="1"/>
  <c r="V286" i="1"/>
  <c r="U286" i="1"/>
  <c r="I286" i="1"/>
  <c r="I285" i="1"/>
  <c r="X287" i="1" l="1"/>
  <c r="Y287" i="1" s="1"/>
  <c r="Z287" i="1" s="1"/>
  <c r="AX284" i="1"/>
  <c r="AW284" i="1"/>
  <c r="AU284" i="1"/>
  <c r="AT284" i="1"/>
  <c r="AR284" i="1" l="1"/>
  <c r="AQ284" i="1"/>
  <c r="AO284" i="1"/>
  <c r="AO285" i="1" s="1"/>
  <c r="AN285" i="1" s="1"/>
  <c r="AN284" i="1"/>
  <c r="I284" i="1" l="1"/>
  <c r="H285" i="1" s="1"/>
  <c r="H286" i="1" s="1"/>
  <c r="AX285" i="1" l="1"/>
  <c r="AW285" i="1" s="1"/>
  <c r="AU285" i="1" s="1"/>
  <c r="AT285" i="1" s="1"/>
  <c r="AR285" i="1" s="1"/>
  <c r="AQ285" i="1" s="1"/>
  <c r="H287" i="1"/>
  <c r="L283" i="1"/>
  <c r="J283" i="1"/>
  <c r="L282" i="1"/>
  <c r="J282" i="1"/>
  <c r="K144" i="1"/>
  <c r="K143" i="1"/>
  <c r="I135" i="1"/>
  <c r="I137" i="1" s="1"/>
  <c r="F132" i="1"/>
  <c r="I136" i="1" l="1"/>
  <c r="AX286" i="1"/>
  <c r="AW286" i="1" s="1"/>
  <c r="AU286" i="1" s="1"/>
  <c r="AT286" i="1" s="1"/>
  <c r="AR286" i="1" s="1"/>
  <c r="AQ286" i="1" s="1"/>
  <c r="AO286" i="1" s="1"/>
  <c r="H288" i="1"/>
  <c r="C72" i="7"/>
  <c r="C71" i="7"/>
  <c r="C70" i="7"/>
  <c r="N122" i="1"/>
  <c r="O118" i="1"/>
  <c r="I28" i="5" s="1"/>
  <c r="O117" i="1"/>
  <c r="I27" i="5" s="1"/>
  <c r="O116" i="1"/>
  <c r="I26" i="5" s="1"/>
  <c r="N116" i="1"/>
  <c r="C26" i="5" s="1"/>
  <c r="O115" i="1"/>
  <c r="I25" i="5" s="1"/>
  <c r="AX35" i="1"/>
  <c r="L28" i="1"/>
  <c r="BZ26" i="1"/>
  <c r="CC25" i="1"/>
  <c r="BZ22" i="1"/>
  <c r="I46" i="5" l="1"/>
  <c r="K72" i="7" s="1"/>
  <c r="J72" i="7" s="1"/>
  <c r="F131" i="1"/>
  <c r="I45" i="5"/>
  <c r="K71" i="7" s="1"/>
  <c r="J71" i="7" s="1"/>
  <c r="F130" i="1"/>
  <c r="D45" i="5" s="1"/>
  <c r="J136" i="1"/>
  <c r="H91" i="7"/>
  <c r="A6" i="7"/>
  <c r="AX287" i="1"/>
  <c r="AW287" i="1" s="1"/>
  <c r="AU287" i="1" s="1"/>
  <c r="AT287" i="1" s="1"/>
  <c r="AR287" i="1" s="1"/>
  <c r="AQ287" i="1" s="1"/>
  <c r="H289" i="1"/>
  <c r="A1" i="6"/>
  <c r="F3" i="5"/>
  <c r="D47" i="5"/>
  <c r="AN286" i="1"/>
  <c r="AO287" i="1"/>
  <c r="I29" i="7"/>
  <c r="H25" i="5"/>
  <c r="H46" i="5"/>
  <c r="D46" i="5"/>
  <c r="F129" i="1"/>
  <c r="D44" i="5" s="1"/>
  <c r="I44" i="5"/>
  <c r="K70" i="7" s="1"/>
  <c r="J70" i="7" s="1"/>
  <c r="H28" i="5"/>
  <c r="I32" i="7"/>
  <c r="H27" i="5"/>
  <c r="I31" i="7"/>
  <c r="H26" i="5"/>
  <c r="I30" i="7"/>
  <c r="B26" i="5"/>
  <c r="C30" i="7"/>
  <c r="H45" i="5" l="1"/>
  <c r="D3" i="14"/>
  <c r="A38" i="14" s="1"/>
  <c r="B30" i="7"/>
  <c r="H30" i="7"/>
  <c r="N30" i="7"/>
  <c r="H31" i="7"/>
  <c r="N31" i="7"/>
  <c r="H32" i="7"/>
  <c r="N32" i="7"/>
  <c r="H29" i="7"/>
  <c r="N29" i="7"/>
  <c r="AN287" i="1"/>
  <c r="AO288" i="1"/>
  <c r="AX288" i="1"/>
  <c r="AW288" i="1" s="1"/>
  <c r="AU288" i="1" s="1"/>
  <c r="AT288" i="1" s="1"/>
  <c r="AR288" i="1" s="1"/>
  <c r="AQ288" i="1" s="1"/>
  <c r="H290" i="1"/>
  <c r="H44" i="5"/>
  <c r="I36" i="5"/>
  <c r="M36" i="5" s="1"/>
  <c r="B36" i="5" s="1"/>
  <c r="J138" i="1"/>
  <c r="J139" i="1"/>
  <c r="J137" i="1"/>
  <c r="J135" i="1"/>
  <c r="AN288" i="1" l="1"/>
  <c r="AO289" i="1"/>
  <c r="AX289" i="1"/>
  <c r="AW289" i="1" s="1"/>
  <c r="AU289" i="1" s="1"/>
  <c r="AT289" i="1" s="1"/>
  <c r="AR289" i="1" s="1"/>
  <c r="AQ289" i="1" s="1"/>
  <c r="H291" i="1"/>
  <c r="L36" i="5"/>
  <c r="G42" i="7"/>
  <c r="N42" i="7" l="1"/>
  <c r="B42" i="7" s="1"/>
  <c r="AX290" i="1"/>
  <c r="AW290" i="1" s="1"/>
  <c r="AU290" i="1" s="1"/>
  <c r="AT290" i="1" s="1"/>
  <c r="AR290" i="1" s="1"/>
  <c r="AQ290" i="1" s="1"/>
  <c r="H292" i="1"/>
  <c r="AN289" i="1"/>
  <c r="AO290" i="1"/>
  <c r="H36" i="5"/>
  <c r="AN290" i="1" l="1"/>
  <c r="AO291" i="1"/>
  <c r="AX291" i="1"/>
  <c r="AW291" i="1" s="1"/>
  <c r="AU291" i="1" s="1"/>
  <c r="AT291" i="1" s="1"/>
  <c r="AR291" i="1" s="1"/>
  <c r="AQ291" i="1" s="1"/>
  <c r="H293" i="1"/>
  <c r="AX292" i="1" l="1"/>
  <c r="AW292" i="1" s="1"/>
  <c r="AU292" i="1" s="1"/>
  <c r="AT292" i="1" s="1"/>
  <c r="AR292" i="1" s="1"/>
  <c r="AQ292" i="1" s="1"/>
  <c r="H294" i="1"/>
  <c r="AN291" i="1"/>
  <c r="AO292" i="1"/>
  <c r="A18" i="6"/>
  <c r="T10" i="4"/>
  <c r="P4" i="4"/>
  <c r="S10" i="4"/>
  <c r="P10" i="4"/>
  <c r="C12" i="4"/>
  <c r="Q12" i="4" s="1"/>
  <c r="S12" i="4"/>
  <c r="AN292" i="1" l="1"/>
  <c r="AO293" i="1"/>
  <c r="AX293" i="1"/>
  <c r="AW293" i="1" s="1"/>
  <c r="AU293" i="1" s="1"/>
  <c r="AT293" i="1" s="1"/>
  <c r="AR293" i="1" s="1"/>
  <c r="AQ293" i="1" s="1"/>
  <c r="H295" i="1"/>
  <c r="AD9" i="1"/>
  <c r="AC9" i="1"/>
  <c r="AB9" i="1"/>
  <c r="AX294" i="1" l="1"/>
  <c r="AW294" i="1" s="1"/>
  <c r="AU294" i="1" s="1"/>
  <c r="AT294" i="1" s="1"/>
  <c r="AR294" i="1" s="1"/>
  <c r="AQ294" i="1" s="1"/>
  <c r="H296" i="1"/>
  <c r="AN293" i="1"/>
  <c r="AO294" i="1"/>
  <c r="AD8" i="1"/>
  <c r="AC8" i="1"/>
  <c r="AB8" i="1"/>
  <c r="AN294" i="1" l="1"/>
  <c r="AO295" i="1"/>
  <c r="AX295" i="1"/>
  <c r="AW295" i="1" s="1"/>
  <c r="AU295" i="1" s="1"/>
  <c r="AT295" i="1" s="1"/>
  <c r="AR295" i="1" s="1"/>
  <c r="AQ295" i="1" s="1"/>
  <c r="H297" i="1"/>
  <c r="AD7" i="1"/>
  <c r="AC7" i="1"/>
  <c r="AB7" i="1"/>
  <c r="AX296" i="1" l="1"/>
  <c r="AW296" i="1" s="1"/>
  <c r="AU296" i="1" s="1"/>
  <c r="AT296" i="1" s="1"/>
  <c r="AR296" i="1" s="1"/>
  <c r="AQ296" i="1" s="1"/>
  <c r="H298" i="1"/>
  <c r="AN295" i="1"/>
  <c r="AO296" i="1"/>
  <c r="AD6" i="1"/>
  <c r="AC6" i="1"/>
  <c r="AB6" i="1"/>
  <c r="J6" i="1"/>
  <c r="AN296" i="1" l="1"/>
  <c r="AO297" i="1"/>
  <c r="AX297" i="1"/>
  <c r="AW297" i="1" s="1"/>
  <c r="AU297" i="1" s="1"/>
  <c r="AT297" i="1" s="1"/>
  <c r="AR297" i="1" s="1"/>
  <c r="AQ297" i="1" s="1"/>
  <c r="H299" i="1"/>
  <c r="BX5" i="1"/>
  <c r="BW5" i="1"/>
  <c r="BN5" i="1"/>
  <c r="AD5" i="1"/>
  <c r="AC5" i="1"/>
  <c r="AB5" i="1"/>
  <c r="BN6" i="1" l="1"/>
  <c r="BN7" i="1" s="1"/>
  <c r="AX298" i="1"/>
  <c r="AW298" i="1" s="1"/>
  <c r="AU298" i="1" s="1"/>
  <c r="AT298" i="1" s="1"/>
  <c r="AR298" i="1" s="1"/>
  <c r="AQ298" i="1" s="1"/>
  <c r="H300" i="1"/>
  <c r="L284" i="1" s="1"/>
  <c r="L285" i="1" s="1"/>
  <c r="M285" i="1" s="1"/>
  <c r="AN297" i="1"/>
  <c r="AO298" i="1"/>
  <c r="BO4" i="1"/>
  <c r="AD4" i="1"/>
  <c r="AC4" i="1"/>
  <c r="AB4" i="1"/>
  <c r="K4" i="1"/>
  <c r="CL3" i="1"/>
  <c r="E47" i="3"/>
  <c r="H47" i="3" s="1"/>
  <c r="AM2" i="1"/>
  <c r="L17" i="7"/>
  <c r="F39" i="3"/>
  <c r="E39" i="3"/>
  <c r="G49" i="3" s="1"/>
  <c r="F40" i="3"/>
  <c r="E40" i="3"/>
  <c r="G50" i="3" s="1"/>
  <c r="F41" i="3"/>
  <c r="E41" i="3"/>
  <c r="G51" i="3" s="1"/>
  <c r="F42" i="3"/>
  <c r="E42" i="3"/>
  <c r="G52" i="3" s="1"/>
  <c r="F43" i="3"/>
  <c r="E43" i="3"/>
  <c r="G53" i="3" s="1"/>
  <c r="A17" i="4"/>
  <c r="B17" i="4" s="1"/>
  <c r="D17" i="4" s="1"/>
  <c r="F3" i="4"/>
  <c r="G19" i="4" s="1"/>
  <c r="O16" i="4"/>
  <c r="P16" i="4" s="1"/>
  <c r="R16" i="4" s="1"/>
  <c r="G40" i="3"/>
  <c r="H50" i="3" s="1"/>
  <c r="C36" i="3"/>
  <c r="C37" i="3"/>
  <c r="C38" i="3"/>
  <c r="P1" i="3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H4" i="3"/>
  <c r="G39" i="3"/>
  <c r="H49" i="3" s="1"/>
  <c r="G41" i="3"/>
  <c r="G42" i="3"/>
  <c r="H52" i="3" s="1"/>
  <c r="G43" i="3"/>
  <c r="C39" i="3"/>
  <c r="C41" i="3"/>
  <c r="C40" i="3"/>
  <c r="Q54" i="4"/>
  <c r="S54" i="4" s="1"/>
  <c r="T207" i="4"/>
  <c r="I49" i="3" l="1"/>
  <c r="E38" i="3"/>
  <c r="G48" i="3" s="1"/>
  <c r="F38" i="3"/>
  <c r="F47" i="3" s="1"/>
  <c r="G38" i="3"/>
  <c r="H48" i="3" s="1"/>
  <c r="E11" i="15"/>
  <c r="B24" i="15"/>
  <c r="E11" i="4"/>
  <c r="CE1" i="3" s="1"/>
  <c r="B23" i="15"/>
  <c r="I51" i="3"/>
  <c r="M284" i="1"/>
  <c r="T3" i="4"/>
  <c r="I50" i="3"/>
  <c r="H51" i="3"/>
  <c r="I52" i="3"/>
  <c r="H53" i="3"/>
  <c r="I48" i="3"/>
  <c r="E53" i="3"/>
  <c r="F52" i="3"/>
  <c r="E52" i="3"/>
  <c r="F51" i="3"/>
  <c r="E51" i="3"/>
  <c r="F50" i="3"/>
  <c r="E50" i="3"/>
  <c r="F49" i="3"/>
  <c r="E49" i="3"/>
  <c r="F48" i="3"/>
  <c r="E48" i="3"/>
  <c r="I47" i="3"/>
  <c r="G14" i="4"/>
  <c r="U14" i="4" s="1"/>
  <c r="E9" i="4"/>
  <c r="D53" i="4" s="1"/>
  <c r="D69" i="4" s="1"/>
  <c r="B70" i="4" s="1"/>
  <c r="B104" i="4" s="1"/>
  <c r="B15" i="4"/>
  <c r="AN298" i="1"/>
  <c r="AO299" i="1"/>
  <c r="AX299" i="1"/>
  <c r="AW299" i="1" s="1"/>
  <c r="AU299" i="1" s="1"/>
  <c r="AT299" i="1" s="1"/>
  <c r="AR299" i="1" s="1"/>
  <c r="AQ299" i="1" s="1"/>
  <c r="H301" i="1"/>
  <c r="J284" i="1"/>
  <c r="BN8" i="1"/>
  <c r="BP4" i="1"/>
  <c r="BS5" i="1"/>
  <c r="A18" i="4"/>
  <c r="BL3" i="1"/>
  <c r="F4" i="1"/>
  <c r="O17" i="4"/>
  <c r="P17" i="4" s="1"/>
  <c r="R17" i="4" s="1"/>
  <c r="AN2" i="1"/>
  <c r="BT5" i="1"/>
  <c r="BT6" i="1" s="1"/>
  <c r="FN3" i="3" l="1"/>
  <c r="EP3" i="3"/>
  <c r="CD51" i="3"/>
  <c r="CC51" i="3" s="1"/>
  <c r="CD52" i="3"/>
  <c r="CC52" i="3" s="1"/>
  <c r="CA3" i="3"/>
  <c r="CV3" i="3"/>
  <c r="DQ3" i="3"/>
  <c r="BZ5" i="3"/>
  <c r="CZ1" i="3"/>
  <c r="X205" i="4"/>
  <c r="R5" i="15"/>
  <c r="A52" i="15"/>
  <c r="D24" i="15"/>
  <c r="B52" i="15" s="1"/>
  <c r="D5" i="15"/>
  <c r="B6" i="15" s="1"/>
  <c r="A25" i="15"/>
  <c r="F70" i="15"/>
  <c r="S11" i="15"/>
  <c r="R209" i="15" s="1"/>
  <c r="F54" i="15"/>
  <c r="S11" i="4"/>
  <c r="R209" i="4" s="1"/>
  <c r="T5" i="4"/>
  <c r="U22" i="4" s="1"/>
  <c r="T5" i="15"/>
  <c r="U22" i="15" s="1"/>
  <c r="P23" i="15" s="1"/>
  <c r="D23" i="15"/>
  <c r="E23" i="15" s="1"/>
  <c r="D6" i="15"/>
  <c r="A51" i="15" s="1"/>
  <c r="R4" i="15"/>
  <c r="A50" i="15"/>
  <c r="BB3" i="3"/>
  <c r="F70" i="4"/>
  <c r="R53" i="4"/>
  <c r="U19" i="4"/>
  <c r="T4" i="4"/>
  <c r="BS6" i="1"/>
  <c r="B18" i="4"/>
  <c r="D18" i="4" s="1"/>
  <c r="D19" i="4"/>
  <c r="A71" i="4"/>
  <c r="BW3" i="3"/>
  <c r="BM4" i="1"/>
  <c r="BM5" i="1" s="1"/>
  <c r="BM6" i="1" s="1"/>
  <c r="BM7" i="1" s="1"/>
  <c r="BM8" i="1" s="1"/>
  <c r="BK4" i="1"/>
  <c r="BY2" i="1"/>
  <c r="BL4" i="1"/>
  <c r="BQ5" i="1"/>
  <c r="BQ6" i="1" s="1"/>
  <c r="BP5" i="1"/>
  <c r="BO5" i="1" s="1"/>
  <c r="AX300" i="1"/>
  <c r="AW300" i="1" s="1"/>
  <c r="AU300" i="1" s="1"/>
  <c r="AT300" i="1" s="1"/>
  <c r="AR300" i="1" s="1"/>
  <c r="AQ300" i="1" s="1"/>
  <c r="H302" i="1"/>
  <c r="AN299" i="1"/>
  <c r="AO300" i="1"/>
  <c r="B54" i="4"/>
  <c r="B30" i="4"/>
  <c r="R69" i="4"/>
  <c r="P15" i="4"/>
  <c r="BN9" i="1"/>
  <c r="J285" i="1"/>
  <c r="K285" i="1" s="1"/>
  <c r="K284" i="1"/>
  <c r="O18" i="4"/>
  <c r="BT7" i="1"/>
  <c r="CG52" i="3" l="1"/>
  <c r="CJ52" i="3" s="1"/>
  <c r="CY51" i="3"/>
  <c r="CX51" i="3" s="1"/>
  <c r="CY52" i="3"/>
  <c r="CX52" i="3" s="1"/>
  <c r="DO3" i="3"/>
  <c r="CT3" i="3"/>
  <c r="CA4" i="3"/>
  <c r="CA7" i="3"/>
  <c r="CA6" i="3"/>
  <c r="CA5" i="3"/>
  <c r="BS7" i="1"/>
  <c r="A26" i="15"/>
  <c r="B71" i="15" s="1"/>
  <c r="BU4" i="1"/>
  <c r="BU5" i="1" s="1"/>
  <c r="BU6" i="1" s="1"/>
  <c r="BU7" i="1" s="1"/>
  <c r="D91" i="15"/>
  <c r="P149" i="15"/>
  <c r="P150" i="15" s="1"/>
  <c r="P151" i="15" s="1"/>
  <c r="P152" i="15" s="1"/>
  <c r="P153" i="15" s="1"/>
  <c r="P154" i="15" s="1"/>
  <c r="P155" i="15" s="1"/>
  <c r="P156" i="15" s="1"/>
  <c r="P157" i="15" s="1"/>
  <c r="P158" i="15" s="1"/>
  <c r="P159" i="15" s="1"/>
  <c r="P160" i="15" s="1"/>
  <c r="B50" i="15"/>
  <c r="B51" i="15"/>
  <c r="B25" i="15"/>
  <c r="D25" i="15" s="1"/>
  <c r="T70" i="15"/>
  <c r="T54" i="15"/>
  <c r="P24" i="15"/>
  <c r="P107" i="15" s="1"/>
  <c r="R23" i="15"/>
  <c r="S23" i="15" s="1"/>
  <c r="C23" i="15"/>
  <c r="E24" i="15"/>
  <c r="C24" i="15" s="1"/>
  <c r="BP6" i="1"/>
  <c r="P18" i="4"/>
  <c r="R18" i="4" s="1"/>
  <c r="R19" i="4"/>
  <c r="BQ7" i="1"/>
  <c r="BO6" i="1"/>
  <c r="BO7" i="1" s="1"/>
  <c r="BM9" i="1"/>
  <c r="BN10" i="1"/>
  <c r="P70" i="4"/>
  <c r="R91" i="4"/>
  <c r="P106" i="4"/>
  <c r="P164" i="4" s="1"/>
  <c r="P215" i="4" s="1"/>
  <c r="F54" i="4"/>
  <c r="A55" i="4"/>
  <c r="P54" i="4"/>
  <c r="P30" i="4"/>
  <c r="F30" i="4"/>
  <c r="A31" i="4"/>
  <c r="AN300" i="1"/>
  <c r="AO301" i="1"/>
  <c r="AX301" i="1"/>
  <c r="AW301" i="1" s="1"/>
  <c r="AU301" i="1" s="1"/>
  <c r="AT301" i="1" s="1"/>
  <c r="AR301" i="1" s="1"/>
  <c r="AQ301" i="1" s="1"/>
  <c r="H303" i="1"/>
  <c r="A4" i="6"/>
  <c r="D91" i="4"/>
  <c r="BL5" i="1"/>
  <c r="K12" i="7" s="1"/>
  <c r="P149" i="4"/>
  <c r="P150" i="4" s="1"/>
  <c r="P151" i="4" s="1"/>
  <c r="P152" i="4" s="1"/>
  <c r="P153" i="4" s="1"/>
  <c r="P154" i="4" s="1"/>
  <c r="P155" i="4" s="1"/>
  <c r="P156" i="4" s="1"/>
  <c r="P157" i="4" s="1"/>
  <c r="P158" i="4" s="1"/>
  <c r="P159" i="4" s="1"/>
  <c r="P160" i="4" s="1"/>
  <c r="BY3" i="1"/>
  <c r="BZ2" i="1"/>
  <c r="AX4" i="1"/>
  <c r="BK5" i="1"/>
  <c r="BT8" i="1"/>
  <c r="BS8" i="1" s="1"/>
  <c r="A91" i="15" l="1"/>
  <c r="A92" i="15" s="1"/>
  <c r="CH52" i="3"/>
  <c r="CO52" i="3" s="1"/>
  <c r="DB52" i="3"/>
  <c r="DC52" i="3" s="1"/>
  <c r="DJ52" i="3" s="1"/>
  <c r="C104" i="15"/>
  <c r="B26" i="15"/>
  <c r="D26" i="15" s="1"/>
  <c r="B55" i="15"/>
  <c r="F55" i="15" s="1"/>
  <c r="B105" i="15"/>
  <c r="B72" i="15"/>
  <c r="B73" i="15" s="1"/>
  <c r="C25" i="15"/>
  <c r="C26" i="15" s="1"/>
  <c r="F71" i="15"/>
  <c r="A72" i="15"/>
  <c r="L1" i="3"/>
  <c r="A99" i="3" s="1"/>
  <c r="D92" i="15"/>
  <c r="C92" i="15"/>
  <c r="T208" i="15"/>
  <c r="T209" i="15" s="1"/>
  <c r="O165" i="4"/>
  <c r="B31" i="15"/>
  <c r="A32" i="15" s="1"/>
  <c r="O52" i="15"/>
  <c r="O51" i="15"/>
  <c r="R24" i="15"/>
  <c r="P52" i="15" s="1"/>
  <c r="O25" i="15"/>
  <c r="O50" i="15"/>
  <c r="P165" i="15"/>
  <c r="P216" i="15" s="1"/>
  <c r="P108" i="15"/>
  <c r="Q23" i="15"/>
  <c r="B91" i="15"/>
  <c r="A3" i="2"/>
  <c r="G3" i="2" s="1"/>
  <c r="K100" i="7" s="1"/>
  <c r="BQ8" i="1"/>
  <c r="BU8" i="1"/>
  <c r="BP7" i="1"/>
  <c r="BP8" i="1" s="1"/>
  <c r="BO8" i="1"/>
  <c r="A5" i="6"/>
  <c r="BL6" i="1"/>
  <c r="BY4" i="1"/>
  <c r="BZ3" i="1"/>
  <c r="A4" i="2" s="1"/>
  <c r="G4" i="2" s="1"/>
  <c r="K101" i="7" s="1"/>
  <c r="T54" i="4"/>
  <c r="O55" i="4"/>
  <c r="T70" i="4"/>
  <c r="O71" i="4"/>
  <c r="F4" i="3"/>
  <c r="G4" i="3"/>
  <c r="D4" i="3"/>
  <c r="F3" i="3"/>
  <c r="D3" i="3"/>
  <c r="G3" i="3"/>
  <c r="C92" i="4"/>
  <c r="D92" i="4"/>
  <c r="AX302" i="1"/>
  <c r="AW302" i="1" s="1"/>
  <c r="AU302" i="1" s="1"/>
  <c r="AT302" i="1" s="1"/>
  <c r="AR302" i="1" s="1"/>
  <c r="AQ302" i="1" s="1"/>
  <c r="H304" i="1"/>
  <c r="AN301" i="1"/>
  <c r="AO302" i="1"/>
  <c r="T30" i="4"/>
  <c r="O31" i="4"/>
  <c r="Q92" i="4"/>
  <c r="P147" i="4"/>
  <c r="R92" i="4"/>
  <c r="BM10" i="1"/>
  <c r="BN11" i="1"/>
  <c r="BT9" i="1"/>
  <c r="BS9" i="1" s="1"/>
  <c r="BQ9" i="1" s="1"/>
  <c r="P50" i="15" l="1"/>
  <c r="DE52" i="3"/>
  <c r="A44" i="15"/>
  <c r="B44" i="15" s="1"/>
  <c r="P51" i="15"/>
  <c r="S24" i="15"/>
  <c r="Q24" i="15" s="1"/>
  <c r="C105" i="15"/>
  <c r="A73" i="15"/>
  <c r="F72" i="15"/>
  <c r="B106" i="15"/>
  <c r="A56" i="15"/>
  <c r="B56" i="15"/>
  <c r="B57" i="15" s="1"/>
  <c r="D93" i="15"/>
  <c r="C93" i="15"/>
  <c r="F31" i="15"/>
  <c r="B32" i="15"/>
  <c r="C31" i="15"/>
  <c r="P25" i="15"/>
  <c r="O26" i="15"/>
  <c r="P71" i="15" s="1"/>
  <c r="A93" i="15"/>
  <c r="B92" i="15"/>
  <c r="T210" i="15"/>
  <c r="A74" i="15"/>
  <c r="C106" i="15"/>
  <c r="B74" i="15"/>
  <c r="F73" i="15"/>
  <c r="B107" i="15"/>
  <c r="P109" i="15"/>
  <c r="P166" i="15"/>
  <c r="P217" i="15" s="1"/>
  <c r="O166" i="15"/>
  <c r="A56" i="3"/>
  <c r="BU9" i="1"/>
  <c r="BP9" i="1"/>
  <c r="BO9" i="1" s="1"/>
  <c r="BM11" i="1"/>
  <c r="BN12" i="1"/>
  <c r="R93" i="4"/>
  <c r="Q93" i="4"/>
  <c r="AN302" i="1"/>
  <c r="AO303" i="1"/>
  <c r="AX303" i="1"/>
  <c r="AW303" i="1" s="1"/>
  <c r="AU303" i="1" s="1"/>
  <c r="AT303" i="1" s="1"/>
  <c r="AR303" i="1" s="1"/>
  <c r="AQ303" i="1" s="1"/>
  <c r="H305" i="1"/>
  <c r="D93" i="4"/>
  <c r="C93" i="4"/>
  <c r="BK6" i="1"/>
  <c r="A6" i="6"/>
  <c r="BL7" i="1"/>
  <c r="BY5" i="1"/>
  <c r="BZ4" i="1"/>
  <c r="A5" i="2" s="1"/>
  <c r="G5" i="2" s="1"/>
  <c r="K102" i="7" s="1"/>
  <c r="H1" i="3"/>
  <c r="L3" i="3"/>
  <c r="BT10" i="1"/>
  <c r="BS10" i="1" s="1"/>
  <c r="BQ10" i="1" s="1"/>
  <c r="A45" i="15" l="1"/>
  <c r="A46" i="15" s="1"/>
  <c r="B46" i="15" s="1"/>
  <c r="F56" i="15"/>
  <c r="A57" i="15"/>
  <c r="C32" i="15"/>
  <c r="D94" i="15"/>
  <c r="C94" i="15"/>
  <c r="F32" i="15"/>
  <c r="B33" i="15"/>
  <c r="C33" i="15" s="1"/>
  <c r="A33" i="15"/>
  <c r="P55" i="15"/>
  <c r="P26" i="15"/>
  <c r="R26" i="15" s="1"/>
  <c r="R25" i="15"/>
  <c r="T71" i="15"/>
  <c r="P72" i="15"/>
  <c r="O72" i="15"/>
  <c r="O91" i="15"/>
  <c r="BP10" i="1"/>
  <c r="AD3" i="3"/>
  <c r="A75" i="15"/>
  <c r="F74" i="15"/>
  <c r="B108" i="15"/>
  <c r="B75" i="15"/>
  <c r="C107" i="15"/>
  <c r="O167" i="15"/>
  <c r="T211" i="15"/>
  <c r="A58" i="15"/>
  <c r="B58" i="15"/>
  <c r="F57" i="15"/>
  <c r="P110" i="15"/>
  <c r="P167" i="15"/>
  <c r="P218" i="15" s="1"/>
  <c r="B93" i="15"/>
  <c r="A94" i="15"/>
  <c r="BO10" i="1"/>
  <c r="BU10" i="1"/>
  <c r="A103" i="3"/>
  <c r="A136" i="3"/>
  <c r="A135" i="3"/>
  <c r="K30" i="3"/>
  <c r="A60" i="3"/>
  <c r="A93" i="3"/>
  <c r="K29" i="3"/>
  <c r="A92" i="3"/>
  <c r="K3" i="3"/>
  <c r="BK7" i="1"/>
  <c r="A7" i="6"/>
  <c r="BL8" i="1"/>
  <c r="BY6" i="1"/>
  <c r="BX6" i="1" s="1"/>
  <c r="BW6" i="1" s="1"/>
  <c r="BZ5" i="1"/>
  <c r="A6" i="2" s="1"/>
  <c r="G6" i="2" s="1"/>
  <c r="K103" i="7" s="1"/>
  <c r="D94" i="4"/>
  <c r="C94" i="4"/>
  <c r="R94" i="4"/>
  <c r="Q94" i="4"/>
  <c r="E10" i="3"/>
  <c r="E19" i="3"/>
  <c r="E143" i="3" s="1"/>
  <c r="J143" i="3" s="1"/>
  <c r="AX304" i="1"/>
  <c r="AW304" i="1" s="1"/>
  <c r="AU304" i="1" s="1"/>
  <c r="AT304" i="1" s="1"/>
  <c r="AR304" i="1" s="1"/>
  <c r="AQ304" i="1" s="1"/>
  <c r="H306" i="1"/>
  <c r="AN303" i="1"/>
  <c r="AO304" i="1"/>
  <c r="BM12" i="1"/>
  <c r="BN13" i="1"/>
  <c r="BT11" i="1"/>
  <c r="BS11" i="1" s="1"/>
  <c r="BQ11" i="1" s="1"/>
  <c r="BP11" i="1" s="1"/>
  <c r="B45" i="15" l="1"/>
  <c r="A47" i="15"/>
  <c r="B47" i="15" s="1"/>
  <c r="D31" i="15"/>
  <c r="E31" i="15" s="1"/>
  <c r="H31" i="15" s="1"/>
  <c r="BO11" i="1"/>
  <c r="A34" i="15"/>
  <c r="O44" i="15"/>
  <c r="O45" i="15" s="1"/>
  <c r="C95" i="15"/>
  <c r="D95" i="15"/>
  <c r="J93" i="3"/>
  <c r="I93" i="3"/>
  <c r="K93" i="3"/>
  <c r="J135" i="3"/>
  <c r="K135" i="3"/>
  <c r="J92" i="3"/>
  <c r="K92" i="3"/>
  <c r="K136" i="3"/>
  <c r="J136" i="3"/>
  <c r="B34" i="15"/>
  <c r="F34" i="15" s="1"/>
  <c r="F33" i="15"/>
  <c r="B136" i="3"/>
  <c r="H136" i="3" s="1"/>
  <c r="C136" i="3"/>
  <c r="B93" i="3"/>
  <c r="C93" i="3"/>
  <c r="O92" i="15"/>
  <c r="P91" i="15"/>
  <c r="Q25" i="15"/>
  <c r="Q26" i="15" s="1"/>
  <c r="P31" i="15"/>
  <c r="P73" i="15"/>
  <c r="O73" i="15"/>
  <c r="T72" i="15"/>
  <c r="S69" i="15"/>
  <c r="T55" i="15"/>
  <c r="O56" i="15"/>
  <c r="P56" i="15"/>
  <c r="A76" i="15"/>
  <c r="B109" i="15"/>
  <c r="C108" i="15"/>
  <c r="C75" i="15"/>
  <c r="F75" i="15"/>
  <c r="B76" i="15"/>
  <c r="B94" i="15"/>
  <c r="A95" i="15"/>
  <c r="A48" i="15"/>
  <c r="O168" i="15"/>
  <c r="P168" i="15"/>
  <c r="P219" i="15" s="1"/>
  <c r="P111" i="15"/>
  <c r="A59" i="15"/>
  <c r="F58" i="15"/>
  <c r="B59" i="15"/>
  <c r="T212" i="15"/>
  <c r="B24" i="4"/>
  <c r="A25" i="4" s="1"/>
  <c r="T7" i="6"/>
  <c r="B92" i="3"/>
  <c r="B135" i="3"/>
  <c r="BU11" i="1"/>
  <c r="AX305" i="1"/>
  <c r="AW305" i="1" s="1"/>
  <c r="AU305" i="1" s="1"/>
  <c r="AT305" i="1" s="1"/>
  <c r="AR305" i="1" s="1"/>
  <c r="AQ305" i="1" s="1"/>
  <c r="BK8" i="1"/>
  <c r="A8" i="6"/>
  <c r="BL9" i="1"/>
  <c r="BZ6" i="1"/>
  <c r="A7" i="2" s="1"/>
  <c r="G7" i="2" s="1"/>
  <c r="K104" i="7" s="1"/>
  <c r="BY7" i="1"/>
  <c r="BX7" i="1" s="1"/>
  <c r="BW7" i="1" s="1"/>
  <c r="BM13" i="1"/>
  <c r="BN14" i="1"/>
  <c r="AN304" i="1"/>
  <c r="AO305" i="1"/>
  <c r="R95" i="4"/>
  <c r="Q95" i="4"/>
  <c r="C95" i="4"/>
  <c r="D95" i="4"/>
  <c r="BT12" i="1"/>
  <c r="BS12" i="1" s="1"/>
  <c r="BQ12" i="1" s="1"/>
  <c r="BP12" i="1" s="1"/>
  <c r="C36" i="5"/>
  <c r="C42" i="7" s="1"/>
  <c r="BO12" i="1" l="1"/>
  <c r="P44" i="15"/>
  <c r="Q31" i="15"/>
  <c r="D96" i="15"/>
  <c r="C96" i="15"/>
  <c r="A35" i="15"/>
  <c r="C34" i="15"/>
  <c r="B35" i="15"/>
  <c r="P32" i="15"/>
  <c r="O32" i="15"/>
  <c r="T31" i="15"/>
  <c r="P74" i="15"/>
  <c r="O74" i="15"/>
  <c r="T73" i="15"/>
  <c r="O46" i="15"/>
  <c r="R31" i="15" s="1"/>
  <c r="S31" i="15" s="1"/>
  <c r="P45" i="15"/>
  <c r="C74" i="15"/>
  <c r="P57" i="15"/>
  <c r="T56" i="15"/>
  <c r="O57" i="15"/>
  <c r="O93" i="15"/>
  <c r="P92" i="15"/>
  <c r="C55" i="15"/>
  <c r="P169" i="15"/>
  <c r="P220" i="15" s="1"/>
  <c r="P112" i="15"/>
  <c r="C59" i="15"/>
  <c r="B60" i="15"/>
  <c r="A60" i="15"/>
  <c r="F59" i="15"/>
  <c r="O169" i="15"/>
  <c r="T213" i="15"/>
  <c r="B48" i="15"/>
  <c r="A49" i="15"/>
  <c r="B49" i="15" s="1"/>
  <c r="D32" i="15" s="1"/>
  <c r="E32" i="15" s="1"/>
  <c r="B95" i="15"/>
  <c r="D75" i="15" s="1"/>
  <c r="A96" i="15"/>
  <c r="F76" i="15"/>
  <c r="B110" i="15"/>
  <c r="B77" i="15"/>
  <c r="C76" i="15"/>
  <c r="A77" i="15"/>
  <c r="C109" i="15"/>
  <c r="D57" i="15"/>
  <c r="D5" i="4"/>
  <c r="B6" i="4" s="1"/>
  <c r="A52" i="4"/>
  <c r="D24" i="4"/>
  <c r="B52" i="4" s="1"/>
  <c r="R5" i="4"/>
  <c r="P24" i="4"/>
  <c r="O52" i="4" s="1"/>
  <c r="T8" i="6"/>
  <c r="BU12" i="1"/>
  <c r="Q96" i="4"/>
  <c r="R96" i="4"/>
  <c r="C96" i="4"/>
  <c r="D96" i="4"/>
  <c r="AN305" i="1"/>
  <c r="AO306" i="1"/>
  <c r="BM14" i="1"/>
  <c r="BN15" i="1"/>
  <c r="BK9" i="1"/>
  <c r="A9" i="6"/>
  <c r="BL10" i="1"/>
  <c r="BY8" i="1"/>
  <c r="BX8" i="1" s="1"/>
  <c r="BW8" i="1" s="1"/>
  <c r="BZ7" i="1"/>
  <c r="A8" i="2" s="1"/>
  <c r="G8" i="2" s="1"/>
  <c r="K105" i="7" s="1"/>
  <c r="BT13" i="1"/>
  <c r="BS13" i="1" s="1"/>
  <c r="BQ13" i="1" s="1"/>
  <c r="BP13" i="1" s="1"/>
  <c r="BO13" i="1" s="1"/>
  <c r="A26" i="4"/>
  <c r="B25" i="4"/>
  <c r="D25" i="4" s="1"/>
  <c r="H38" i="5"/>
  <c r="D71" i="15" l="1"/>
  <c r="D55" i="15"/>
  <c r="D72" i="15"/>
  <c r="D56" i="15"/>
  <c r="Q32" i="15"/>
  <c r="C58" i="15"/>
  <c r="Q108" i="15"/>
  <c r="C56" i="15"/>
  <c r="C72" i="15"/>
  <c r="F35" i="15"/>
  <c r="Q110" i="15"/>
  <c r="V31" i="15"/>
  <c r="D97" i="15"/>
  <c r="C97" i="15"/>
  <c r="C57" i="15"/>
  <c r="Q109" i="15"/>
  <c r="A36" i="15"/>
  <c r="Q107" i="15"/>
  <c r="B36" i="15"/>
  <c r="D36" i="15" s="1"/>
  <c r="C35" i="15"/>
  <c r="C71" i="15"/>
  <c r="C73" i="15"/>
  <c r="D35" i="15"/>
  <c r="E55" i="15"/>
  <c r="S107" i="15" s="1"/>
  <c r="T74" i="15"/>
  <c r="O75" i="15"/>
  <c r="P75" i="15"/>
  <c r="O33" i="15"/>
  <c r="T32" i="15"/>
  <c r="P33" i="15"/>
  <c r="P58" i="15"/>
  <c r="O58" i="15"/>
  <c r="T57" i="15"/>
  <c r="P46" i="15"/>
  <c r="O47" i="15"/>
  <c r="P93" i="15"/>
  <c r="O94" i="15"/>
  <c r="D34" i="15"/>
  <c r="D33" i="15"/>
  <c r="E33" i="15" s="1"/>
  <c r="H32" i="15"/>
  <c r="D76" i="15"/>
  <c r="D73" i="15"/>
  <c r="D59" i="15"/>
  <c r="C60" i="15"/>
  <c r="B61" i="15"/>
  <c r="F60" i="15"/>
  <c r="A61" i="15"/>
  <c r="C110" i="15"/>
  <c r="B111" i="15"/>
  <c r="F77" i="15"/>
  <c r="C77" i="15"/>
  <c r="D77" i="15"/>
  <c r="A78" i="15"/>
  <c r="B78" i="15"/>
  <c r="A97" i="15"/>
  <c r="B97" i="15" s="1"/>
  <c r="B96" i="15"/>
  <c r="D60" i="15"/>
  <c r="D74" i="15"/>
  <c r="D58" i="15"/>
  <c r="P170" i="15"/>
  <c r="P221" i="15" s="1"/>
  <c r="P113" i="15"/>
  <c r="T214" i="15"/>
  <c r="O170" i="15"/>
  <c r="O51" i="4"/>
  <c r="O25" i="4"/>
  <c r="P25" i="4" s="1"/>
  <c r="R24" i="4"/>
  <c r="P52" i="4" s="1"/>
  <c r="BU13" i="1"/>
  <c r="AN306" i="1"/>
  <c r="BK10" i="1"/>
  <c r="A10" i="6"/>
  <c r="BL11" i="1"/>
  <c r="BY9" i="1"/>
  <c r="BX9" i="1" s="1"/>
  <c r="BW9" i="1" s="1"/>
  <c r="BZ8" i="1"/>
  <c r="A9" i="2" s="1"/>
  <c r="G9" i="2" s="1"/>
  <c r="K106" i="7" s="1"/>
  <c r="BM15" i="1"/>
  <c r="BN16" i="1"/>
  <c r="BN17" i="1" s="1"/>
  <c r="C97" i="4"/>
  <c r="D97" i="4"/>
  <c r="R97" i="4"/>
  <c r="Q97" i="4"/>
  <c r="B26" i="4"/>
  <c r="D26" i="4" s="1"/>
  <c r="BT14" i="1"/>
  <c r="O26" i="4" l="1"/>
  <c r="S109" i="15"/>
  <c r="S108" i="15"/>
  <c r="A37" i="15"/>
  <c r="Q111" i="15"/>
  <c r="B37" i="15"/>
  <c r="B38" i="15" s="1"/>
  <c r="F36" i="15"/>
  <c r="C36" i="15"/>
  <c r="C98" i="15"/>
  <c r="D98" i="15"/>
  <c r="O34" i="15"/>
  <c r="P34" i="15"/>
  <c r="T33" i="15"/>
  <c r="Q33" i="15"/>
  <c r="P76" i="15"/>
  <c r="O76" i="15"/>
  <c r="Q75" i="15"/>
  <c r="T75" i="15"/>
  <c r="P47" i="15"/>
  <c r="O48" i="15"/>
  <c r="O59" i="15"/>
  <c r="P59" i="15"/>
  <c r="T58" i="15"/>
  <c r="O95" i="15"/>
  <c r="P94" i="15"/>
  <c r="O171" i="15"/>
  <c r="D61" i="15"/>
  <c r="C61" i="15"/>
  <c r="B62" i="15"/>
  <c r="F61" i="15"/>
  <c r="A62" i="15"/>
  <c r="H33" i="15"/>
  <c r="E34" i="15"/>
  <c r="T215" i="15"/>
  <c r="F78" i="15"/>
  <c r="B79" i="15"/>
  <c r="C111" i="15"/>
  <c r="A79" i="15"/>
  <c r="C78" i="15"/>
  <c r="B112" i="15"/>
  <c r="D78" i="15"/>
  <c r="P114" i="15"/>
  <c r="P171" i="15"/>
  <c r="P222" i="15" s="1"/>
  <c r="P51" i="4"/>
  <c r="T10" i="6"/>
  <c r="BU14" i="1"/>
  <c r="D98" i="4"/>
  <c r="C98" i="4"/>
  <c r="BN18" i="1"/>
  <c r="BK11" i="1"/>
  <c r="A11" i="6"/>
  <c r="BL12" i="1"/>
  <c r="BY10" i="1"/>
  <c r="BX10" i="1" s="1"/>
  <c r="BW10" i="1" s="1"/>
  <c r="BZ9" i="1"/>
  <c r="A10" i="2" s="1"/>
  <c r="G10" i="2" s="1"/>
  <c r="K107" i="7" s="1"/>
  <c r="BS14" i="1"/>
  <c r="BT15" i="1"/>
  <c r="BT16" i="1" s="1"/>
  <c r="Q98" i="4"/>
  <c r="R98" i="4"/>
  <c r="P26" i="4"/>
  <c r="R26" i="4" s="1"/>
  <c r="R25" i="4"/>
  <c r="R55" i="15" l="1"/>
  <c r="A38" i="15"/>
  <c r="C37" i="15"/>
  <c r="Q112" i="15"/>
  <c r="Q113" i="15"/>
  <c r="E56" i="15"/>
  <c r="D37" i="15"/>
  <c r="F37" i="15"/>
  <c r="C99" i="15"/>
  <c r="D99" i="15"/>
  <c r="P48" i="15"/>
  <c r="O49" i="15"/>
  <c r="Q59" i="15"/>
  <c r="O60" i="15"/>
  <c r="P60" i="15"/>
  <c r="T59" i="15"/>
  <c r="O35" i="15"/>
  <c r="Q34" i="15"/>
  <c r="R34" i="15"/>
  <c r="T34" i="15"/>
  <c r="P35" i="15"/>
  <c r="P95" i="15"/>
  <c r="R74" i="15" s="1"/>
  <c r="O96" i="15"/>
  <c r="O77" i="15"/>
  <c r="T76" i="15"/>
  <c r="Q76" i="15"/>
  <c r="P77" i="15"/>
  <c r="F79" i="15"/>
  <c r="B80" i="15"/>
  <c r="C79" i="15"/>
  <c r="D79" i="15"/>
  <c r="B113" i="15"/>
  <c r="C112" i="15"/>
  <c r="A80" i="15"/>
  <c r="O172" i="15"/>
  <c r="C38" i="15"/>
  <c r="A39" i="15"/>
  <c r="D38" i="15"/>
  <c r="B39" i="15"/>
  <c r="F38" i="15"/>
  <c r="T216" i="15"/>
  <c r="R32" i="15"/>
  <c r="Q114" i="15"/>
  <c r="P115" i="15"/>
  <c r="P172" i="15"/>
  <c r="P223" i="15" s="1"/>
  <c r="E35" i="15"/>
  <c r="H34" i="15"/>
  <c r="F62" i="15"/>
  <c r="C62" i="15"/>
  <c r="D62" i="15"/>
  <c r="A63" i="15"/>
  <c r="B63" i="15"/>
  <c r="T11" i="6"/>
  <c r="BU15" i="1"/>
  <c r="BQ14" i="1"/>
  <c r="BS15" i="1"/>
  <c r="BS16" i="1" s="1"/>
  <c r="BK12" i="1"/>
  <c r="A12" i="6"/>
  <c r="BL13" i="1"/>
  <c r="BZ10" i="1"/>
  <c r="A11" i="2" s="1"/>
  <c r="G11" i="2" s="1"/>
  <c r="K108" i="7" s="1"/>
  <c r="BY11" i="1"/>
  <c r="BX11" i="1" s="1"/>
  <c r="BW11" i="1" s="1"/>
  <c r="C99" i="4"/>
  <c r="D99" i="4"/>
  <c r="Q99" i="4"/>
  <c r="R99" i="4"/>
  <c r="BN19" i="1"/>
  <c r="R71" i="15" l="1"/>
  <c r="R72" i="15"/>
  <c r="R56" i="15"/>
  <c r="S111" i="15"/>
  <c r="S110" i="15"/>
  <c r="E57" i="15"/>
  <c r="S112" i="15" s="1"/>
  <c r="S113" i="15"/>
  <c r="S32" i="15"/>
  <c r="V32" i="15" s="1"/>
  <c r="D100" i="15"/>
  <c r="C100" i="15"/>
  <c r="R73" i="15"/>
  <c r="R57" i="15"/>
  <c r="R58" i="15"/>
  <c r="P49" i="15"/>
  <c r="R33" i="15"/>
  <c r="R35" i="15"/>
  <c r="Q57" i="15"/>
  <c r="Q73" i="15"/>
  <c r="R59" i="15"/>
  <c r="R76" i="15"/>
  <c r="R75" i="15"/>
  <c r="T77" i="15"/>
  <c r="Q77" i="15"/>
  <c r="R77" i="15"/>
  <c r="P78" i="15"/>
  <c r="O78" i="15"/>
  <c r="S55" i="15"/>
  <c r="Q74" i="15"/>
  <c r="Q55" i="15"/>
  <c r="T35" i="15"/>
  <c r="R108" i="15"/>
  <c r="Q35" i="15"/>
  <c r="Q72" i="15"/>
  <c r="O36" i="15"/>
  <c r="R107" i="15"/>
  <c r="R109" i="15"/>
  <c r="Q71" i="15"/>
  <c r="P36" i="15"/>
  <c r="Q56" i="15"/>
  <c r="R110" i="15"/>
  <c r="Q58" i="15"/>
  <c r="Q60" i="15"/>
  <c r="T60" i="15"/>
  <c r="O61" i="15"/>
  <c r="P61" i="15"/>
  <c r="R60" i="15"/>
  <c r="P96" i="15"/>
  <c r="O97" i="15"/>
  <c r="P97" i="15" s="1"/>
  <c r="O173" i="15"/>
  <c r="C80" i="15"/>
  <c r="D80" i="15"/>
  <c r="F80" i="15"/>
  <c r="B81" i="15"/>
  <c r="A81" i="15"/>
  <c r="C113" i="15"/>
  <c r="B114" i="15"/>
  <c r="E36" i="15"/>
  <c r="H35" i="15"/>
  <c r="B40" i="15"/>
  <c r="D39" i="15"/>
  <c r="C39" i="15"/>
  <c r="A40" i="15"/>
  <c r="F39" i="15"/>
  <c r="D63" i="15"/>
  <c r="C63" i="15"/>
  <c r="F63" i="15"/>
  <c r="B64" i="15"/>
  <c r="A64" i="15"/>
  <c r="Q115" i="15"/>
  <c r="P116" i="15"/>
  <c r="S115" i="15"/>
  <c r="P173" i="15"/>
  <c r="P224" i="15" s="1"/>
  <c r="T217" i="15"/>
  <c r="BU16" i="1"/>
  <c r="BN20" i="1"/>
  <c r="Q100" i="4"/>
  <c r="R100" i="4"/>
  <c r="C100" i="4"/>
  <c r="D100" i="4"/>
  <c r="BK13" i="1"/>
  <c r="A13" i="6"/>
  <c r="BL14" i="1"/>
  <c r="BZ11" i="1"/>
  <c r="A12" i="2" s="1"/>
  <c r="G12" i="2" s="1"/>
  <c r="K109" i="7" s="1"/>
  <c r="BY12" i="1"/>
  <c r="BX12" i="1" s="1"/>
  <c r="BW12" i="1" s="1"/>
  <c r="BP14" i="1"/>
  <c r="BQ15" i="1"/>
  <c r="BQ16" i="1" s="1"/>
  <c r="T108" i="15" l="1"/>
  <c r="V108" i="15" s="1"/>
  <c r="T107" i="15"/>
  <c r="V107" i="15" s="1"/>
  <c r="E58" i="15"/>
  <c r="E59" i="15" s="1"/>
  <c r="E60" i="15" s="1"/>
  <c r="E61" i="15" s="1"/>
  <c r="E62" i="15" s="1"/>
  <c r="E63" i="15" s="1"/>
  <c r="S114" i="15"/>
  <c r="S33" i="15"/>
  <c r="C101" i="15"/>
  <c r="D101" i="15"/>
  <c r="O37" i="15"/>
  <c r="P37" i="15"/>
  <c r="Q36" i="15"/>
  <c r="T36" i="15"/>
  <c r="R36" i="15"/>
  <c r="W109" i="15"/>
  <c r="U109" i="15"/>
  <c r="T109" i="15"/>
  <c r="V109" i="15" s="1"/>
  <c r="W107" i="15"/>
  <c r="U107" i="15"/>
  <c r="P62" i="15"/>
  <c r="Q61" i="15"/>
  <c r="O62" i="15"/>
  <c r="T61" i="15"/>
  <c r="R61" i="15"/>
  <c r="W110" i="15"/>
  <c r="U110" i="15"/>
  <c r="P79" i="15"/>
  <c r="O79" i="15"/>
  <c r="Q78" i="15"/>
  <c r="R78" i="15"/>
  <c r="T78" i="15"/>
  <c r="W108" i="15"/>
  <c r="U108" i="15"/>
  <c r="H36" i="15"/>
  <c r="E37" i="15"/>
  <c r="T218" i="15"/>
  <c r="C64" i="15"/>
  <c r="D64" i="15"/>
  <c r="A65" i="15"/>
  <c r="F64" i="15"/>
  <c r="B65" i="15"/>
  <c r="C40" i="15"/>
  <c r="D40" i="15"/>
  <c r="A41" i="15"/>
  <c r="B41" i="15"/>
  <c r="Q106" i="15" s="1"/>
  <c r="F40" i="15"/>
  <c r="A82" i="15"/>
  <c r="C114" i="15"/>
  <c r="D81" i="15"/>
  <c r="F81" i="15"/>
  <c r="B82" i="15"/>
  <c r="C81" i="15"/>
  <c r="O174" i="15"/>
  <c r="P117" i="15"/>
  <c r="P174" i="15"/>
  <c r="P225" i="15" s="1"/>
  <c r="S116" i="15"/>
  <c r="Q116" i="15"/>
  <c r="T13" i="6"/>
  <c r="BO14" i="1"/>
  <c r="BO15" i="1" s="1"/>
  <c r="BP15" i="1"/>
  <c r="BP16" i="1" s="1"/>
  <c r="C101" i="4"/>
  <c r="D101" i="4"/>
  <c r="Q101" i="4"/>
  <c r="R101" i="4"/>
  <c r="BN21" i="1"/>
  <c r="BK14" i="1"/>
  <c r="A14" i="6"/>
  <c r="BL15" i="1"/>
  <c r="BZ12" i="1"/>
  <c r="A13" i="2" s="1"/>
  <c r="G13" i="2" s="1"/>
  <c r="K110" i="7" s="1"/>
  <c r="BY13" i="1"/>
  <c r="BX13" i="1" s="1"/>
  <c r="BW13" i="1" s="1"/>
  <c r="R111" i="15" l="1"/>
  <c r="S34" i="15"/>
  <c r="R115" i="15" s="1"/>
  <c r="V33" i="15"/>
  <c r="D102" i="15"/>
  <c r="C102" i="15"/>
  <c r="E64" i="15"/>
  <c r="T37" i="15"/>
  <c r="Q37" i="15"/>
  <c r="P38" i="15"/>
  <c r="O38" i="15"/>
  <c r="R37" i="15"/>
  <c r="Q79" i="15"/>
  <c r="P80" i="15"/>
  <c r="O80" i="15"/>
  <c r="T79" i="15"/>
  <c r="R79" i="15"/>
  <c r="Q62" i="15"/>
  <c r="T62" i="15"/>
  <c r="O63" i="15"/>
  <c r="R62" i="15"/>
  <c r="P63" i="15"/>
  <c r="O175" i="15"/>
  <c r="P118" i="15"/>
  <c r="S117" i="15"/>
  <c r="P175" i="15"/>
  <c r="P226" i="15" s="1"/>
  <c r="Q117" i="15"/>
  <c r="R117" i="15"/>
  <c r="D41" i="15"/>
  <c r="C41" i="15"/>
  <c r="E53" i="15" s="1"/>
  <c r="F41" i="15"/>
  <c r="T219" i="15"/>
  <c r="D82" i="15"/>
  <c r="C82" i="15"/>
  <c r="F82" i="15"/>
  <c r="A83" i="15"/>
  <c r="B83" i="15"/>
  <c r="F65" i="15"/>
  <c r="D65" i="15"/>
  <c r="C65" i="15"/>
  <c r="H37" i="15"/>
  <c r="E38" i="15"/>
  <c r="T14" i="6"/>
  <c r="BO16" i="1"/>
  <c r="BN22" i="1"/>
  <c r="R102" i="4"/>
  <c r="Q102" i="4"/>
  <c r="D102" i="4"/>
  <c r="C102" i="4"/>
  <c r="BK15" i="1"/>
  <c r="A15" i="6"/>
  <c r="BL16" i="1"/>
  <c r="BZ13" i="1"/>
  <c r="BY14" i="1"/>
  <c r="BX14" i="1" s="1"/>
  <c r="R112" i="15" l="1"/>
  <c r="U112" i="15" s="1"/>
  <c r="R113" i="15"/>
  <c r="W113" i="15" s="1"/>
  <c r="S56" i="15"/>
  <c r="T110" i="15" s="1"/>
  <c r="V110" i="15" s="1"/>
  <c r="R116" i="15"/>
  <c r="R114" i="15"/>
  <c r="U114" i="15" s="1"/>
  <c r="W111" i="15"/>
  <c r="U111" i="15"/>
  <c r="W115" i="15"/>
  <c r="U115" i="15"/>
  <c r="V34" i="15"/>
  <c r="S35" i="15"/>
  <c r="A14" i="2"/>
  <c r="G14" i="2" s="1"/>
  <c r="M1" i="3"/>
  <c r="T63" i="15"/>
  <c r="R63" i="15"/>
  <c r="O64" i="15"/>
  <c r="P64" i="15"/>
  <c r="Q63" i="15"/>
  <c r="P81" i="15"/>
  <c r="R80" i="15"/>
  <c r="Q80" i="15"/>
  <c r="O81" i="15"/>
  <c r="T80" i="15"/>
  <c r="O39" i="15"/>
  <c r="T38" i="15"/>
  <c r="Q38" i="15"/>
  <c r="R38" i="15"/>
  <c r="P39" i="15"/>
  <c r="E65" i="15"/>
  <c r="W117" i="15"/>
  <c r="O176" i="15"/>
  <c r="P119" i="15"/>
  <c r="P176" i="15"/>
  <c r="P227" i="15" s="1"/>
  <c r="Q118" i="15"/>
  <c r="S118" i="15"/>
  <c r="R118" i="15"/>
  <c r="H38" i="15"/>
  <c r="E39" i="15"/>
  <c r="C83" i="15"/>
  <c r="F83" i="15"/>
  <c r="A84" i="15"/>
  <c r="B84" i="15"/>
  <c r="D83" i="15"/>
  <c r="T220" i="15"/>
  <c r="U117" i="15"/>
  <c r="BZ14" i="1"/>
  <c r="M12" i="7"/>
  <c r="BW14" i="1"/>
  <c r="BW15" i="1" s="1"/>
  <c r="BX15" i="1"/>
  <c r="BX16" i="1" s="1"/>
  <c r="BK16" i="1"/>
  <c r="BL17" i="1"/>
  <c r="BN23" i="1"/>
  <c r="S106" i="15" l="1"/>
  <c r="E52" i="15"/>
  <c r="C70" i="15" s="1"/>
  <c r="E70" i="15" s="1"/>
  <c r="E71" i="15" s="1"/>
  <c r="E72" i="15" s="1"/>
  <c r="E73" i="15" s="1"/>
  <c r="E74" i="15" s="1"/>
  <c r="E75" i="15" s="1"/>
  <c r="E76" i="15" s="1"/>
  <c r="E77" i="15" s="1"/>
  <c r="E78" i="15" s="1"/>
  <c r="E79" i="15" s="1"/>
  <c r="E80" i="15" s="1"/>
  <c r="E81" i="15" s="1"/>
  <c r="E82" i="15" s="1"/>
  <c r="E83" i="15" s="1"/>
  <c r="E69" i="15"/>
  <c r="U113" i="15"/>
  <c r="W114" i="15"/>
  <c r="S57" i="15"/>
  <c r="T112" i="15" s="1"/>
  <c r="V112" i="15" s="1"/>
  <c r="W112" i="15"/>
  <c r="T111" i="15"/>
  <c r="V111" i="15" s="1"/>
  <c r="U116" i="15"/>
  <c r="W116" i="15"/>
  <c r="S36" i="15"/>
  <c r="V35" i="15"/>
  <c r="O40" i="15"/>
  <c r="R39" i="15"/>
  <c r="P40" i="15"/>
  <c r="Q39" i="15"/>
  <c r="T39" i="15"/>
  <c r="O65" i="15"/>
  <c r="T64" i="15"/>
  <c r="R64" i="15"/>
  <c r="Q64" i="15"/>
  <c r="P65" i="15"/>
  <c r="R81" i="15"/>
  <c r="Q81" i="15"/>
  <c r="T81" i="15"/>
  <c r="P82" i="15"/>
  <c r="O82" i="15"/>
  <c r="Q119" i="15"/>
  <c r="S119" i="15"/>
  <c r="P177" i="15"/>
  <c r="P228" i="15" s="1"/>
  <c r="T119" i="15"/>
  <c r="R119" i="15"/>
  <c r="P120" i="15"/>
  <c r="D84" i="15"/>
  <c r="C84" i="15"/>
  <c r="F84" i="15"/>
  <c r="A85" i="15"/>
  <c r="B85" i="15"/>
  <c r="H39" i="15"/>
  <c r="E40" i="15"/>
  <c r="U118" i="15"/>
  <c r="T221" i="15"/>
  <c r="W118" i="15"/>
  <c r="O177" i="15"/>
  <c r="BK17" i="1"/>
  <c r="BK18" i="1" s="1"/>
  <c r="BK19" i="1" s="1"/>
  <c r="BZ15" i="1"/>
  <c r="BW16" i="1"/>
  <c r="BN24" i="1"/>
  <c r="BX17" i="1"/>
  <c r="S58" i="15" l="1"/>
  <c r="T116" i="15" s="1"/>
  <c r="V116" i="15" s="1"/>
  <c r="T113" i="15"/>
  <c r="V113" i="15" s="1"/>
  <c r="T114" i="15"/>
  <c r="V114" i="15" s="1"/>
  <c r="T115" i="15"/>
  <c r="V115" i="15" s="1"/>
  <c r="T117" i="15"/>
  <c r="V117" i="15" s="1"/>
  <c r="T118" i="15"/>
  <c r="V118" i="15" s="1"/>
  <c r="S37" i="15"/>
  <c r="V36" i="15"/>
  <c r="P83" i="15"/>
  <c r="T82" i="15"/>
  <c r="Q82" i="15"/>
  <c r="O83" i="15"/>
  <c r="R82" i="15"/>
  <c r="R40" i="15"/>
  <c r="O41" i="15"/>
  <c r="T40" i="15"/>
  <c r="P41" i="15"/>
  <c r="Q41" i="15" s="1"/>
  <c r="S53" i="15" s="1"/>
  <c r="Q40" i="15"/>
  <c r="R65" i="15"/>
  <c r="Q65" i="15"/>
  <c r="T65" i="15"/>
  <c r="E84" i="15"/>
  <c r="V119" i="15"/>
  <c r="W119" i="15"/>
  <c r="F85" i="15"/>
  <c r="D85" i="15"/>
  <c r="C85" i="15"/>
  <c r="B86" i="15"/>
  <c r="A86" i="15"/>
  <c r="H40" i="15"/>
  <c r="E41" i="15"/>
  <c r="H41" i="15" s="1"/>
  <c r="O178" i="15"/>
  <c r="T222" i="15"/>
  <c r="T120" i="15"/>
  <c r="P178" i="15"/>
  <c r="P229" i="15" s="1"/>
  <c r="P121" i="15"/>
  <c r="S120" i="15"/>
  <c r="R120" i="15"/>
  <c r="Q120" i="15"/>
  <c r="U119" i="15"/>
  <c r="BW17" i="1"/>
  <c r="BT17" i="1" s="1"/>
  <c r="BQ17" i="1" s="1"/>
  <c r="BO17" i="1" s="1"/>
  <c r="BX18" i="1"/>
  <c r="BK20" i="1"/>
  <c r="BN25" i="1"/>
  <c r="S59" i="15" l="1"/>
  <c r="S60" i="15" s="1"/>
  <c r="S61" i="15" s="1"/>
  <c r="S62" i="15" s="1"/>
  <c r="S63" i="15" s="1"/>
  <c r="S64" i="15" s="1"/>
  <c r="S65" i="15" s="1"/>
  <c r="V37" i="15"/>
  <c r="S38" i="15"/>
  <c r="T41" i="15"/>
  <c r="R41" i="15"/>
  <c r="R83" i="15"/>
  <c r="T83" i="15"/>
  <c r="Q83" i="15"/>
  <c r="P84" i="15"/>
  <c r="O84" i="15"/>
  <c r="U120" i="15"/>
  <c r="E85" i="15"/>
  <c r="V120" i="15"/>
  <c r="A87" i="15"/>
  <c r="F86" i="15"/>
  <c r="D86" i="15"/>
  <c r="C86" i="15"/>
  <c r="B87" i="15"/>
  <c r="P179" i="15"/>
  <c r="P230" i="15" s="1"/>
  <c r="S121" i="15"/>
  <c r="Q121" i="15"/>
  <c r="P122" i="15"/>
  <c r="O179" i="15"/>
  <c r="W120" i="15"/>
  <c r="BW18" i="1"/>
  <c r="BT18" i="1" s="1"/>
  <c r="BQ18" i="1" s="1"/>
  <c r="BO18" i="1" s="1"/>
  <c r="C47" i="5"/>
  <c r="BN26" i="1"/>
  <c r="BX19" i="1"/>
  <c r="BK21" i="1"/>
  <c r="BW19" i="1" l="1"/>
  <c r="T121" i="15"/>
  <c r="V121" i="15" s="1"/>
  <c r="T106" i="15"/>
  <c r="V106" i="15" s="1"/>
  <c r="S52" i="15"/>
  <c r="Q70" i="15" s="1"/>
  <c r="S70" i="15" s="1"/>
  <c r="V38" i="15"/>
  <c r="S39" i="15"/>
  <c r="O85" i="15"/>
  <c r="R84" i="15"/>
  <c r="T84" i="15"/>
  <c r="Q84" i="15"/>
  <c r="P85" i="15"/>
  <c r="E86" i="15"/>
  <c r="P123" i="15"/>
  <c r="P180" i="15"/>
  <c r="P231" i="15" s="1"/>
  <c r="S122" i="15"/>
  <c r="Q122" i="15"/>
  <c r="T122" i="15"/>
  <c r="O180" i="15"/>
  <c r="C87" i="15"/>
  <c r="A88" i="15"/>
  <c r="F87" i="15"/>
  <c r="D87" i="15"/>
  <c r="B88" i="15"/>
  <c r="BT19" i="1"/>
  <c r="BQ19" i="1" s="1"/>
  <c r="BO19" i="1" s="1"/>
  <c r="BX20" i="1"/>
  <c r="BK22" i="1"/>
  <c r="BN27" i="1"/>
  <c r="BW20" i="1" l="1"/>
  <c r="S68" i="15"/>
  <c r="S71" i="15"/>
  <c r="S72" i="15" s="1"/>
  <c r="S73" i="15" s="1"/>
  <c r="S74" i="15" s="1"/>
  <c r="S75" i="15" s="1"/>
  <c r="S76" i="15" s="1"/>
  <c r="S77" i="15" s="1"/>
  <c r="S78" i="15" s="1"/>
  <c r="S79" i="15" s="1"/>
  <c r="S80" i="15" s="1"/>
  <c r="S81" i="15" s="1"/>
  <c r="S82" i="15" s="1"/>
  <c r="S83" i="15" s="1"/>
  <c r="S84" i="15" s="1"/>
  <c r="V39" i="15"/>
  <c r="S40" i="15"/>
  <c r="E87" i="15"/>
  <c r="T85" i="15"/>
  <c r="O86" i="15"/>
  <c r="R85" i="15"/>
  <c r="P86" i="15"/>
  <c r="Q85" i="15"/>
  <c r="T123" i="15"/>
  <c r="S123" i="15"/>
  <c r="P124" i="15"/>
  <c r="Q123" i="15"/>
  <c r="P181" i="15"/>
  <c r="P232" i="15" s="1"/>
  <c r="V122" i="15"/>
  <c r="C88" i="15"/>
  <c r="B89" i="15"/>
  <c r="F88" i="15"/>
  <c r="D88" i="15"/>
  <c r="A89" i="15"/>
  <c r="O181" i="15"/>
  <c r="BT20" i="1"/>
  <c r="BQ20" i="1" s="1"/>
  <c r="BO20" i="1" s="1"/>
  <c r="BN28" i="1"/>
  <c r="BZ21" i="1"/>
  <c r="BX21" i="1" s="1"/>
  <c r="BK23" i="1"/>
  <c r="BK24" i="1" s="1"/>
  <c r="V40" i="15" l="1"/>
  <c r="S41" i="15"/>
  <c r="R124" i="15" s="1"/>
  <c r="E88" i="15"/>
  <c r="S85" i="15"/>
  <c r="O87" i="15"/>
  <c r="R86" i="15"/>
  <c r="P87" i="15"/>
  <c r="T86" i="15"/>
  <c r="Q86" i="15"/>
  <c r="V123" i="15"/>
  <c r="F89" i="15"/>
  <c r="D89" i="15"/>
  <c r="C89" i="15"/>
  <c r="P182" i="15"/>
  <c r="P233" i="15" s="1"/>
  <c r="T124" i="15"/>
  <c r="S124" i="15"/>
  <c r="P125" i="15"/>
  <c r="Q124" i="15"/>
  <c r="O182" i="15"/>
  <c r="BW21" i="1"/>
  <c r="BT21" i="1" s="1"/>
  <c r="BQ21" i="1" s="1"/>
  <c r="BO21" i="1" s="1"/>
  <c r="BX22" i="1"/>
  <c r="BK25" i="1"/>
  <c r="BN29" i="1"/>
  <c r="R121" i="15" l="1"/>
  <c r="W121" i="15" s="1"/>
  <c r="R106" i="15"/>
  <c r="R122" i="15"/>
  <c r="V41" i="15"/>
  <c r="R123" i="15"/>
  <c r="Q174" i="15"/>
  <c r="S86" i="15"/>
  <c r="P88" i="15"/>
  <c r="R87" i="15"/>
  <c r="Q87" i="15"/>
  <c r="T87" i="15"/>
  <c r="O88" i="15"/>
  <c r="W124" i="15"/>
  <c r="V124" i="15"/>
  <c r="E89" i="15"/>
  <c r="U124" i="15"/>
  <c r="O183" i="15"/>
  <c r="R125" i="15"/>
  <c r="P183" i="15"/>
  <c r="P234" i="15" s="1"/>
  <c r="S125" i="15"/>
  <c r="Q125" i="15"/>
  <c r="P126" i="15"/>
  <c r="T125" i="15"/>
  <c r="Q165" i="15"/>
  <c r="R165" i="15"/>
  <c r="Q166" i="15"/>
  <c r="R166" i="15"/>
  <c r="Q167" i="15"/>
  <c r="R167" i="15"/>
  <c r="Q168" i="15"/>
  <c r="R168" i="15"/>
  <c r="R169" i="15"/>
  <c r="Q169" i="15"/>
  <c r="R170" i="15"/>
  <c r="Q170" i="15"/>
  <c r="Q171" i="15"/>
  <c r="R171" i="15"/>
  <c r="R172" i="15"/>
  <c r="Q172" i="15"/>
  <c r="Q173" i="15"/>
  <c r="R173" i="15"/>
  <c r="R174" i="15"/>
  <c r="R175" i="15"/>
  <c r="Q175" i="15"/>
  <c r="R176" i="15"/>
  <c r="Q176" i="15"/>
  <c r="Q177" i="15"/>
  <c r="R177" i="15"/>
  <c r="Q178" i="15"/>
  <c r="R178" i="15"/>
  <c r="BW22" i="1"/>
  <c r="BT22" i="1"/>
  <c r="BQ22" i="1"/>
  <c r="BX23" i="1"/>
  <c r="BO22" i="1"/>
  <c r="BO23" i="1" s="1"/>
  <c r="BN30" i="1"/>
  <c r="BK26" i="1"/>
  <c r="BK27" i="1" s="1"/>
  <c r="BK28" i="1" s="1"/>
  <c r="BK29" i="1" s="1"/>
  <c r="U121" i="15" l="1"/>
  <c r="W106" i="15"/>
  <c r="U106" i="15"/>
  <c r="E98" i="15"/>
  <c r="E94" i="15"/>
  <c r="E95" i="15"/>
  <c r="E92" i="15"/>
  <c r="E99" i="15"/>
  <c r="E96" i="15"/>
  <c r="E97" i="15"/>
  <c r="E91" i="15"/>
  <c r="E100" i="15"/>
  <c r="E93" i="15"/>
  <c r="E102" i="15"/>
  <c r="E101" i="15"/>
  <c r="R229" i="15"/>
  <c r="Q229" i="15"/>
  <c r="R225" i="15"/>
  <c r="Q225" i="15"/>
  <c r="R223" i="15"/>
  <c r="Q223" i="15"/>
  <c r="R221" i="15"/>
  <c r="Q221" i="15"/>
  <c r="R227" i="15"/>
  <c r="Q227" i="15"/>
  <c r="R224" i="15"/>
  <c r="Q224" i="15"/>
  <c r="R222" i="15"/>
  <c r="Q222" i="15"/>
  <c r="R218" i="15"/>
  <c r="Q218" i="15"/>
  <c r="R216" i="15"/>
  <c r="Q216" i="15"/>
  <c r="S216" i="15" s="1"/>
  <c r="AA165" i="4" s="1"/>
  <c r="R228" i="15"/>
  <c r="Q228" i="15"/>
  <c r="R220" i="15"/>
  <c r="Q220" i="15"/>
  <c r="R226" i="15"/>
  <c r="Q226" i="15"/>
  <c r="R219" i="15"/>
  <c r="Q219" i="15"/>
  <c r="R217" i="15"/>
  <c r="Q217" i="15"/>
  <c r="S217" i="15" s="1"/>
  <c r="AA166" i="4" s="1"/>
  <c r="U123" i="15"/>
  <c r="W123" i="15"/>
  <c r="W122" i="15"/>
  <c r="U122" i="15"/>
  <c r="H12" i="3"/>
  <c r="S87" i="15"/>
  <c r="T88" i="15"/>
  <c r="P89" i="15"/>
  <c r="R88" i="15"/>
  <c r="Q88" i="15"/>
  <c r="O89" i="15"/>
  <c r="U125" i="15"/>
  <c r="S169" i="15"/>
  <c r="S172" i="15"/>
  <c r="S178" i="15"/>
  <c r="S166" i="15"/>
  <c r="S173" i="15"/>
  <c r="S165" i="15"/>
  <c r="S177" i="15"/>
  <c r="S174" i="15"/>
  <c r="S171" i="15"/>
  <c r="S168" i="15"/>
  <c r="S167" i="15"/>
  <c r="V125" i="15"/>
  <c r="S176" i="15"/>
  <c r="S175" i="15"/>
  <c r="O184" i="15"/>
  <c r="S170" i="15"/>
  <c r="T126" i="15"/>
  <c r="R126" i="15"/>
  <c r="P127" i="15"/>
  <c r="S126" i="15"/>
  <c r="P184" i="15"/>
  <c r="P235" i="15" s="1"/>
  <c r="Q126" i="15"/>
  <c r="W125" i="15"/>
  <c r="BW23" i="1"/>
  <c r="BT23" i="1" s="1"/>
  <c r="BQ23" i="1" s="1"/>
  <c r="BX24" i="1"/>
  <c r="BX25" i="1" s="1"/>
  <c r="BN31" i="1"/>
  <c r="AF7" i="3" l="1"/>
  <c r="AF12" i="3" s="1"/>
  <c r="DT7" i="3"/>
  <c r="DT12" i="3" s="1"/>
  <c r="ER7" i="3"/>
  <c r="ER12" i="3" s="1"/>
  <c r="BZ7" i="3"/>
  <c r="BZ12" i="3" s="1"/>
  <c r="S219" i="15"/>
  <c r="AA168" i="4" s="1"/>
  <c r="S226" i="15"/>
  <c r="AA175" i="4" s="1"/>
  <c r="S228" i="15"/>
  <c r="AA177" i="4" s="1"/>
  <c r="S218" i="15"/>
  <c r="AA167" i="4" s="1"/>
  <c r="S224" i="15"/>
  <c r="AA173" i="4" s="1"/>
  <c r="S221" i="15"/>
  <c r="AA170" i="4" s="1"/>
  <c r="S225" i="15"/>
  <c r="AA174" i="4" s="1"/>
  <c r="S220" i="15"/>
  <c r="AA169" i="4" s="1"/>
  <c r="S222" i="15"/>
  <c r="AA171" i="4" s="1"/>
  <c r="S227" i="15"/>
  <c r="AA176" i="4" s="1"/>
  <c r="S223" i="15"/>
  <c r="AA172" i="4" s="1"/>
  <c r="S229" i="15"/>
  <c r="AA178" i="4" s="1"/>
  <c r="U126" i="15"/>
  <c r="S88" i="15"/>
  <c r="Q89" i="15"/>
  <c r="T89" i="15"/>
  <c r="R89" i="15"/>
  <c r="V126" i="15"/>
  <c r="W126" i="15"/>
  <c r="T127" i="15"/>
  <c r="S127" i="15"/>
  <c r="P185" i="15"/>
  <c r="P128" i="15"/>
  <c r="Q127" i="15"/>
  <c r="R127" i="15"/>
  <c r="O185" i="15"/>
  <c r="BW24" i="1"/>
  <c r="BT24" i="1" s="1"/>
  <c r="BQ24" i="1" s="1"/>
  <c r="BO24" i="1" s="1"/>
  <c r="BN32" i="1"/>
  <c r="BX26" i="1"/>
  <c r="P236" i="15" l="1"/>
  <c r="W127" i="15"/>
  <c r="S89" i="15"/>
  <c r="V127" i="15"/>
  <c r="P186" i="15"/>
  <c r="P237" i="15" s="1"/>
  <c r="R128" i="15"/>
  <c r="T128" i="15"/>
  <c r="P129" i="15"/>
  <c r="S128" i="15"/>
  <c r="Q128" i="15"/>
  <c r="U128" i="15" s="1"/>
  <c r="O186" i="15"/>
  <c r="U127" i="15"/>
  <c r="BW25" i="1"/>
  <c r="BT25" i="1" s="1"/>
  <c r="BQ25" i="1" s="1"/>
  <c r="BO25" i="1" s="1"/>
  <c r="BX27" i="1"/>
  <c r="BN33" i="1"/>
  <c r="S93" i="15" l="1"/>
  <c r="S92" i="15"/>
  <c r="S91" i="15"/>
  <c r="S94" i="15"/>
  <c r="S97" i="15"/>
  <c r="S95" i="15"/>
  <c r="S102" i="15"/>
  <c r="S98" i="15"/>
  <c r="S100" i="15"/>
  <c r="S99" i="15"/>
  <c r="S96" i="15"/>
  <c r="S101" i="15"/>
  <c r="W128" i="15"/>
  <c r="P187" i="15"/>
  <c r="P238" i="15" s="1"/>
  <c r="R129" i="15"/>
  <c r="S129" i="15"/>
  <c r="T129" i="15"/>
  <c r="Q129" i="15"/>
  <c r="P130" i="15"/>
  <c r="V128" i="15"/>
  <c r="O187" i="15"/>
  <c r="BW26" i="1"/>
  <c r="BT26" i="1" s="1"/>
  <c r="BQ26" i="1" s="1"/>
  <c r="BO26" i="1" s="1"/>
  <c r="BN34" i="1"/>
  <c r="BX28" i="1"/>
  <c r="CE3" i="3" l="1"/>
  <c r="CD4" i="3" s="1"/>
  <c r="CZ3" i="3"/>
  <c r="CY4" i="3" s="1"/>
  <c r="AK3" i="3"/>
  <c r="AJ4" i="3" s="1"/>
  <c r="W129" i="15"/>
  <c r="U129" i="15"/>
  <c r="V129" i="15"/>
  <c r="P131" i="15"/>
  <c r="P188" i="15"/>
  <c r="P239" i="15" s="1"/>
  <c r="R130" i="15"/>
  <c r="Q130" i="15"/>
  <c r="T130" i="15"/>
  <c r="S130" i="15"/>
  <c r="O188" i="15"/>
  <c r="BW27" i="1"/>
  <c r="BT27" i="1" s="1"/>
  <c r="BQ27" i="1" s="1"/>
  <c r="BO27" i="1" s="1"/>
  <c r="BX29" i="1"/>
  <c r="DQ4" i="3" l="1"/>
  <c r="CV4" i="3"/>
  <c r="CX4" i="3"/>
  <c r="CZ4" i="3"/>
  <c r="CY5" i="3" s="1"/>
  <c r="CE4" i="3"/>
  <c r="CD5" i="3" s="1"/>
  <c r="CC4" i="3"/>
  <c r="AK4" i="3"/>
  <c r="AI4" i="3"/>
  <c r="W130" i="15"/>
  <c r="P132" i="15"/>
  <c r="S131" i="15"/>
  <c r="Q131" i="15"/>
  <c r="P189" i="15"/>
  <c r="P240" i="15" s="1"/>
  <c r="R131" i="15"/>
  <c r="T131" i="15"/>
  <c r="U130" i="15"/>
  <c r="V130" i="15"/>
  <c r="O189" i="15"/>
  <c r="D136" i="3"/>
  <c r="F136" i="3" s="1"/>
  <c r="E136" i="3" s="1"/>
  <c r="G136" i="3" s="1"/>
  <c r="I136" i="3" s="1"/>
  <c r="BW28" i="1"/>
  <c r="BT28" i="1" s="1"/>
  <c r="BQ28" i="1" s="1"/>
  <c r="BO28" i="1" s="1"/>
  <c r="BX30" i="1"/>
  <c r="AJ5" i="3" l="1"/>
  <c r="AK5" i="3" s="1"/>
  <c r="DQ5" i="3"/>
  <c r="CV5" i="3"/>
  <c r="CC5" i="3"/>
  <c r="CE5" i="3"/>
  <c r="CD6" i="3" s="1"/>
  <c r="CX5" i="3"/>
  <c r="CZ5" i="3"/>
  <c r="CY6" i="3" s="1"/>
  <c r="W131" i="15"/>
  <c r="O190" i="15"/>
  <c r="U131" i="15"/>
  <c r="V131" i="15"/>
  <c r="Q132" i="15"/>
  <c r="P133" i="15"/>
  <c r="R132" i="15"/>
  <c r="T132" i="15"/>
  <c r="P190" i="15"/>
  <c r="P241" i="15" s="1"/>
  <c r="S132" i="15"/>
  <c r="BW29" i="1"/>
  <c r="BT29" i="1" s="1"/>
  <c r="BQ29" i="1" s="1"/>
  <c r="BO29" i="1" s="1"/>
  <c r="BX31" i="1"/>
  <c r="AJ6" i="3" l="1"/>
  <c r="AI5" i="3"/>
  <c r="DQ6" i="3"/>
  <c r="CV6" i="3"/>
  <c r="CC6" i="3"/>
  <c r="CE6" i="3"/>
  <c r="CD7" i="3" s="1"/>
  <c r="CX6" i="3"/>
  <c r="CZ6" i="3"/>
  <c r="CY7" i="3" s="1"/>
  <c r="V132" i="15"/>
  <c r="Q133" i="15"/>
  <c r="P134" i="15"/>
  <c r="S133" i="15"/>
  <c r="P191" i="15"/>
  <c r="P242" i="15" s="1"/>
  <c r="R133" i="15"/>
  <c r="T133" i="15"/>
  <c r="O191" i="15"/>
  <c r="U132" i="15"/>
  <c r="W132" i="15"/>
  <c r="BW30" i="1"/>
  <c r="BT30" i="1" s="1"/>
  <c r="BQ30" i="1" s="1"/>
  <c r="BO30" i="1" s="1"/>
  <c r="BX32" i="1"/>
  <c r="AK6" i="3" l="1"/>
  <c r="AJ7" i="3" s="1"/>
  <c r="AI6" i="3"/>
  <c r="DQ7" i="3"/>
  <c r="CV7" i="3"/>
  <c r="CE7" i="3"/>
  <c r="CD8" i="3" s="1"/>
  <c r="CC7" i="3"/>
  <c r="CZ7" i="3"/>
  <c r="CY8" i="3" s="1"/>
  <c r="CX7" i="3"/>
  <c r="W133" i="15"/>
  <c r="O192" i="15"/>
  <c r="V133" i="15"/>
  <c r="S134" i="15"/>
  <c r="Q134" i="15"/>
  <c r="T134" i="15"/>
  <c r="P135" i="15"/>
  <c r="P192" i="15"/>
  <c r="P243" i="15" s="1"/>
  <c r="R134" i="15"/>
  <c r="U133" i="15"/>
  <c r="BW31" i="1"/>
  <c r="BT31" i="1" s="1"/>
  <c r="BQ31" i="1" s="1"/>
  <c r="BO31" i="1" s="1"/>
  <c r="BX33" i="1"/>
  <c r="AK7" i="3" l="1"/>
  <c r="AJ8" i="3" s="1"/>
  <c r="AI7" i="3"/>
  <c r="CV8" i="3"/>
  <c r="DQ8" i="3"/>
  <c r="CC8" i="3"/>
  <c r="CE8" i="3"/>
  <c r="CD9" i="3" s="1"/>
  <c r="CX8" i="3"/>
  <c r="CZ8" i="3"/>
  <c r="CY9" i="3" s="1"/>
  <c r="W134" i="15"/>
  <c r="U134" i="15"/>
  <c r="O193" i="15"/>
  <c r="V134" i="15"/>
  <c r="T135" i="15"/>
  <c r="Q135" i="15"/>
  <c r="P136" i="15"/>
  <c r="P193" i="15"/>
  <c r="P244" i="15" s="1"/>
  <c r="R135" i="15"/>
  <c r="S135" i="15"/>
  <c r="BW32" i="1"/>
  <c r="BT32" i="1" s="1"/>
  <c r="BQ32" i="1" s="1"/>
  <c r="BO32" i="1" s="1"/>
  <c r="BX34" i="1"/>
  <c r="AI8" i="3" l="1"/>
  <c r="AK8" i="3"/>
  <c r="AJ9" i="3" s="1"/>
  <c r="CD10" i="3"/>
  <c r="DT2" i="3"/>
  <c r="DT3" i="3"/>
  <c r="CV9" i="3"/>
  <c r="DQ9" i="3"/>
  <c r="CE9" i="3"/>
  <c r="CC9" i="3"/>
  <c r="CZ9" i="3"/>
  <c r="CY10" i="3" s="1"/>
  <c r="CX9" i="3"/>
  <c r="W135" i="15"/>
  <c r="V135" i="15"/>
  <c r="O194" i="15"/>
  <c r="R136" i="15"/>
  <c r="T136" i="15"/>
  <c r="P194" i="15"/>
  <c r="P245" i="15" s="1"/>
  <c r="S136" i="15"/>
  <c r="Q136" i="15"/>
  <c r="P137" i="15"/>
  <c r="U135" i="15"/>
  <c r="BW33" i="1"/>
  <c r="BT33" i="1" s="1"/>
  <c r="BQ33" i="1" s="1"/>
  <c r="BO33" i="1" s="1"/>
  <c r="BO34" i="1" s="1"/>
  <c r="AI9" i="3" l="1"/>
  <c r="AK9" i="3"/>
  <c r="AJ10" i="3" s="1"/>
  <c r="DQ10" i="3"/>
  <c r="CV10" i="3"/>
  <c r="CC10" i="3"/>
  <c r="CE10" i="3"/>
  <c r="CD11" i="3" s="1"/>
  <c r="CX10" i="3"/>
  <c r="CZ10" i="3"/>
  <c r="CY11" i="3" s="1"/>
  <c r="U136" i="15"/>
  <c r="V136" i="15"/>
  <c r="O195" i="15"/>
  <c r="T137" i="15"/>
  <c r="P138" i="15"/>
  <c r="P195" i="15"/>
  <c r="P246" i="15" s="1"/>
  <c r="R137" i="15"/>
  <c r="Q137" i="15"/>
  <c r="S137" i="15"/>
  <c r="W136" i="15"/>
  <c r="BQ34" i="1"/>
  <c r="BW34" i="1"/>
  <c r="BT34" i="1" s="1"/>
  <c r="AJ11" i="3" l="1"/>
  <c r="AK10" i="3"/>
  <c r="AI10" i="3"/>
  <c r="BA10" i="3" s="1"/>
  <c r="DQ11" i="3"/>
  <c r="CV11" i="3"/>
  <c r="CC11" i="3"/>
  <c r="CE11" i="3"/>
  <c r="CD12" i="3" s="1"/>
  <c r="CZ11" i="3"/>
  <c r="CY12" i="3" s="1"/>
  <c r="CX11" i="3"/>
  <c r="V137" i="15"/>
  <c r="W137" i="15"/>
  <c r="Q138" i="15"/>
  <c r="P196" i="15"/>
  <c r="P247" i="15" s="1"/>
  <c r="S138" i="15"/>
  <c r="P139" i="15"/>
  <c r="T138" i="15"/>
  <c r="R138" i="15"/>
  <c r="U137" i="15"/>
  <c r="O196" i="15"/>
  <c r="AJ12" i="3" l="1"/>
  <c r="AI11" i="3"/>
  <c r="BA11" i="3" s="1"/>
  <c r="AK11" i="3"/>
  <c r="DQ12" i="3"/>
  <c r="CV12" i="3"/>
  <c r="CC12" i="3"/>
  <c r="CE12" i="3"/>
  <c r="CD13" i="3" s="1"/>
  <c r="CX12" i="3"/>
  <c r="CZ12" i="3"/>
  <c r="CY13" i="3" s="1"/>
  <c r="W138" i="15"/>
  <c r="S139" i="15"/>
  <c r="Q139" i="15"/>
  <c r="T139" i="15"/>
  <c r="P140" i="15"/>
  <c r="P197" i="15"/>
  <c r="P248" i="15" s="1"/>
  <c r="R139" i="15"/>
  <c r="V138" i="15"/>
  <c r="O197" i="15"/>
  <c r="U138" i="15"/>
  <c r="AJ13" i="3" l="1"/>
  <c r="AZ12" i="3"/>
  <c r="AN12" i="3"/>
  <c r="AS12" i="3"/>
  <c r="AI12" i="3"/>
  <c r="BA12" i="3" s="1"/>
  <c r="AM12" i="3"/>
  <c r="AR12" i="3"/>
  <c r="AX12" i="3"/>
  <c r="AP12" i="3"/>
  <c r="AQ12" i="3"/>
  <c r="AV12" i="3"/>
  <c r="AL12" i="3"/>
  <c r="AT12" i="3"/>
  <c r="AU12" i="3"/>
  <c r="AO12" i="3"/>
  <c r="AK12" i="3"/>
  <c r="CV13" i="3"/>
  <c r="DQ13" i="3"/>
  <c r="CC13" i="3"/>
  <c r="CE13" i="3"/>
  <c r="CD14" i="3" s="1"/>
  <c r="CD15" i="3" s="1"/>
  <c r="CD16" i="3" s="1"/>
  <c r="CD17" i="3" s="1"/>
  <c r="CD18" i="3" s="1"/>
  <c r="CD19" i="3" s="1"/>
  <c r="CD20" i="3" s="1"/>
  <c r="CD21" i="3" s="1"/>
  <c r="CD22" i="3" s="1"/>
  <c r="CD23" i="3" s="1"/>
  <c r="CD24" i="3" s="1"/>
  <c r="CD25" i="3" s="1"/>
  <c r="CD26" i="3" s="1"/>
  <c r="CD27" i="3" s="1"/>
  <c r="CD28" i="3" s="1"/>
  <c r="CD29" i="3" s="1"/>
  <c r="CD30" i="3" s="1"/>
  <c r="CD31" i="3" s="1"/>
  <c r="CD32" i="3" s="1"/>
  <c r="CD33" i="3" s="1"/>
  <c r="CD34" i="3" s="1"/>
  <c r="CD35" i="3" s="1"/>
  <c r="CD36" i="3" s="1"/>
  <c r="CD37" i="3" s="1"/>
  <c r="CD38" i="3" s="1"/>
  <c r="CD39" i="3" s="1"/>
  <c r="CD40" i="3" s="1"/>
  <c r="CD41" i="3" s="1"/>
  <c r="CD42" i="3" s="1"/>
  <c r="CD43" i="3" s="1"/>
  <c r="CD44" i="3" s="1"/>
  <c r="CD45" i="3" s="1"/>
  <c r="CD46" i="3" s="1"/>
  <c r="CD47" i="3" s="1"/>
  <c r="CD48" i="3" s="1"/>
  <c r="CD49" i="3" s="1"/>
  <c r="CD50" i="3" s="1"/>
  <c r="CX13" i="3"/>
  <c r="CZ13" i="3"/>
  <c r="CY14" i="3" s="1"/>
  <c r="CY15" i="3" s="1"/>
  <c r="CY16" i="3" s="1"/>
  <c r="CY17" i="3" s="1"/>
  <c r="CY18" i="3" s="1"/>
  <c r="CY19" i="3" s="1"/>
  <c r="CY20" i="3" s="1"/>
  <c r="CY21" i="3" s="1"/>
  <c r="CY22" i="3" s="1"/>
  <c r="CY23" i="3" s="1"/>
  <c r="CY24" i="3" s="1"/>
  <c r="CY25" i="3" s="1"/>
  <c r="CY26" i="3" s="1"/>
  <c r="CY27" i="3" s="1"/>
  <c r="CY28" i="3" s="1"/>
  <c r="CY29" i="3" s="1"/>
  <c r="CY30" i="3" s="1"/>
  <c r="CY31" i="3" s="1"/>
  <c r="CY32" i="3" s="1"/>
  <c r="CY33" i="3" s="1"/>
  <c r="CY34" i="3" s="1"/>
  <c r="CY35" i="3" s="1"/>
  <c r="CY36" i="3" s="1"/>
  <c r="CY37" i="3" s="1"/>
  <c r="CY38" i="3" s="1"/>
  <c r="CY39" i="3" s="1"/>
  <c r="CY40" i="3" s="1"/>
  <c r="CY41" i="3" s="1"/>
  <c r="CY42" i="3" s="1"/>
  <c r="CY43" i="3" s="1"/>
  <c r="CY44" i="3" s="1"/>
  <c r="CY45" i="3" s="1"/>
  <c r="CY46" i="3" s="1"/>
  <c r="CY47" i="3" s="1"/>
  <c r="CY48" i="3" s="1"/>
  <c r="CY49" i="3" s="1"/>
  <c r="CY50" i="3" s="1"/>
  <c r="W139" i="15"/>
  <c r="Q140" i="15"/>
  <c r="R140" i="15"/>
  <c r="P141" i="15"/>
  <c r="S140" i="15"/>
  <c r="T140" i="15"/>
  <c r="P198" i="15"/>
  <c r="P249" i="15" s="1"/>
  <c r="U139" i="15"/>
  <c r="O198" i="15"/>
  <c r="V139" i="15"/>
  <c r="AY12" i="3" l="1"/>
  <c r="AJ14" i="3"/>
  <c r="AS13" i="3"/>
  <c r="AN13" i="3"/>
  <c r="AX13" i="3"/>
  <c r="AM13" i="3"/>
  <c r="AR13" i="3"/>
  <c r="AI13" i="3"/>
  <c r="BA13" i="3" s="1"/>
  <c r="AO13" i="3"/>
  <c r="AT13" i="3"/>
  <c r="AU13" i="3"/>
  <c r="AZ13" i="3"/>
  <c r="AL13" i="3"/>
  <c r="AP13" i="3"/>
  <c r="AQ13" i="3"/>
  <c r="AV13" i="3"/>
  <c r="AK13" i="3"/>
  <c r="CI14" i="3"/>
  <c r="CM14" i="3"/>
  <c r="CR14" i="3"/>
  <c r="CJ14" i="3"/>
  <c r="CN14" i="3"/>
  <c r="CT14" i="3"/>
  <c r="CG14" i="3"/>
  <c r="CK14" i="3"/>
  <c r="CO14" i="3"/>
  <c r="CH14" i="3"/>
  <c r="CL14" i="3"/>
  <c r="CP14" i="3"/>
  <c r="CV14" i="3"/>
  <c r="DJ14" i="3"/>
  <c r="DF14" i="3"/>
  <c r="DB14" i="3"/>
  <c r="DO14" i="3"/>
  <c r="DI14" i="3"/>
  <c r="DE14" i="3"/>
  <c r="DK14" i="3"/>
  <c r="DC14" i="3"/>
  <c r="DH14" i="3"/>
  <c r="DQ14" i="3"/>
  <c r="DG14" i="3"/>
  <c r="DM14" i="3"/>
  <c r="DD14" i="3"/>
  <c r="CZ14" i="3"/>
  <c r="DA14" i="3"/>
  <c r="CX14" i="3"/>
  <c r="DP14" i="3" s="1"/>
  <c r="CE14" i="3"/>
  <c r="CC14" i="3"/>
  <c r="CU14" i="3" s="1"/>
  <c r="CF14" i="3"/>
  <c r="W140" i="15"/>
  <c r="V140" i="15"/>
  <c r="R141" i="15"/>
  <c r="P199" i="15"/>
  <c r="P250" i="15" s="1"/>
  <c r="Q141" i="15"/>
  <c r="T141" i="15"/>
  <c r="P142" i="15"/>
  <c r="S141" i="15"/>
  <c r="O199" i="15"/>
  <c r="U140" i="15"/>
  <c r="AY13" i="3" l="1"/>
  <c r="AJ15" i="3"/>
  <c r="AO14" i="3"/>
  <c r="AT14" i="3"/>
  <c r="AU14" i="3"/>
  <c r="AI14" i="3"/>
  <c r="BA14" i="3" s="1"/>
  <c r="AN14" i="3"/>
  <c r="AS14" i="3"/>
  <c r="AZ14" i="3"/>
  <c r="AR14" i="3"/>
  <c r="AX14" i="3"/>
  <c r="AM14" i="3"/>
  <c r="AL14" i="3"/>
  <c r="AV14" i="3"/>
  <c r="AP14" i="3"/>
  <c r="AQ14" i="3"/>
  <c r="AK14" i="3"/>
  <c r="DN14" i="3"/>
  <c r="CG15" i="3"/>
  <c r="CK15" i="3"/>
  <c r="CO15" i="3"/>
  <c r="CT15" i="3"/>
  <c r="CH15" i="3"/>
  <c r="CL15" i="3"/>
  <c r="CP15" i="3"/>
  <c r="CI15" i="3"/>
  <c r="CM15" i="3"/>
  <c r="CR15" i="3"/>
  <c r="CV15" i="3"/>
  <c r="CJ15" i="3"/>
  <c r="CN15" i="3"/>
  <c r="DM15" i="3"/>
  <c r="DH15" i="3"/>
  <c r="DD15" i="3"/>
  <c r="DQ15" i="3"/>
  <c r="DK15" i="3"/>
  <c r="DG15" i="3"/>
  <c r="DC15" i="3"/>
  <c r="DJ15" i="3"/>
  <c r="DO15" i="3"/>
  <c r="DI15" i="3"/>
  <c r="DE15" i="3"/>
  <c r="DF15" i="3"/>
  <c r="DB15" i="3"/>
  <c r="CS14" i="3"/>
  <c r="CF15" i="3"/>
  <c r="CE15" i="3"/>
  <c r="CC15" i="3"/>
  <c r="CU15" i="3" s="1"/>
  <c r="CX15" i="3"/>
  <c r="DP15" i="3" s="1"/>
  <c r="DA15" i="3"/>
  <c r="CZ15" i="3"/>
  <c r="U141" i="15"/>
  <c r="V141" i="15"/>
  <c r="O200" i="15"/>
  <c r="T142" i="15"/>
  <c r="P143" i="15"/>
  <c r="Q142" i="15"/>
  <c r="R142" i="15"/>
  <c r="S142" i="15"/>
  <c r="P200" i="15"/>
  <c r="P251" i="15" s="1"/>
  <c r="W141" i="15"/>
  <c r="AY14" i="3" l="1"/>
  <c r="AJ16" i="3"/>
  <c r="AU15" i="3"/>
  <c r="AO15" i="3"/>
  <c r="AT15" i="3"/>
  <c r="AK15" i="3"/>
  <c r="AS15" i="3"/>
  <c r="AN15" i="3"/>
  <c r="AZ15" i="3"/>
  <c r="AM15" i="3"/>
  <c r="AR15" i="3"/>
  <c r="AX15" i="3"/>
  <c r="AL15" i="3"/>
  <c r="AQ15" i="3"/>
  <c r="AV15" i="3"/>
  <c r="AP15" i="3"/>
  <c r="AI15" i="3"/>
  <c r="BA15" i="3" s="1"/>
  <c r="DN15" i="3"/>
  <c r="CS15" i="3"/>
  <c r="DJ16" i="3"/>
  <c r="DF16" i="3"/>
  <c r="DB16" i="3"/>
  <c r="DO16" i="3"/>
  <c r="DI16" i="3"/>
  <c r="DE16" i="3"/>
  <c r="DM16" i="3"/>
  <c r="DH16" i="3"/>
  <c r="DD16" i="3"/>
  <c r="DQ16" i="3"/>
  <c r="DK16" i="3"/>
  <c r="DG16" i="3"/>
  <c r="DC16" i="3"/>
  <c r="CH16" i="3"/>
  <c r="CL16" i="3"/>
  <c r="CI16" i="3"/>
  <c r="CJ16" i="3"/>
  <c r="CN16" i="3"/>
  <c r="CT16" i="3"/>
  <c r="CG16" i="3"/>
  <c r="CK16" i="3"/>
  <c r="CO16" i="3"/>
  <c r="CM16" i="3"/>
  <c r="CP16" i="3"/>
  <c r="CR16" i="3"/>
  <c r="CV16" i="3"/>
  <c r="DR14" i="3"/>
  <c r="DA16" i="3"/>
  <c r="CX16" i="3"/>
  <c r="DP16" i="3" s="1"/>
  <c r="CZ16" i="3"/>
  <c r="CC16" i="3"/>
  <c r="CU16" i="3" s="1"/>
  <c r="CE16" i="3"/>
  <c r="CF16" i="3"/>
  <c r="V142" i="15"/>
  <c r="W142" i="15"/>
  <c r="U142" i="15"/>
  <c r="O201" i="15"/>
  <c r="S143" i="15"/>
  <c r="Q143" i="15"/>
  <c r="P144" i="15"/>
  <c r="R143" i="15"/>
  <c r="T143" i="15"/>
  <c r="P201" i="15"/>
  <c r="P252" i="15" s="1"/>
  <c r="AY15" i="3" l="1"/>
  <c r="AJ17" i="3"/>
  <c r="AM16" i="3"/>
  <c r="AR16" i="3"/>
  <c r="AX16" i="3"/>
  <c r="AI16" i="3"/>
  <c r="BA16" i="3" s="1"/>
  <c r="AP16" i="3"/>
  <c r="AQ16" i="3"/>
  <c r="AV16" i="3"/>
  <c r="AT16" i="3"/>
  <c r="AU16" i="3"/>
  <c r="AO16" i="3"/>
  <c r="AL16" i="3"/>
  <c r="AZ16" i="3"/>
  <c r="AN16" i="3"/>
  <c r="AS16" i="3"/>
  <c r="AK16" i="3"/>
  <c r="DM17" i="3"/>
  <c r="DH17" i="3"/>
  <c r="DD17" i="3"/>
  <c r="DQ17" i="3"/>
  <c r="DK17" i="3"/>
  <c r="DG17" i="3"/>
  <c r="DC17" i="3"/>
  <c r="DJ17" i="3"/>
  <c r="DF17" i="3"/>
  <c r="DB17" i="3"/>
  <c r="DO17" i="3"/>
  <c r="DI17" i="3"/>
  <c r="DE17" i="3"/>
  <c r="DN16" i="3"/>
  <c r="CH17" i="3"/>
  <c r="CL17" i="3"/>
  <c r="CP17" i="3"/>
  <c r="CI17" i="3"/>
  <c r="CM17" i="3"/>
  <c r="CR17" i="3"/>
  <c r="CV17" i="3"/>
  <c r="CG17" i="3"/>
  <c r="CO17" i="3"/>
  <c r="CJ17" i="3"/>
  <c r="CK17" i="3"/>
  <c r="CT17" i="3"/>
  <c r="CN17" i="3"/>
  <c r="CS16" i="3"/>
  <c r="CC17" i="3"/>
  <c r="CU17" i="3" s="1"/>
  <c r="CF17" i="3"/>
  <c r="CE17" i="3"/>
  <c r="DA17" i="3"/>
  <c r="CX17" i="3"/>
  <c r="DP17" i="3" s="1"/>
  <c r="CZ17" i="3"/>
  <c r="DR15" i="3"/>
  <c r="W143" i="15"/>
  <c r="Q144" i="15"/>
  <c r="Q199" i="15" s="1"/>
  <c r="S144" i="15"/>
  <c r="R195" i="15" s="1"/>
  <c r="T144" i="15"/>
  <c r="P202" i="15"/>
  <c r="P253" i="15" s="1"/>
  <c r="R144" i="15"/>
  <c r="R197" i="15"/>
  <c r="O202" i="15"/>
  <c r="U143" i="15"/>
  <c r="V143" i="15"/>
  <c r="Q198" i="15" l="1"/>
  <c r="AY16" i="3"/>
  <c r="AJ18" i="3"/>
  <c r="AS17" i="3"/>
  <c r="AZ17" i="3"/>
  <c r="AN17" i="3"/>
  <c r="AL17" i="3"/>
  <c r="AM17" i="3"/>
  <c r="AK17" i="3"/>
  <c r="AX17" i="3"/>
  <c r="AR17" i="3"/>
  <c r="AP17" i="3"/>
  <c r="AQ17" i="3"/>
  <c r="AV17" i="3"/>
  <c r="AI17" i="3"/>
  <c r="BA17" i="3" s="1"/>
  <c r="AO17" i="3"/>
  <c r="AT17" i="3"/>
  <c r="AU17" i="3"/>
  <c r="CI18" i="3"/>
  <c r="CM18" i="3"/>
  <c r="CR18" i="3"/>
  <c r="CJ18" i="3"/>
  <c r="CN18" i="3"/>
  <c r="CT18" i="3"/>
  <c r="CH18" i="3"/>
  <c r="CP18" i="3"/>
  <c r="CK18" i="3"/>
  <c r="CL18" i="3"/>
  <c r="CV18" i="3"/>
  <c r="CG18" i="3"/>
  <c r="CO18" i="3"/>
  <c r="CS17" i="3"/>
  <c r="DN17" i="3"/>
  <c r="DJ18" i="3"/>
  <c r="DF18" i="3"/>
  <c r="DB18" i="3"/>
  <c r="DO18" i="3"/>
  <c r="DI18" i="3"/>
  <c r="DE18" i="3"/>
  <c r="DM18" i="3"/>
  <c r="DH18" i="3"/>
  <c r="DD18" i="3"/>
  <c r="DQ18" i="3"/>
  <c r="DK18" i="3"/>
  <c r="DG18" i="3"/>
  <c r="DC18" i="3"/>
  <c r="CZ18" i="3"/>
  <c r="CX18" i="3"/>
  <c r="DP18" i="3" s="1"/>
  <c r="DA18" i="3"/>
  <c r="CC18" i="3"/>
  <c r="CU18" i="3" s="1"/>
  <c r="CF18" i="3"/>
  <c r="CE18" i="3"/>
  <c r="DR16" i="3"/>
  <c r="R199" i="15"/>
  <c r="Q200" i="15"/>
  <c r="Q201" i="15"/>
  <c r="R200" i="15"/>
  <c r="W144" i="15"/>
  <c r="Q197" i="15"/>
  <c r="R248" i="15" s="1"/>
  <c r="Q195" i="15"/>
  <c r="R246" i="15" s="1"/>
  <c r="R202" i="15"/>
  <c r="Q202" i="15"/>
  <c r="R201" i="15"/>
  <c r="V144" i="15"/>
  <c r="R198" i="15"/>
  <c r="R196" i="15"/>
  <c r="Q196" i="15"/>
  <c r="U144" i="15"/>
  <c r="Q164" i="15" l="1"/>
  <c r="Q152" i="15"/>
  <c r="Q147" i="15"/>
  <c r="Q160" i="15"/>
  <c r="Q151" i="15"/>
  <c r="R151" i="4" s="1"/>
  <c r="C5" i="2" s="1"/>
  <c r="Q157" i="15"/>
  <c r="R164" i="15"/>
  <c r="Q155" i="15"/>
  <c r="Q150" i="15"/>
  <c r="R150" i="4" s="1"/>
  <c r="C4" i="2" s="1"/>
  <c r="Q158" i="15"/>
  <c r="Q149" i="15"/>
  <c r="R149" i="4" s="1"/>
  <c r="C3" i="2" s="1"/>
  <c r="N3" i="3" s="1"/>
  <c r="S3" i="3" s="1"/>
  <c r="Q159" i="15"/>
  <c r="Q156" i="15"/>
  <c r="Q153" i="15"/>
  <c r="Q154" i="15"/>
  <c r="S161" i="15"/>
  <c r="AY17" i="3"/>
  <c r="AJ19" i="3"/>
  <c r="AT18" i="3"/>
  <c r="AN18" i="3"/>
  <c r="AS18" i="3"/>
  <c r="AZ18" i="3"/>
  <c r="AL18" i="3"/>
  <c r="AR18" i="3"/>
  <c r="AX18" i="3"/>
  <c r="AM18" i="3"/>
  <c r="AI18" i="3"/>
  <c r="BA18" i="3" s="1"/>
  <c r="AV18" i="3"/>
  <c r="AP18" i="3"/>
  <c r="AQ18" i="3"/>
  <c r="AK18" i="3"/>
  <c r="AO18" i="3"/>
  <c r="AU18" i="3"/>
  <c r="CG19" i="3"/>
  <c r="CK19" i="3"/>
  <c r="CO19" i="3"/>
  <c r="CT19" i="3"/>
  <c r="CH19" i="3"/>
  <c r="CL19" i="3"/>
  <c r="CP19" i="3"/>
  <c r="CJ19" i="3"/>
  <c r="CM19" i="3"/>
  <c r="CV19" i="3"/>
  <c r="CN19" i="3"/>
  <c r="CI19" i="3"/>
  <c r="CR19" i="3"/>
  <c r="CS18" i="3"/>
  <c r="DM19" i="3"/>
  <c r="DH19" i="3"/>
  <c r="DD19" i="3"/>
  <c r="DQ19" i="3"/>
  <c r="DK19" i="3"/>
  <c r="DG19" i="3"/>
  <c r="DC19" i="3"/>
  <c r="DJ19" i="3"/>
  <c r="DF19" i="3"/>
  <c r="DB19" i="3"/>
  <c r="DO19" i="3"/>
  <c r="DI19" i="3"/>
  <c r="DE19" i="3"/>
  <c r="DN18" i="3"/>
  <c r="DR17" i="3"/>
  <c r="CF19" i="3"/>
  <c r="CE19" i="3"/>
  <c r="CC19" i="3"/>
  <c r="CU19" i="3" s="1"/>
  <c r="DA19" i="3"/>
  <c r="CX19" i="3"/>
  <c r="DP19" i="3" s="1"/>
  <c r="CZ19" i="3"/>
  <c r="Q248" i="15"/>
  <c r="S248" i="15" s="1"/>
  <c r="AA197" i="4" s="1"/>
  <c r="Q246" i="15"/>
  <c r="S246" i="15" s="1"/>
  <c r="AA195" i="4" s="1"/>
  <c r="R247" i="15"/>
  <c r="Q247" i="15"/>
  <c r="R250" i="15"/>
  <c r="Q250" i="15"/>
  <c r="R253" i="15"/>
  <c r="Q253" i="15"/>
  <c r="R251" i="15"/>
  <c r="Q251" i="15"/>
  <c r="R249" i="15"/>
  <c r="Q249" i="15"/>
  <c r="R252" i="15"/>
  <c r="Q252" i="15"/>
  <c r="S198" i="15"/>
  <c r="S200" i="15"/>
  <c r="S201" i="15"/>
  <c r="S195" i="15"/>
  <c r="S199" i="15"/>
  <c r="S197" i="15"/>
  <c r="S196" i="15"/>
  <c r="S202" i="15"/>
  <c r="V209" i="15"/>
  <c r="V208" i="15"/>
  <c r="V207" i="15"/>
  <c r="U218" i="15"/>
  <c r="U210" i="15"/>
  <c r="U216" i="15"/>
  <c r="V215" i="15"/>
  <c r="V214" i="15"/>
  <c r="U217" i="15"/>
  <c r="V220" i="15"/>
  <c r="V211" i="15"/>
  <c r="R180" i="15"/>
  <c r="Q180" i="15"/>
  <c r="Q182" i="15"/>
  <c r="U212" i="15"/>
  <c r="U211" i="15"/>
  <c r="R179" i="15"/>
  <c r="U213" i="15"/>
  <c r="U215" i="15"/>
  <c r="W215" i="15" s="1"/>
  <c r="R181" i="15"/>
  <c r="V222" i="15"/>
  <c r="U220" i="15"/>
  <c r="W220" i="15" s="1"/>
  <c r="U209" i="15"/>
  <c r="U219" i="15"/>
  <c r="V221" i="15"/>
  <c r="U208" i="15"/>
  <c r="W208" i="15" s="1"/>
  <c r="V217" i="15"/>
  <c r="V212" i="15"/>
  <c r="V219" i="15"/>
  <c r="Q179" i="15"/>
  <c r="U214" i="15"/>
  <c r="U221" i="15"/>
  <c r="V216" i="15"/>
  <c r="V210" i="15"/>
  <c r="V213" i="15"/>
  <c r="V218" i="15"/>
  <c r="U222" i="15"/>
  <c r="W222" i="15" s="1"/>
  <c r="Q184" i="15"/>
  <c r="Q181" i="15"/>
  <c r="R182" i="15"/>
  <c r="R183" i="15"/>
  <c r="Q183" i="15"/>
  <c r="U207" i="15"/>
  <c r="Q186" i="15"/>
  <c r="R185" i="15"/>
  <c r="R184" i="15"/>
  <c r="Q185" i="15"/>
  <c r="Q188" i="15"/>
  <c r="Q187" i="15"/>
  <c r="R187" i="15"/>
  <c r="R186" i="15"/>
  <c r="Q189" i="15"/>
  <c r="R191" i="15"/>
  <c r="R188" i="15"/>
  <c r="R189" i="15"/>
  <c r="Q191" i="15"/>
  <c r="Q193" i="15"/>
  <c r="R192" i="15"/>
  <c r="Q194" i="15"/>
  <c r="R190" i="15"/>
  <c r="Q190" i="15"/>
  <c r="R194" i="15"/>
  <c r="R193" i="15"/>
  <c r="Q192" i="15"/>
  <c r="R215" i="15" l="1"/>
  <c r="Q215" i="15"/>
  <c r="S215" i="15" s="1"/>
  <c r="AA164" i="4" s="1"/>
  <c r="S164" i="15"/>
  <c r="R162" i="15"/>
  <c r="AY18" i="3"/>
  <c r="AJ20" i="3"/>
  <c r="AN19" i="3"/>
  <c r="AS19" i="3"/>
  <c r="AZ19" i="3"/>
  <c r="AM19" i="3"/>
  <c r="AR19" i="3"/>
  <c r="AX19" i="3"/>
  <c r="AI19" i="3"/>
  <c r="BA19" i="3" s="1"/>
  <c r="AQ19" i="3"/>
  <c r="AV19" i="3"/>
  <c r="AP19" i="3"/>
  <c r="AL19" i="3"/>
  <c r="AK19" i="3"/>
  <c r="AU19" i="3"/>
  <c r="AO19" i="3"/>
  <c r="AT19" i="3"/>
  <c r="DN19" i="3"/>
  <c r="DJ20" i="3"/>
  <c r="DF20" i="3"/>
  <c r="DB20" i="3"/>
  <c r="DO20" i="3"/>
  <c r="DI20" i="3"/>
  <c r="DE20" i="3"/>
  <c r="DM20" i="3"/>
  <c r="DH20" i="3"/>
  <c r="DD20" i="3"/>
  <c r="DQ20" i="3"/>
  <c r="DK20" i="3"/>
  <c r="DG20" i="3"/>
  <c r="DC20" i="3"/>
  <c r="CH20" i="3"/>
  <c r="CL20" i="3"/>
  <c r="CP20" i="3"/>
  <c r="CV20" i="3"/>
  <c r="CI20" i="3"/>
  <c r="CM20" i="3"/>
  <c r="CR20" i="3"/>
  <c r="CK20" i="3"/>
  <c r="CN20" i="3"/>
  <c r="CG20" i="3"/>
  <c r="CO20" i="3"/>
  <c r="CJ20" i="3"/>
  <c r="CT20" i="3"/>
  <c r="CS19" i="3"/>
  <c r="CZ20" i="3"/>
  <c r="CX20" i="3"/>
  <c r="DP20" i="3" s="1"/>
  <c r="DA20" i="3"/>
  <c r="CC20" i="3"/>
  <c r="CU20" i="3" s="1"/>
  <c r="CE20" i="3"/>
  <c r="CF20" i="3"/>
  <c r="DR18" i="3"/>
  <c r="S249" i="15"/>
  <c r="AA198" i="4" s="1"/>
  <c r="S253" i="15"/>
  <c r="AA202" i="4" s="1"/>
  <c r="S247" i="15"/>
  <c r="AA196" i="4" s="1"/>
  <c r="S252" i="15"/>
  <c r="AA201" i="4" s="1"/>
  <c r="S251" i="15"/>
  <c r="AA200" i="4" s="1"/>
  <c r="S250" i="15"/>
  <c r="AA199" i="4" s="1"/>
  <c r="W207" i="15"/>
  <c r="R243" i="15"/>
  <c r="Q243" i="15"/>
  <c r="R242" i="15"/>
  <c r="Q242" i="15"/>
  <c r="R236" i="15"/>
  <c r="Q236" i="15"/>
  <c r="R234" i="15"/>
  <c r="Q234" i="15"/>
  <c r="R230" i="15"/>
  <c r="Q230" i="15"/>
  <c r="R241" i="15"/>
  <c r="Q241" i="15"/>
  <c r="R233" i="15"/>
  <c r="Q233" i="15"/>
  <c r="R232" i="15"/>
  <c r="Q232" i="15"/>
  <c r="R231" i="15"/>
  <c r="Q231" i="15"/>
  <c r="R245" i="15"/>
  <c r="Q245" i="15"/>
  <c r="R244" i="15"/>
  <c r="Q244" i="15"/>
  <c r="R240" i="15"/>
  <c r="Q240" i="15"/>
  <c r="R237" i="15"/>
  <c r="Q237" i="15"/>
  <c r="R239" i="15"/>
  <c r="Q239" i="15"/>
  <c r="R238" i="15"/>
  <c r="Q238" i="15"/>
  <c r="R235" i="15"/>
  <c r="Q235" i="15"/>
  <c r="W214" i="15"/>
  <c r="W209" i="15"/>
  <c r="S181" i="15"/>
  <c r="S190" i="15"/>
  <c r="S187" i="15"/>
  <c r="S185" i="15"/>
  <c r="S179" i="15"/>
  <c r="S192" i="15"/>
  <c r="W221" i="15"/>
  <c r="W211" i="15"/>
  <c r="S183" i="15"/>
  <c r="S184" i="15"/>
  <c r="W213" i="15"/>
  <c r="S182" i="15"/>
  <c r="W216" i="15"/>
  <c r="S193" i="15"/>
  <c r="S180" i="15"/>
  <c r="W217" i="15"/>
  <c r="W210" i="15"/>
  <c r="S191" i="15"/>
  <c r="S189" i="15"/>
  <c r="S188" i="15"/>
  <c r="S186" i="15"/>
  <c r="W219" i="15"/>
  <c r="W218" i="15"/>
  <c r="S194" i="15"/>
  <c r="W212" i="15"/>
  <c r="AY19" i="3" l="1"/>
  <c r="AJ21" i="3"/>
  <c r="AP20" i="3"/>
  <c r="AQ20" i="3"/>
  <c r="AV20" i="3"/>
  <c r="AT20" i="3"/>
  <c r="AU20" i="3"/>
  <c r="AO20" i="3"/>
  <c r="AL20" i="3"/>
  <c r="AZ20" i="3"/>
  <c r="AN20" i="3"/>
  <c r="AS20" i="3"/>
  <c r="AK20" i="3"/>
  <c r="AM20" i="3"/>
  <c r="AR20" i="3"/>
  <c r="AX20" i="3"/>
  <c r="AI20" i="3"/>
  <c r="BA20" i="3" s="1"/>
  <c r="CS20" i="3"/>
  <c r="DN20" i="3"/>
  <c r="CJ21" i="3"/>
  <c r="CN21" i="3"/>
  <c r="CG21" i="3"/>
  <c r="CK21" i="3"/>
  <c r="CO21" i="3"/>
  <c r="CT21" i="3"/>
  <c r="CM21" i="3"/>
  <c r="CV21" i="3"/>
  <c r="CH21" i="3"/>
  <c r="CP21" i="3"/>
  <c r="CI21" i="3"/>
  <c r="CR21" i="3"/>
  <c r="CL21" i="3"/>
  <c r="DM21" i="3"/>
  <c r="DH21" i="3"/>
  <c r="DD21" i="3"/>
  <c r="DQ21" i="3"/>
  <c r="DK21" i="3"/>
  <c r="DG21" i="3"/>
  <c r="DC21" i="3"/>
  <c r="DJ21" i="3"/>
  <c r="DF21" i="3"/>
  <c r="DB21" i="3"/>
  <c r="DO21" i="3"/>
  <c r="DI21" i="3"/>
  <c r="DE21" i="3"/>
  <c r="DR19" i="3"/>
  <c r="S238" i="15"/>
  <c r="AA187" i="4" s="1"/>
  <c r="S235" i="15"/>
  <c r="AA184" i="4" s="1"/>
  <c r="CC21" i="3"/>
  <c r="CU21" i="3" s="1"/>
  <c r="CF21" i="3"/>
  <c r="CE21" i="3"/>
  <c r="CX21" i="3"/>
  <c r="DP21" i="3" s="1"/>
  <c r="DA21" i="3"/>
  <c r="CZ21" i="3"/>
  <c r="S237" i="15"/>
  <c r="AA186" i="4" s="1"/>
  <c r="S244" i="15"/>
  <c r="AA193" i="4" s="1"/>
  <c r="S231" i="15"/>
  <c r="AA180" i="4" s="1"/>
  <c r="S233" i="15"/>
  <c r="AA182" i="4" s="1"/>
  <c r="S230" i="15"/>
  <c r="AA179" i="4" s="1"/>
  <c r="S236" i="15"/>
  <c r="AA185" i="4" s="1"/>
  <c r="S243" i="15"/>
  <c r="AA192" i="4" s="1"/>
  <c r="S239" i="15"/>
  <c r="AA188" i="4" s="1"/>
  <c r="S240" i="15"/>
  <c r="AA189" i="4" s="1"/>
  <c r="S245" i="15"/>
  <c r="AA194" i="4" s="1"/>
  <c r="S232" i="15"/>
  <c r="AA181" i="4" s="1"/>
  <c r="S241" i="15"/>
  <c r="AA190" i="4" s="1"/>
  <c r="S234" i="15"/>
  <c r="AA183" i="4" s="1"/>
  <c r="S242" i="15"/>
  <c r="AA191" i="4" s="1"/>
  <c r="AY20" i="3" l="1"/>
  <c r="AJ22" i="3"/>
  <c r="AP21" i="3"/>
  <c r="AQ21" i="3"/>
  <c r="AV21" i="3"/>
  <c r="AO21" i="3"/>
  <c r="AT21" i="3"/>
  <c r="AU21" i="3"/>
  <c r="AI21" i="3"/>
  <c r="BA21" i="3" s="1"/>
  <c r="AZ21" i="3"/>
  <c r="AL21" i="3"/>
  <c r="AS21" i="3"/>
  <c r="AN21" i="3"/>
  <c r="AX21" i="3"/>
  <c r="AM21" i="3"/>
  <c r="AR21" i="3"/>
  <c r="AK21" i="3"/>
  <c r="DJ22" i="3"/>
  <c r="DF22" i="3"/>
  <c r="DB22" i="3"/>
  <c r="DO22" i="3"/>
  <c r="DI22" i="3"/>
  <c r="DE22" i="3"/>
  <c r="DM22" i="3"/>
  <c r="DH22" i="3"/>
  <c r="DD22" i="3"/>
  <c r="DQ22" i="3"/>
  <c r="DK22" i="3"/>
  <c r="DG22" i="3"/>
  <c r="DC22" i="3"/>
  <c r="CG22" i="3"/>
  <c r="CK22" i="3"/>
  <c r="CO22" i="3"/>
  <c r="CH22" i="3"/>
  <c r="CL22" i="3"/>
  <c r="CP22" i="3"/>
  <c r="CV22" i="3"/>
  <c r="CN22" i="3"/>
  <c r="CI22" i="3"/>
  <c r="CR22" i="3"/>
  <c r="CJ22" i="3"/>
  <c r="CT22" i="3"/>
  <c r="CM22" i="3"/>
  <c r="DN21" i="3"/>
  <c r="CS21" i="3"/>
  <c r="CX22" i="3"/>
  <c r="DP22" i="3" s="1"/>
  <c r="CZ22" i="3"/>
  <c r="DA22" i="3"/>
  <c r="CE22" i="3"/>
  <c r="CF22" i="3"/>
  <c r="CC22" i="3"/>
  <c r="CU22" i="3" s="1"/>
  <c r="DR20" i="3"/>
  <c r="BF3" i="3"/>
  <c r="BE4" i="3" s="1"/>
  <c r="CF3" i="3" l="1"/>
  <c r="AY21" i="3"/>
  <c r="AJ23" i="3"/>
  <c r="AO22" i="3"/>
  <c r="AT22" i="3"/>
  <c r="AU22" i="3"/>
  <c r="AN22" i="3"/>
  <c r="AS22" i="3"/>
  <c r="AZ22" i="3"/>
  <c r="AI22" i="3"/>
  <c r="BA22" i="3" s="1"/>
  <c r="AK22" i="3"/>
  <c r="AR22" i="3"/>
  <c r="AX22" i="3"/>
  <c r="AM22" i="3"/>
  <c r="AL22" i="3"/>
  <c r="AV22" i="3"/>
  <c r="AP22" i="3"/>
  <c r="AQ22" i="3"/>
  <c r="CN3" i="3"/>
  <c r="CP3" i="3"/>
  <c r="CO3" i="3"/>
  <c r="CM3" i="3"/>
  <c r="CG3" i="3"/>
  <c r="CH3" i="3"/>
  <c r="CJ3" i="3"/>
  <c r="CK3" i="3"/>
  <c r="DR21" i="3"/>
  <c r="DN22" i="3"/>
  <c r="DM23" i="3"/>
  <c r="DH23" i="3"/>
  <c r="DD23" i="3"/>
  <c r="DQ23" i="3"/>
  <c r="DK23" i="3"/>
  <c r="DG23" i="3"/>
  <c r="DC23" i="3"/>
  <c r="DJ23" i="3"/>
  <c r="DF23" i="3"/>
  <c r="DB23" i="3"/>
  <c r="DO23" i="3"/>
  <c r="DI23" i="3"/>
  <c r="DE23" i="3"/>
  <c r="CS22" i="3"/>
  <c r="CI23" i="3"/>
  <c r="CM23" i="3"/>
  <c r="CR23" i="3"/>
  <c r="CV23" i="3"/>
  <c r="CJ23" i="3"/>
  <c r="CN23" i="3"/>
  <c r="CH23" i="3"/>
  <c r="CP23" i="3"/>
  <c r="CK23" i="3"/>
  <c r="CL23" i="3"/>
  <c r="CG23" i="3"/>
  <c r="CO23" i="3"/>
  <c r="CT23" i="3"/>
  <c r="CE23" i="3"/>
  <c r="CF23" i="3"/>
  <c r="CC23" i="3"/>
  <c r="CU23" i="3" s="1"/>
  <c r="DA23" i="3"/>
  <c r="CX23" i="3"/>
  <c r="DP23" i="3" s="1"/>
  <c r="CZ23" i="3"/>
  <c r="BW4" i="3"/>
  <c r="BD4" i="3"/>
  <c r="R152" i="4"/>
  <c r="C6" i="2" s="1"/>
  <c r="BB4" i="3"/>
  <c r="BH51" i="3" l="1"/>
  <c r="BI51" i="3" s="1"/>
  <c r="BP51" i="3" s="1"/>
  <c r="AJ24" i="3"/>
  <c r="AM23" i="3"/>
  <c r="AR23" i="3"/>
  <c r="AX23" i="3"/>
  <c r="AK23" i="3"/>
  <c r="AQ23" i="3"/>
  <c r="AV23" i="3"/>
  <c r="AP23" i="3"/>
  <c r="AL23" i="3"/>
  <c r="AU23" i="3"/>
  <c r="AO23" i="3"/>
  <c r="AT23" i="3"/>
  <c r="AN23" i="3"/>
  <c r="AS23" i="3"/>
  <c r="AZ23" i="3"/>
  <c r="AI23" i="3"/>
  <c r="BA23" i="3" s="1"/>
  <c r="AY22" i="3"/>
  <c r="DB3" i="3"/>
  <c r="DM3" i="3" s="1"/>
  <c r="DJ3" i="3"/>
  <c r="DK3" i="3"/>
  <c r="DI3" i="3"/>
  <c r="DC3" i="3"/>
  <c r="DE3" i="3"/>
  <c r="DF3" i="3"/>
  <c r="DH3" i="3"/>
  <c r="CI3" i="3"/>
  <c r="CL3" i="3"/>
  <c r="CR3" i="3"/>
  <c r="CF6" i="3"/>
  <c r="CF5" i="3"/>
  <c r="CF4" i="3"/>
  <c r="DF12" i="3"/>
  <c r="DK12" i="3"/>
  <c r="DC12" i="3"/>
  <c r="DJ12" i="3"/>
  <c r="DH12" i="3"/>
  <c r="DE12" i="3"/>
  <c r="DI12" i="3"/>
  <c r="DB12" i="3"/>
  <c r="CN11" i="3"/>
  <c r="CM11" i="3"/>
  <c r="CO11" i="3"/>
  <c r="CK11" i="3"/>
  <c r="CJ11" i="3"/>
  <c r="CG11" i="3"/>
  <c r="CP11" i="3"/>
  <c r="CH11" i="3"/>
  <c r="DB5" i="3"/>
  <c r="DF5" i="3"/>
  <c r="DK5" i="3"/>
  <c r="DH5" i="3"/>
  <c r="DJ5" i="3"/>
  <c r="DI5" i="3"/>
  <c r="DC5" i="3"/>
  <c r="DE5" i="3"/>
  <c r="DF7" i="3"/>
  <c r="DH7" i="3"/>
  <c r="DJ7" i="3"/>
  <c r="DE7" i="3"/>
  <c r="DB7" i="3"/>
  <c r="DK7" i="3"/>
  <c r="DI7" i="3"/>
  <c r="DC7" i="3"/>
  <c r="CK4" i="3"/>
  <c r="CN4" i="3"/>
  <c r="CM4" i="3"/>
  <c r="CG4" i="3"/>
  <c r="CJ4" i="3"/>
  <c r="CH4" i="3"/>
  <c r="CO4" i="3"/>
  <c r="CP4" i="3"/>
  <c r="CK13" i="3"/>
  <c r="CJ13" i="3"/>
  <c r="CN13" i="3"/>
  <c r="CG13" i="3"/>
  <c r="CO13" i="3"/>
  <c r="CH13" i="3"/>
  <c r="CM13" i="3"/>
  <c r="CP13" i="3"/>
  <c r="DF4" i="3"/>
  <c r="DB4" i="3"/>
  <c r="DI4" i="3"/>
  <c r="DE4" i="3"/>
  <c r="DC4" i="3"/>
  <c r="DH4" i="3"/>
  <c r="DK4" i="3"/>
  <c r="DJ4" i="3"/>
  <c r="CK6" i="3"/>
  <c r="CO6" i="3"/>
  <c r="CJ6" i="3"/>
  <c r="CN6" i="3"/>
  <c r="CH6" i="3"/>
  <c r="CG6" i="3"/>
  <c r="CM6" i="3"/>
  <c r="CP6" i="3"/>
  <c r="DJ11" i="3"/>
  <c r="DF11" i="3"/>
  <c r="DK11" i="3"/>
  <c r="DB11" i="3"/>
  <c r="DC11" i="3"/>
  <c r="DH11" i="3"/>
  <c r="DE11" i="3"/>
  <c r="DI11" i="3"/>
  <c r="DI10" i="3"/>
  <c r="DK10" i="3"/>
  <c r="DF10" i="3"/>
  <c r="DC10" i="3"/>
  <c r="DE10" i="3"/>
  <c r="DB10" i="3"/>
  <c r="DM10" i="3" s="1"/>
  <c r="DH10" i="3"/>
  <c r="DJ10" i="3"/>
  <c r="DN23" i="3"/>
  <c r="CK12" i="3"/>
  <c r="CN12" i="3"/>
  <c r="CJ12" i="3"/>
  <c r="CH12" i="3"/>
  <c r="CM12" i="3"/>
  <c r="CO12" i="3"/>
  <c r="CP12" i="3"/>
  <c r="CG12" i="3"/>
  <c r="DF13" i="3"/>
  <c r="DC13" i="3"/>
  <c r="DH13" i="3"/>
  <c r="DI13" i="3"/>
  <c r="DK13" i="3"/>
  <c r="DE13" i="3"/>
  <c r="DJ13" i="3"/>
  <c r="DB13" i="3"/>
  <c r="DM13" i="3" s="1"/>
  <c r="DB9" i="3"/>
  <c r="DM9" i="3" s="1"/>
  <c r="DF9" i="3"/>
  <c r="DE9" i="3"/>
  <c r="DI9" i="3"/>
  <c r="DJ9" i="3"/>
  <c r="DH9" i="3"/>
  <c r="DK9" i="3"/>
  <c r="DC9" i="3"/>
  <c r="CH7" i="3"/>
  <c r="CM7" i="3"/>
  <c r="CO7" i="3"/>
  <c r="CK7" i="3"/>
  <c r="CG7" i="3"/>
  <c r="CN7" i="3"/>
  <c r="CP7" i="3"/>
  <c r="CJ7" i="3"/>
  <c r="CJ24" i="3"/>
  <c r="CN24" i="3"/>
  <c r="CT24" i="3"/>
  <c r="CG24" i="3"/>
  <c r="CK24" i="3"/>
  <c r="CO24" i="3"/>
  <c r="CI24" i="3"/>
  <c r="CM24" i="3"/>
  <c r="CH24" i="3"/>
  <c r="CP24" i="3"/>
  <c r="CL24" i="3"/>
  <c r="CR24" i="3"/>
  <c r="CV24" i="3"/>
  <c r="CS23" i="3"/>
  <c r="CK9" i="3"/>
  <c r="CM9" i="3"/>
  <c r="CP9" i="3"/>
  <c r="CN9" i="3"/>
  <c r="CJ9" i="3"/>
  <c r="CO9" i="3"/>
  <c r="CG9" i="3"/>
  <c r="CH9" i="3"/>
  <c r="CK10" i="3"/>
  <c r="CO10" i="3"/>
  <c r="CG10" i="3"/>
  <c r="CN10" i="3"/>
  <c r="CJ10" i="3"/>
  <c r="CP10" i="3"/>
  <c r="CM10" i="3"/>
  <c r="CH10" i="3"/>
  <c r="CP5" i="3"/>
  <c r="CN5" i="3"/>
  <c r="CK5" i="3"/>
  <c r="CO5" i="3"/>
  <c r="CM5" i="3"/>
  <c r="CG5" i="3"/>
  <c r="CJ5" i="3"/>
  <c r="CH5" i="3"/>
  <c r="DF6" i="3"/>
  <c r="DB6" i="3"/>
  <c r="DI6" i="3"/>
  <c r="DH6" i="3"/>
  <c r="DC6" i="3"/>
  <c r="DK6" i="3"/>
  <c r="DE6" i="3"/>
  <c r="DJ6" i="3"/>
  <c r="DJ24" i="3"/>
  <c r="DF24" i="3"/>
  <c r="DB24" i="3"/>
  <c r="DO24" i="3"/>
  <c r="DI24" i="3"/>
  <c r="DE24" i="3"/>
  <c r="DM24" i="3"/>
  <c r="DH24" i="3"/>
  <c r="DD24" i="3"/>
  <c r="DQ24" i="3"/>
  <c r="DK24" i="3"/>
  <c r="DG24" i="3"/>
  <c r="DC24" i="3"/>
  <c r="CF8" i="3"/>
  <c r="DA8" i="3"/>
  <c r="DR22" i="3"/>
  <c r="DA24" i="3"/>
  <c r="CX24" i="3"/>
  <c r="DP24" i="3" s="1"/>
  <c r="CZ24" i="3"/>
  <c r="CF24" i="3"/>
  <c r="CC24" i="3"/>
  <c r="CU24" i="3" s="1"/>
  <c r="CE24" i="3"/>
  <c r="BK3" i="3"/>
  <c r="BH3" i="3"/>
  <c r="BS3" i="3" s="1"/>
  <c r="BP3" i="3"/>
  <c r="BL3" i="3"/>
  <c r="BO3" i="3"/>
  <c r="BI3" i="3"/>
  <c r="BN3" i="3"/>
  <c r="BQ3" i="3"/>
  <c r="BF4" i="3"/>
  <c r="BE5" i="3" s="1"/>
  <c r="BB5" i="3"/>
  <c r="BD5" i="3" l="1"/>
  <c r="AL5" i="3"/>
  <c r="AY23" i="3"/>
  <c r="AJ25" i="3"/>
  <c r="AZ24" i="3"/>
  <c r="AN24" i="3"/>
  <c r="AS24" i="3"/>
  <c r="AM24" i="3"/>
  <c r="AR24" i="3"/>
  <c r="AX24" i="3"/>
  <c r="AP24" i="3"/>
  <c r="AQ24" i="3"/>
  <c r="AV24" i="3"/>
  <c r="AK24" i="3"/>
  <c r="AT24" i="3"/>
  <c r="AU24" i="3"/>
  <c r="AO24" i="3"/>
  <c r="AL24" i="3"/>
  <c r="AI24" i="3"/>
  <c r="BA24" i="3" s="1"/>
  <c r="DD3" i="3"/>
  <c r="DG3" i="3"/>
  <c r="CL5" i="3"/>
  <c r="CL12" i="3"/>
  <c r="CL9" i="3"/>
  <c r="CR7" i="3"/>
  <c r="CL6" i="3"/>
  <c r="CL13" i="3"/>
  <c r="CL4" i="3"/>
  <c r="CR12" i="3"/>
  <c r="CR6" i="3"/>
  <c r="CR13" i="3"/>
  <c r="DG10" i="3"/>
  <c r="DM6" i="3"/>
  <c r="CL10" i="3"/>
  <c r="DG4" i="3"/>
  <c r="DF8" i="3"/>
  <c r="DE8" i="3"/>
  <c r="DH8" i="3"/>
  <c r="DI8" i="3"/>
  <c r="DK8" i="3"/>
  <c r="DJ8" i="3"/>
  <c r="DB8" i="3"/>
  <c r="DC8" i="3"/>
  <c r="CR5" i="3"/>
  <c r="CL7" i="3"/>
  <c r="DG9" i="3"/>
  <c r="DG11" i="3"/>
  <c r="DM11" i="3"/>
  <c r="DM4" i="3"/>
  <c r="DG7" i="3"/>
  <c r="DG5" i="3"/>
  <c r="CL11" i="3"/>
  <c r="DG12" i="3"/>
  <c r="CJ8" i="3"/>
  <c r="CK8" i="3"/>
  <c r="CH8" i="3"/>
  <c r="CN8" i="3"/>
  <c r="CM8" i="3"/>
  <c r="CG8" i="3"/>
  <c r="CO8" i="3"/>
  <c r="CP8" i="3"/>
  <c r="DN24" i="3"/>
  <c r="CS24" i="3"/>
  <c r="DM7" i="3"/>
  <c r="DM5" i="3"/>
  <c r="CR11" i="3"/>
  <c r="DM12" i="3"/>
  <c r="CH25" i="3"/>
  <c r="CL25" i="3"/>
  <c r="CP25" i="3"/>
  <c r="CI25" i="3"/>
  <c r="CM25" i="3"/>
  <c r="CR25" i="3"/>
  <c r="CV25" i="3"/>
  <c r="CG25" i="3"/>
  <c r="CO25" i="3"/>
  <c r="CJ25" i="3"/>
  <c r="CN25" i="3"/>
  <c r="CT25" i="3"/>
  <c r="CK25" i="3"/>
  <c r="DM25" i="3"/>
  <c r="DH25" i="3"/>
  <c r="DD25" i="3"/>
  <c r="DQ25" i="3"/>
  <c r="DK25" i="3"/>
  <c r="DG25" i="3"/>
  <c r="DC25" i="3"/>
  <c r="DJ25" i="3"/>
  <c r="DF25" i="3"/>
  <c r="DB25" i="3"/>
  <c r="DO25" i="3"/>
  <c r="DI25" i="3"/>
  <c r="DE25" i="3"/>
  <c r="DG6" i="3"/>
  <c r="CR10" i="3"/>
  <c r="CR9" i="3"/>
  <c r="DG13" i="3"/>
  <c r="CR4" i="3"/>
  <c r="CX25" i="3"/>
  <c r="DP25" i="3" s="1"/>
  <c r="DA25" i="3"/>
  <c r="CZ25" i="3"/>
  <c r="CE25" i="3"/>
  <c r="CC25" i="3"/>
  <c r="CU25" i="3" s="1"/>
  <c r="CF25" i="3"/>
  <c r="DR23" i="3"/>
  <c r="BN4" i="3"/>
  <c r="BH4" i="3"/>
  <c r="BL4" i="3"/>
  <c r="BM3" i="3"/>
  <c r="BI4" i="3"/>
  <c r="BG5" i="3"/>
  <c r="BO4" i="3"/>
  <c r="BK4" i="3"/>
  <c r="BQ4" i="3"/>
  <c r="BP4" i="3"/>
  <c r="AQ5" i="3"/>
  <c r="AL3" i="3"/>
  <c r="AL6" i="3"/>
  <c r="AU5" i="3"/>
  <c r="AT5" i="3"/>
  <c r="AN5" i="3"/>
  <c r="AV5" i="3"/>
  <c r="AS5" i="3"/>
  <c r="AP5" i="3"/>
  <c r="AM5" i="3"/>
  <c r="AL4" i="3"/>
  <c r="BW5" i="3"/>
  <c r="BN5" i="3" s="1"/>
  <c r="BF5" i="3"/>
  <c r="BE6" i="3" s="1"/>
  <c r="D93" i="3"/>
  <c r="E93" i="3" s="1"/>
  <c r="BB6" i="3"/>
  <c r="DN3" i="3" l="1"/>
  <c r="DP3" i="3" s="1"/>
  <c r="BD6" i="3"/>
  <c r="BW6" i="3"/>
  <c r="BF6" i="3"/>
  <c r="BE7" i="3" s="1"/>
  <c r="BO5" i="3"/>
  <c r="BQ5" i="3"/>
  <c r="BK5" i="3"/>
  <c r="BL5" i="3"/>
  <c r="BP5" i="3"/>
  <c r="BI5" i="3"/>
  <c r="BH5" i="3"/>
  <c r="BJ5" i="3" s="1"/>
  <c r="BU5" i="3" s="1"/>
  <c r="AV3" i="3"/>
  <c r="AM3" i="3"/>
  <c r="AO3" i="3" s="1"/>
  <c r="AZ3" i="3" s="1"/>
  <c r="AN3" i="3"/>
  <c r="AY24" i="3"/>
  <c r="AJ26" i="3"/>
  <c r="AX25" i="3"/>
  <c r="AM25" i="3"/>
  <c r="AR25" i="3"/>
  <c r="AP25" i="3"/>
  <c r="AQ25" i="3"/>
  <c r="AV25" i="3"/>
  <c r="AO25" i="3"/>
  <c r="AT25" i="3"/>
  <c r="AU25" i="3"/>
  <c r="AI25" i="3"/>
  <c r="BA25" i="3" s="1"/>
  <c r="AS25" i="3"/>
  <c r="AZ25" i="3"/>
  <c r="AN25" i="3"/>
  <c r="AL25" i="3"/>
  <c r="AK25" i="3"/>
  <c r="CL8" i="3"/>
  <c r="CS25" i="3"/>
  <c r="CR8" i="3"/>
  <c r="CI26" i="3"/>
  <c r="CM26" i="3"/>
  <c r="CR26" i="3"/>
  <c r="CJ26" i="3"/>
  <c r="CN26" i="3"/>
  <c r="CT26" i="3"/>
  <c r="CH26" i="3"/>
  <c r="CP26" i="3"/>
  <c r="CK26" i="3"/>
  <c r="CO26" i="3"/>
  <c r="CV26" i="3"/>
  <c r="CL26" i="3"/>
  <c r="CG26" i="3"/>
  <c r="DN25" i="3"/>
  <c r="DJ26" i="3"/>
  <c r="DF26" i="3"/>
  <c r="DB26" i="3"/>
  <c r="DO26" i="3"/>
  <c r="DI26" i="3"/>
  <c r="DE26" i="3"/>
  <c r="DM26" i="3"/>
  <c r="DH26" i="3"/>
  <c r="DD26" i="3"/>
  <c r="DQ26" i="3"/>
  <c r="DK26" i="3"/>
  <c r="DG26" i="3"/>
  <c r="DC26" i="3"/>
  <c r="DM8" i="3"/>
  <c r="DG8" i="3"/>
  <c r="DR24" i="3"/>
  <c r="CC26" i="3"/>
  <c r="CU26" i="3" s="1"/>
  <c r="CF26" i="3"/>
  <c r="CE26" i="3"/>
  <c r="CZ26" i="3"/>
  <c r="DA26" i="3"/>
  <c r="CX26" i="3"/>
  <c r="DP26" i="3" s="1"/>
  <c r="BG6" i="3"/>
  <c r="BP6" i="3" s="1"/>
  <c r="BM4" i="3"/>
  <c r="BS4" i="3"/>
  <c r="AM51" i="3"/>
  <c r="AN51" i="3" s="1"/>
  <c r="AU51" i="3" s="1"/>
  <c r="AQ4" i="3"/>
  <c r="AU4" i="3"/>
  <c r="AM4" i="3"/>
  <c r="AR4" i="3" s="1"/>
  <c r="AP4" i="3"/>
  <c r="AS4" i="3"/>
  <c r="AN4" i="3"/>
  <c r="AT4" i="3"/>
  <c r="AV4" i="3"/>
  <c r="AT3" i="3"/>
  <c r="AQ3" i="3"/>
  <c r="AS3" i="3"/>
  <c r="AU3" i="3"/>
  <c r="AP3" i="3"/>
  <c r="AQ6" i="3"/>
  <c r="AU6" i="3"/>
  <c r="AN6" i="3"/>
  <c r="AP6" i="3"/>
  <c r="AT6" i="3"/>
  <c r="AM6" i="3"/>
  <c r="AS6" i="3"/>
  <c r="AV6" i="3"/>
  <c r="AX5" i="3"/>
  <c r="AR5" i="3"/>
  <c r="BB7" i="3"/>
  <c r="F93" i="3"/>
  <c r="G93" i="3" s="1"/>
  <c r="BH6" i="3" l="1"/>
  <c r="BM6" i="3" s="1"/>
  <c r="BI6" i="3"/>
  <c r="BO6" i="3"/>
  <c r="BQ6" i="3"/>
  <c r="BG7" i="3"/>
  <c r="BW7" i="3"/>
  <c r="BF7" i="3"/>
  <c r="BE8" i="3" s="1"/>
  <c r="BD7" i="3"/>
  <c r="BL6" i="3"/>
  <c r="BS5" i="3"/>
  <c r="BK6" i="3"/>
  <c r="BN6" i="3"/>
  <c r="BM5" i="3"/>
  <c r="AY25" i="3"/>
  <c r="AJ27" i="3"/>
  <c r="AN26" i="3"/>
  <c r="AS26" i="3"/>
  <c r="AU26" i="3"/>
  <c r="AL26" i="3"/>
  <c r="AI26" i="3"/>
  <c r="BA26" i="3" s="1"/>
  <c r="AR26" i="3"/>
  <c r="AX26" i="3"/>
  <c r="AP26" i="3"/>
  <c r="AK26" i="3"/>
  <c r="AV26" i="3"/>
  <c r="AM26" i="3"/>
  <c r="AT26" i="3"/>
  <c r="AO26" i="3"/>
  <c r="AQ26" i="3"/>
  <c r="AZ26" i="3"/>
  <c r="CS26" i="3"/>
  <c r="DJ27" i="3"/>
  <c r="DF27" i="3"/>
  <c r="DQ27" i="3"/>
  <c r="DI27" i="3"/>
  <c r="DD27" i="3"/>
  <c r="DO27" i="3"/>
  <c r="DH27" i="3"/>
  <c r="DC27" i="3"/>
  <c r="DM27" i="3"/>
  <c r="DG27" i="3"/>
  <c r="DB27" i="3"/>
  <c r="DK27" i="3"/>
  <c r="DE27" i="3"/>
  <c r="CG27" i="3"/>
  <c r="CK27" i="3"/>
  <c r="CO27" i="3"/>
  <c r="CH27" i="3"/>
  <c r="CL27" i="3"/>
  <c r="CP27" i="3"/>
  <c r="CV27" i="3"/>
  <c r="CJ27" i="3"/>
  <c r="CT27" i="3"/>
  <c r="CM27" i="3"/>
  <c r="CR27" i="3"/>
  <c r="CI27" i="3"/>
  <c r="CN27" i="3"/>
  <c r="DN26" i="3"/>
  <c r="DR25" i="3"/>
  <c r="CF27" i="3"/>
  <c r="CC27" i="3"/>
  <c r="CU27" i="3" s="1"/>
  <c r="CE27" i="3"/>
  <c r="CX27" i="3"/>
  <c r="DP27" i="3" s="1"/>
  <c r="DA27" i="3"/>
  <c r="CZ27" i="3"/>
  <c r="AX3" i="3"/>
  <c r="AM7" i="3"/>
  <c r="AX7" i="3" s="1"/>
  <c r="AP7" i="3"/>
  <c r="AU7" i="3"/>
  <c r="AT7" i="3"/>
  <c r="AN7" i="3"/>
  <c r="AS7" i="3"/>
  <c r="AV7" i="3"/>
  <c r="AQ7" i="3"/>
  <c r="AR3" i="3"/>
  <c r="AX6" i="3"/>
  <c r="AX4" i="3"/>
  <c r="AR6" i="3"/>
  <c r="J103" i="3"/>
  <c r="H93" i="3"/>
  <c r="BT5" i="3" l="1"/>
  <c r="BV5" i="3" s="1"/>
  <c r="BS6" i="3"/>
  <c r="BJ6" i="3"/>
  <c r="BH7" i="3"/>
  <c r="BM7" i="3" s="1"/>
  <c r="BQ7" i="3"/>
  <c r="BF8" i="3"/>
  <c r="BE9" i="3" s="1"/>
  <c r="BD8" i="3"/>
  <c r="BG8" i="3"/>
  <c r="BW8" i="3"/>
  <c r="BP7" i="3"/>
  <c r="BL7" i="3"/>
  <c r="BI7" i="3"/>
  <c r="BK7" i="3"/>
  <c r="BN7" i="3"/>
  <c r="BO7" i="3"/>
  <c r="AJ28" i="3"/>
  <c r="AN27" i="3"/>
  <c r="AT27" i="3"/>
  <c r="AX27" i="3"/>
  <c r="AM27" i="3"/>
  <c r="AR27" i="3"/>
  <c r="AZ27" i="3"/>
  <c r="AI27" i="3"/>
  <c r="BA27" i="3" s="1"/>
  <c r="AQ27" i="3"/>
  <c r="AV27" i="3"/>
  <c r="AO27" i="3"/>
  <c r="AK27" i="3"/>
  <c r="AU27" i="3"/>
  <c r="AP27" i="3"/>
  <c r="AS27" i="3"/>
  <c r="AL27" i="3"/>
  <c r="AY26" i="3"/>
  <c r="DN27" i="3"/>
  <c r="CS27" i="3"/>
  <c r="DM28" i="3"/>
  <c r="DH28" i="3"/>
  <c r="DD28" i="3"/>
  <c r="DQ28" i="3"/>
  <c r="DK28" i="3"/>
  <c r="DG28" i="3"/>
  <c r="DC28" i="3"/>
  <c r="DI28" i="3"/>
  <c r="DF28" i="3"/>
  <c r="DO28" i="3"/>
  <c r="DE28" i="3"/>
  <c r="DJ28" i="3"/>
  <c r="DB28" i="3"/>
  <c r="CI28" i="3"/>
  <c r="CM28" i="3"/>
  <c r="CR28" i="3"/>
  <c r="CJ28" i="3"/>
  <c r="CN28" i="3"/>
  <c r="CT28" i="3"/>
  <c r="CL28" i="3"/>
  <c r="CV28" i="3"/>
  <c r="CG28" i="3"/>
  <c r="CO28" i="3"/>
  <c r="CH28" i="3"/>
  <c r="CP28" i="3"/>
  <c r="CK28" i="3"/>
  <c r="DA28" i="3"/>
  <c r="CX28" i="3"/>
  <c r="DP28" i="3" s="1"/>
  <c r="CZ28" i="3"/>
  <c r="DR26" i="3"/>
  <c r="CC28" i="3"/>
  <c r="CU28" i="3" s="1"/>
  <c r="CF28" i="3"/>
  <c r="CE28" i="3"/>
  <c r="AR7" i="3"/>
  <c r="K103" i="3"/>
  <c r="BB8" i="3"/>
  <c r="BI8" i="3" l="1"/>
  <c r="BU6" i="3"/>
  <c r="BT6" i="3"/>
  <c r="BV6" i="3" s="1"/>
  <c r="BS7" i="3"/>
  <c r="BJ7" i="3"/>
  <c r="BU7" i="3" s="1"/>
  <c r="BD9" i="3"/>
  <c r="BF9" i="3"/>
  <c r="BE10" i="3" s="1"/>
  <c r="BW9" i="3"/>
  <c r="BG9" i="3"/>
  <c r="BH8" i="3"/>
  <c r="BS8" i="3" s="1"/>
  <c r="BK8" i="3"/>
  <c r="BO8" i="3"/>
  <c r="BN8" i="3"/>
  <c r="BL8" i="3"/>
  <c r="BQ8" i="3"/>
  <c r="BP8" i="3"/>
  <c r="AY27" i="3"/>
  <c r="AJ29" i="3"/>
  <c r="AT28" i="3"/>
  <c r="AU28" i="3"/>
  <c r="AR28" i="3"/>
  <c r="AI28" i="3"/>
  <c r="BA28" i="3" s="1"/>
  <c r="AZ28" i="3"/>
  <c r="AO28" i="3"/>
  <c r="AV28" i="3"/>
  <c r="AM28" i="3"/>
  <c r="AS28" i="3"/>
  <c r="AN28" i="3"/>
  <c r="AP28" i="3"/>
  <c r="AQ28" i="3"/>
  <c r="AX28" i="3"/>
  <c r="AL28" i="3"/>
  <c r="AK28" i="3"/>
  <c r="DJ29" i="3"/>
  <c r="DF29" i="3"/>
  <c r="DB29" i="3"/>
  <c r="DO29" i="3"/>
  <c r="DI29" i="3"/>
  <c r="DE29" i="3"/>
  <c r="DK29" i="3"/>
  <c r="DC29" i="3"/>
  <c r="DH29" i="3"/>
  <c r="DQ29" i="3"/>
  <c r="DG29" i="3"/>
  <c r="DM29" i="3"/>
  <c r="DD29" i="3"/>
  <c r="CS28" i="3"/>
  <c r="DN28" i="3"/>
  <c r="CG29" i="3"/>
  <c r="CK29" i="3"/>
  <c r="CO29" i="3"/>
  <c r="CT29" i="3"/>
  <c r="CH29" i="3"/>
  <c r="CL29" i="3"/>
  <c r="CP29" i="3"/>
  <c r="CN29" i="3"/>
  <c r="CI29" i="3"/>
  <c r="CR29" i="3"/>
  <c r="CV29" i="3"/>
  <c r="CJ29" i="3"/>
  <c r="CM29" i="3"/>
  <c r="DR27" i="3"/>
  <c r="CF29" i="3"/>
  <c r="CE29" i="3"/>
  <c r="CC29" i="3"/>
  <c r="CU29" i="3" s="1"/>
  <c r="CX29" i="3"/>
  <c r="DP29" i="3" s="1"/>
  <c r="CZ29" i="3"/>
  <c r="DA29" i="3"/>
  <c r="BZ2" i="3"/>
  <c r="BZ3" i="3"/>
  <c r="AM8" i="3"/>
  <c r="AX8" i="3" s="1"/>
  <c r="AP8" i="3"/>
  <c r="AU8" i="3"/>
  <c r="AT8" i="3"/>
  <c r="AN8" i="3"/>
  <c r="AS8" i="3"/>
  <c r="AV8" i="3"/>
  <c r="AQ8" i="3"/>
  <c r="BB9" i="3"/>
  <c r="BQ9" i="3" l="1"/>
  <c r="BL9" i="3"/>
  <c r="BT7" i="3"/>
  <c r="BV7" i="3" s="1"/>
  <c r="BP9" i="3"/>
  <c r="BE11" i="3"/>
  <c r="BE12" i="3" s="1"/>
  <c r="BE13" i="3" s="1"/>
  <c r="BE14" i="3" s="1"/>
  <c r="BE15" i="3" s="1"/>
  <c r="BE16" i="3" s="1"/>
  <c r="BE17" i="3" s="1"/>
  <c r="BE18" i="3" s="1"/>
  <c r="BE19" i="3" s="1"/>
  <c r="BE20" i="3" s="1"/>
  <c r="BE21" i="3" s="1"/>
  <c r="BE22" i="3" s="1"/>
  <c r="BE23" i="3" s="1"/>
  <c r="BE24" i="3" s="1"/>
  <c r="BE25" i="3" s="1"/>
  <c r="BE26" i="3" s="1"/>
  <c r="BE27" i="3" s="1"/>
  <c r="BE28" i="3" s="1"/>
  <c r="BE29" i="3" s="1"/>
  <c r="BE30" i="3" s="1"/>
  <c r="BE31" i="3" s="1"/>
  <c r="BE32" i="3" s="1"/>
  <c r="BE33" i="3" s="1"/>
  <c r="BE34" i="3" s="1"/>
  <c r="BE35" i="3" s="1"/>
  <c r="BE36" i="3" s="1"/>
  <c r="BE37" i="3" s="1"/>
  <c r="BE38" i="3" s="1"/>
  <c r="BE39" i="3" s="1"/>
  <c r="BE40" i="3" s="1"/>
  <c r="BE41" i="3" s="1"/>
  <c r="BE42" i="3" s="1"/>
  <c r="BE43" i="3" s="1"/>
  <c r="BE44" i="3" s="1"/>
  <c r="BE45" i="3" s="1"/>
  <c r="BE46" i="3" s="1"/>
  <c r="BE47" i="3" s="1"/>
  <c r="BE48" i="3" s="1"/>
  <c r="BE49" i="3" s="1"/>
  <c r="BE50" i="3" s="1"/>
  <c r="BN10" i="3"/>
  <c r="BH10" i="3"/>
  <c r="BM10" i="3" s="1"/>
  <c r="BJ10" i="3"/>
  <c r="BF10" i="3"/>
  <c r="BI10" i="3"/>
  <c r="BP10" i="3"/>
  <c r="BS10" i="3"/>
  <c r="BQ10" i="3"/>
  <c r="BK10" i="3"/>
  <c r="BU10" i="3"/>
  <c r="BG10" i="3"/>
  <c r="BL10" i="3"/>
  <c r="BO10" i="3"/>
  <c r="BD10" i="3"/>
  <c r="BV10" i="3" s="1"/>
  <c r="BW10" i="3"/>
  <c r="BH9" i="3"/>
  <c r="BS9" i="3" s="1"/>
  <c r="BI9" i="3"/>
  <c r="BO9" i="3"/>
  <c r="BN9" i="3"/>
  <c r="BM8" i="3"/>
  <c r="BJ8" i="3"/>
  <c r="BU8" i="3" s="1"/>
  <c r="BK9" i="3"/>
  <c r="AY28" i="3"/>
  <c r="AJ30" i="3"/>
  <c r="AT29" i="3"/>
  <c r="AV29" i="3"/>
  <c r="AX29" i="3"/>
  <c r="AZ29" i="3"/>
  <c r="AS29" i="3"/>
  <c r="AQ29" i="3"/>
  <c r="AO29" i="3"/>
  <c r="AN29" i="3"/>
  <c r="AU29" i="3"/>
  <c r="AK29" i="3"/>
  <c r="AP29" i="3"/>
  <c r="AR29" i="3"/>
  <c r="AM29" i="3"/>
  <c r="AL29" i="3"/>
  <c r="AI29" i="3"/>
  <c r="BA29" i="3" s="1"/>
  <c r="CS29" i="3"/>
  <c r="DM30" i="3"/>
  <c r="DH30" i="3"/>
  <c r="DD30" i="3"/>
  <c r="DQ30" i="3"/>
  <c r="DK30" i="3"/>
  <c r="DG30" i="3"/>
  <c r="DC30" i="3"/>
  <c r="DO30" i="3"/>
  <c r="DE30" i="3"/>
  <c r="DJ30" i="3"/>
  <c r="DB30" i="3"/>
  <c r="DI30" i="3"/>
  <c r="DF30" i="3"/>
  <c r="DN29" i="3"/>
  <c r="CH30" i="3"/>
  <c r="CL30" i="3"/>
  <c r="CP30" i="3"/>
  <c r="CV30" i="3"/>
  <c r="CI30" i="3"/>
  <c r="CM30" i="3"/>
  <c r="CR30" i="3"/>
  <c r="CG30" i="3"/>
  <c r="CO30" i="3"/>
  <c r="CJ30" i="3"/>
  <c r="CT30" i="3"/>
  <c r="CK30" i="3"/>
  <c r="CN30" i="3"/>
  <c r="DR28" i="3"/>
  <c r="CC30" i="3"/>
  <c r="CU30" i="3" s="1"/>
  <c r="CF30" i="3"/>
  <c r="CE30" i="3"/>
  <c r="CZ30" i="3"/>
  <c r="CX30" i="3"/>
  <c r="DP30" i="3" s="1"/>
  <c r="DA30" i="3"/>
  <c r="AM9" i="3"/>
  <c r="AP9" i="3"/>
  <c r="AT9" i="3"/>
  <c r="AU9" i="3"/>
  <c r="AS9" i="3"/>
  <c r="AN9" i="3"/>
  <c r="AV9" i="3"/>
  <c r="AQ9" i="3"/>
  <c r="AR8" i="3"/>
  <c r="BB10" i="3"/>
  <c r="BT10" i="3" l="1"/>
  <c r="BJ9" i="3"/>
  <c r="BU9" i="3" s="1"/>
  <c r="BT8" i="3"/>
  <c r="BV8" i="3" s="1"/>
  <c r="BM9" i="3"/>
  <c r="AY29" i="3"/>
  <c r="AJ31" i="3"/>
  <c r="AJ32" i="3" s="1"/>
  <c r="AJ33" i="3" s="1"/>
  <c r="AJ34" i="3" s="1"/>
  <c r="AJ35" i="3" s="1"/>
  <c r="AJ36" i="3" s="1"/>
  <c r="AJ37" i="3" s="1"/>
  <c r="AJ38" i="3" s="1"/>
  <c r="AJ39" i="3" s="1"/>
  <c r="AJ40" i="3" s="1"/>
  <c r="AJ41" i="3" s="1"/>
  <c r="AJ42" i="3" s="1"/>
  <c r="AJ43" i="3" s="1"/>
  <c r="AJ44" i="3" s="1"/>
  <c r="AJ45" i="3" s="1"/>
  <c r="AJ46" i="3" s="1"/>
  <c r="AJ47" i="3" s="1"/>
  <c r="AJ48" i="3" s="1"/>
  <c r="AJ49" i="3" s="1"/>
  <c r="AJ50" i="3" s="1"/>
  <c r="AM30" i="3"/>
  <c r="AV30" i="3"/>
  <c r="AT30" i="3"/>
  <c r="AI30" i="3"/>
  <c r="BA30" i="3" s="1"/>
  <c r="AO30" i="3"/>
  <c r="AQ30" i="3"/>
  <c r="AP30" i="3"/>
  <c r="AK30" i="3"/>
  <c r="AS30" i="3"/>
  <c r="AU30" i="3"/>
  <c r="AZ30" i="3"/>
  <c r="AX30" i="3"/>
  <c r="AN30" i="3"/>
  <c r="AR30" i="3"/>
  <c r="AL30" i="3"/>
  <c r="DN30" i="3"/>
  <c r="DJ31" i="3"/>
  <c r="DF31" i="3"/>
  <c r="DB31" i="3"/>
  <c r="DO31" i="3"/>
  <c r="DI31" i="3"/>
  <c r="DE31" i="3"/>
  <c r="DQ31" i="3"/>
  <c r="DG31" i="3"/>
  <c r="DM31" i="3"/>
  <c r="DD31" i="3"/>
  <c r="DK31" i="3"/>
  <c r="DC31" i="3"/>
  <c r="DH31" i="3"/>
  <c r="CS30" i="3"/>
  <c r="CJ31" i="3"/>
  <c r="CN31" i="3"/>
  <c r="CT31" i="3"/>
  <c r="CG31" i="3"/>
  <c r="CK31" i="3"/>
  <c r="CO31" i="3"/>
  <c r="CI31" i="3"/>
  <c r="CR31" i="3"/>
  <c r="CL31" i="3"/>
  <c r="CV31" i="3"/>
  <c r="CM31" i="3"/>
  <c r="CH31" i="3"/>
  <c r="CP31" i="3"/>
  <c r="DR29" i="3"/>
  <c r="CZ31" i="3"/>
  <c r="CX31" i="3"/>
  <c r="DP31" i="3" s="1"/>
  <c r="DA31" i="3"/>
  <c r="CE31" i="3"/>
  <c r="CF31" i="3"/>
  <c r="CC31" i="3"/>
  <c r="CU31" i="3" s="1"/>
  <c r="BG11" i="3"/>
  <c r="BQ11" i="3"/>
  <c r="BL11" i="3"/>
  <c r="BP11" i="3"/>
  <c r="BK11" i="3"/>
  <c r="BO11" i="3"/>
  <c r="BI11" i="3"/>
  <c r="BN11" i="3"/>
  <c r="BH11" i="3"/>
  <c r="BJ11" i="3"/>
  <c r="BM11" i="3"/>
  <c r="BS11" i="3"/>
  <c r="BU11" i="3"/>
  <c r="AR9" i="3"/>
  <c r="AP10" i="3"/>
  <c r="AT10" i="3"/>
  <c r="AU10" i="3"/>
  <c r="AN10" i="3"/>
  <c r="AS10" i="3"/>
  <c r="AM10" i="3"/>
  <c r="AV10" i="3"/>
  <c r="AQ10" i="3"/>
  <c r="AX9" i="3"/>
  <c r="BD11" i="3"/>
  <c r="BV11" i="3" s="1"/>
  <c r="BW11" i="3"/>
  <c r="BF11" i="3"/>
  <c r="BB11" i="3"/>
  <c r="BF12" i="3"/>
  <c r="BD12" i="3"/>
  <c r="BV12" i="3" s="1"/>
  <c r="BW12" i="3"/>
  <c r="BT9" i="3" l="1"/>
  <c r="BV9" i="3" s="1"/>
  <c r="AY30" i="3"/>
  <c r="DN31" i="3"/>
  <c r="DM32" i="3"/>
  <c r="DH32" i="3"/>
  <c r="DD32" i="3"/>
  <c r="DQ32" i="3"/>
  <c r="DK32" i="3"/>
  <c r="DG32" i="3"/>
  <c r="DC32" i="3"/>
  <c r="DI32" i="3"/>
  <c r="DF32" i="3"/>
  <c r="DO32" i="3"/>
  <c r="DE32" i="3"/>
  <c r="DJ32" i="3"/>
  <c r="DB32" i="3"/>
  <c r="CS31" i="3"/>
  <c r="CH32" i="3"/>
  <c r="CL32" i="3"/>
  <c r="CP32" i="3"/>
  <c r="CI32" i="3"/>
  <c r="CM32" i="3"/>
  <c r="CR32" i="3"/>
  <c r="CK32" i="3"/>
  <c r="CN32" i="3"/>
  <c r="CV32" i="3"/>
  <c r="CO32" i="3"/>
  <c r="CT32" i="3"/>
  <c r="CG32" i="3"/>
  <c r="CJ32" i="3"/>
  <c r="DR30" i="3"/>
  <c r="CF32" i="3"/>
  <c r="CE32" i="3"/>
  <c r="CC32" i="3"/>
  <c r="CU32" i="3" s="1"/>
  <c r="CX32" i="3"/>
  <c r="DP32" i="3" s="1"/>
  <c r="DA32" i="3"/>
  <c r="CZ32" i="3"/>
  <c r="BT11" i="3"/>
  <c r="BG12" i="3"/>
  <c r="BS12" i="3"/>
  <c r="BN12" i="3"/>
  <c r="BJ12" i="3"/>
  <c r="BQ12" i="3"/>
  <c r="BM12" i="3"/>
  <c r="BI12" i="3"/>
  <c r="BP12" i="3"/>
  <c r="BL12" i="3"/>
  <c r="BH12" i="3"/>
  <c r="BU12" i="3"/>
  <c r="BO12" i="3"/>
  <c r="BK12" i="3"/>
  <c r="AR10" i="3"/>
  <c r="AU11" i="3"/>
  <c r="AT11" i="3"/>
  <c r="AN11" i="3"/>
  <c r="AS11" i="3"/>
  <c r="AM11" i="3"/>
  <c r="AX11" i="3"/>
  <c r="AP11" i="3"/>
  <c r="AV11" i="3"/>
  <c r="AQ11" i="3"/>
  <c r="AX10" i="3"/>
  <c r="BB12" i="3"/>
  <c r="DJ33" i="3" l="1"/>
  <c r="DF33" i="3"/>
  <c r="DB33" i="3"/>
  <c r="DO33" i="3"/>
  <c r="DI33" i="3"/>
  <c r="DE33" i="3"/>
  <c r="DM33" i="3"/>
  <c r="DH33" i="3"/>
  <c r="DD33" i="3"/>
  <c r="DQ33" i="3"/>
  <c r="DK33" i="3"/>
  <c r="DG33" i="3"/>
  <c r="DC33" i="3"/>
  <c r="CS32" i="3"/>
  <c r="CI33" i="3"/>
  <c r="CM33" i="3"/>
  <c r="CR33" i="3"/>
  <c r="CV33" i="3"/>
  <c r="CJ33" i="3"/>
  <c r="CN33" i="3"/>
  <c r="CH33" i="3"/>
  <c r="CK33" i="3"/>
  <c r="CT33" i="3"/>
  <c r="CG33" i="3"/>
  <c r="CL33" i="3"/>
  <c r="CO33" i="3"/>
  <c r="CP33" i="3"/>
  <c r="DN32" i="3"/>
  <c r="DR31" i="3"/>
  <c r="CZ33" i="3"/>
  <c r="DA33" i="3"/>
  <c r="CX33" i="3"/>
  <c r="DP33" i="3" s="1"/>
  <c r="CF33" i="3"/>
  <c r="CE33" i="3"/>
  <c r="CC33" i="3"/>
  <c r="CU33" i="3" s="1"/>
  <c r="BQ13" i="3"/>
  <c r="BM13" i="3"/>
  <c r="BI13" i="3"/>
  <c r="BP13" i="3"/>
  <c r="BL13" i="3"/>
  <c r="BH13" i="3"/>
  <c r="BU13" i="3"/>
  <c r="BO13" i="3"/>
  <c r="BK13" i="3"/>
  <c r="BS13" i="3"/>
  <c r="BN13" i="3"/>
  <c r="BJ13" i="3"/>
  <c r="BT12" i="3"/>
  <c r="AR11" i="3"/>
  <c r="BF13" i="3"/>
  <c r="BG13" i="3"/>
  <c r="BD13" i="3"/>
  <c r="BV13" i="3" s="1"/>
  <c r="BW13" i="3"/>
  <c r="BB13" i="3"/>
  <c r="BD14" i="3"/>
  <c r="BV14" i="3" s="1"/>
  <c r="BF14" i="3"/>
  <c r="BW14" i="3"/>
  <c r="CJ34" i="3" l="1"/>
  <c r="CN34" i="3"/>
  <c r="CT34" i="3"/>
  <c r="CG34" i="3"/>
  <c r="CK34" i="3"/>
  <c r="CO34" i="3"/>
  <c r="CL34" i="3"/>
  <c r="CV34" i="3"/>
  <c r="CH34" i="3"/>
  <c r="CI34" i="3"/>
  <c r="CM34" i="3"/>
  <c r="CP34" i="3"/>
  <c r="CR34" i="3"/>
  <c r="CS33" i="3"/>
  <c r="DN33" i="3"/>
  <c r="DM34" i="3"/>
  <c r="DH34" i="3"/>
  <c r="DD34" i="3"/>
  <c r="DQ34" i="3"/>
  <c r="DK34" i="3"/>
  <c r="DG34" i="3"/>
  <c r="DC34" i="3"/>
  <c r="DJ34" i="3"/>
  <c r="DF34" i="3"/>
  <c r="DB34" i="3"/>
  <c r="DO34" i="3"/>
  <c r="DI34" i="3"/>
  <c r="DE34" i="3"/>
  <c r="DR32" i="3"/>
  <c r="CZ34" i="3"/>
  <c r="DA34" i="3"/>
  <c r="CX34" i="3"/>
  <c r="DP34" i="3" s="1"/>
  <c r="CC34" i="3"/>
  <c r="CU34" i="3" s="1"/>
  <c r="CE34" i="3"/>
  <c r="CF34" i="3"/>
  <c r="BG14" i="3"/>
  <c r="BP14" i="3"/>
  <c r="BL14" i="3"/>
  <c r="BH14" i="3"/>
  <c r="BU14" i="3"/>
  <c r="BO14" i="3"/>
  <c r="BK14" i="3"/>
  <c r="BS14" i="3"/>
  <c r="BN14" i="3"/>
  <c r="BJ14" i="3"/>
  <c r="BQ14" i="3"/>
  <c r="BM14" i="3"/>
  <c r="BI14" i="3"/>
  <c r="BG15" i="3"/>
  <c r="BU15" i="3"/>
  <c r="BO15" i="3"/>
  <c r="BK15" i="3"/>
  <c r="BS15" i="3"/>
  <c r="BN15" i="3"/>
  <c r="BJ15" i="3"/>
  <c r="BQ15" i="3"/>
  <c r="BM15" i="3"/>
  <c r="BI15" i="3"/>
  <c r="BP15" i="3"/>
  <c r="BL15" i="3"/>
  <c r="BH15" i="3"/>
  <c r="BT13" i="3"/>
  <c r="BX12" i="3"/>
  <c r="BB14" i="3"/>
  <c r="BD15" i="3"/>
  <c r="BV15" i="3" s="1"/>
  <c r="BW15" i="3"/>
  <c r="BF15" i="3"/>
  <c r="CS34" i="3" l="1"/>
  <c r="CH35" i="3"/>
  <c r="CL35" i="3"/>
  <c r="CP35" i="3"/>
  <c r="CV35" i="3"/>
  <c r="CI35" i="3"/>
  <c r="CM35" i="3"/>
  <c r="CR35" i="3"/>
  <c r="CN35" i="3"/>
  <c r="CJ35" i="3"/>
  <c r="CK35" i="3"/>
  <c r="CG35" i="3"/>
  <c r="CO35" i="3"/>
  <c r="CT35" i="3"/>
  <c r="DJ35" i="3"/>
  <c r="DF35" i="3"/>
  <c r="DB35" i="3"/>
  <c r="DO35" i="3"/>
  <c r="DI35" i="3"/>
  <c r="DE35" i="3"/>
  <c r="DM35" i="3"/>
  <c r="DH35" i="3"/>
  <c r="DD35" i="3"/>
  <c r="DQ35" i="3"/>
  <c r="DK35" i="3"/>
  <c r="DG35" i="3"/>
  <c r="DC35" i="3"/>
  <c r="DN34" i="3"/>
  <c r="DR33" i="3"/>
  <c r="CE35" i="3"/>
  <c r="CF35" i="3"/>
  <c r="CC35" i="3"/>
  <c r="CU35" i="3" s="1"/>
  <c r="CZ35" i="3"/>
  <c r="DA35" i="3"/>
  <c r="CX35" i="3"/>
  <c r="DP35" i="3" s="1"/>
  <c r="BT15" i="3"/>
  <c r="BG16" i="3"/>
  <c r="BS16" i="3"/>
  <c r="BN16" i="3"/>
  <c r="BJ16" i="3"/>
  <c r="BQ16" i="3"/>
  <c r="BM16" i="3"/>
  <c r="BI16" i="3"/>
  <c r="BP16" i="3"/>
  <c r="BL16" i="3"/>
  <c r="BH16" i="3"/>
  <c r="BU16" i="3"/>
  <c r="BO16" i="3"/>
  <c r="BK16" i="3"/>
  <c r="BT14" i="3"/>
  <c r="BJ3" i="3"/>
  <c r="BU3" i="3" s="1"/>
  <c r="BJ4" i="3"/>
  <c r="AO7" i="3"/>
  <c r="AO8" i="3"/>
  <c r="AO9" i="3"/>
  <c r="AO10" i="3"/>
  <c r="AO11" i="3"/>
  <c r="AO5" i="3"/>
  <c r="AO6" i="3"/>
  <c r="AO4" i="3"/>
  <c r="BX13" i="3"/>
  <c r="BB15" i="3"/>
  <c r="BD16" i="3"/>
  <c r="BV16" i="3" s="1"/>
  <c r="BW16" i="3"/>
  <c r="BF16" i="3"/>
  <c r="EM52" i="3" l="1"/>
  <c r="CI12" i="3"/>
  <c r="DD9" i="3"/>
  <c r="DD12" i="3"/>
  <c r="CI10" i="3"/>
  <c r="DD11" i="3"/>
  <c r="DD10" i="3"/>
  <c r="DD7" i="3"/>
  <c r="DD6" i="3"/>
  <c r="CI13" i="3"/>
  <c r="DD4" i="3"/>
  <c r="CI9" i="3"/>
  <c r="DD5" i="3"/>
  <c r="CI6" i="3"/>
  <c r="CI4" i="3"/>
  <c r="CI5" i="3"/>
  <c r="CI7" i="3"/>
  <c r="DD13" i="3"/>
  <c r="CI11" i="3"/>
  <c r="DD8" i="3"/>
  <c r="CI8" i="3"/>
  <c r="CJ36" i="3"/>
  <c r="CN36" i="3"/>
  <c r="CT36" i="3"/>
  <c r="CG36" i="3"/>
  <c r="CK36" i="3"/>
  <c r="CO36" i="3"/>
  <c r="CH36" i="3"/>
  <c r="CP36" i="3"/>
  <c r="CV36" i="3"/>
  <c r="CI36" i="3"/>
  <c r="CR36" i="3"/>
  <c r="CL36" i="3"/>
  <c r="CM36" i="3"/>
  <c r="DM36" i="3"/>
  <c r="DH36" i="3"/>
  <c r="DD36" i="3"/>
  <c r="DQ36" i="3"/>
  <c r="DK36" i="3"/>
  <c r="DG36" i="3"/>
  <c r="DC36" i="3"/>
  <c r="DJ36" i="3"/>
  <c r="DF36" i="3"/>
  <c r="DB36" i="3"/>
  <c r="DO36" i="3"/>
  <c r="DI36" i="3"/>
  <c r="DE36" i="3"/>
  <c r="CS35" i="3"/>
  <c r="DN35" i="3"/>
  <c r="DR34" i="3"/>
  <c r="CF36" i="3"/>
  <c r="CC36" i="3"/>
  <c r="CU36" i="3" s="1"/>
  <c r="CE36" i="3"/>
  <c r="DA36" i="3"/>
  <c r="CX36" i="3"/>
  <c r="DP36" i="3" s="1"/>
  <c r="CZ36" i="3"/>
  <c r="BU4" i="3"/>
  <c r="BT4" i="3"/>
  <c r="BV4" i="3" s="1"/>
  <c r="BT16" i="3"/>
  <c r="BG17" i="3"/>
  <c r="BQ17" i="3"/>
  <c r="BM17" i="3"/>
  <c r="BI17" i="3"/>
  <c r="BP17" i="3"/>
  <c r="BL17" i="3"/>
  <c r="BH17" i="3"/>
  <c r="BU17" i="3"/>
  <c r="BO17" i="3"/>
  <c r="BK17" i="3"/>
  <c r="BS17" i="3"/>
  <c r="BN17" i="3"/>
  <c r="BJ17" i="3"/>
  <c r="BT3" i="3"/>
  <c r="BV3" i="3" s="1"/>
  <c r="AZ11" i="3"/>
  <c r="AY11" i="3"/>
  <c r="AZ7" i="3"/>
  <c r="AY7" i="3"/>
  <c r="AZ8" i="3"/>
  <c r="AY8" i="3"/>
  <c r="AZ9" i="3"/>
  <c r="AY9" i="3"/>
  <c r="BA9" i="3" s="1"/>
  <c r="AZ10" i="3"/>
  <c r="AY10" i="3"/>
  <c r="AY5" i="3"/>
  <c r="BA5" i="3" s="1"/>
  <c r="AZ5" i="3"/>
  <c r="AY4" i="3"/>
  <c r="BA4" i="3" s="1"/>
  <c r="AZ4" i="3"/>
  <c r="AY6" i="3"/>
  <c r="BA6" i="3" s="1"/>
  <c r="AZ6" i="3"/>
  <c r="AY3" i="3"/>
  <c r="BA3" i="3" s="1"/>
  <c r="BX14" i="3"/>
  <c r="BB16" i="3"/>
  <c r="BX15" i="3"/>
  <c r="BD17" i="3"/>
  <c r="BV17" i="3" s="1"/>
  <c r="BF17" i="3"/>
  <c r="BW17" i="3"/>
  <c r="BX7" i="3" l="1"/>
  <c r="BA7" i="3"/>
  <c r="BX8" i="3"/>
  <c r="BA8" i="3"/>
  <c r="CT11" i="3"/>
  <c r="CS11" i="3"/>
  <c r="CU11" i="3" s="1"/>
  <c r="CT4" i="3"/>
  <c r="CS4" i="3"/>
  <c r="CU4" i="3" s="1"/>
  <c r="DO4" i="3"/>
  <c r="DN4" i="3"/>
  <c r="DP4" i="3" s="1"/>
  <c r="DN10" i="3"/>
  <c r="DP10" i="3" s="1"/>
  <c r="DO10" i="3"/>
  <c r="DN9" i="3"/>
  <c r="DP9" i="3" s="1"/>
  <c r="DO9" i="3"/>
  <c r="DJ37" i="3"/>
  <c r="DF37" i="3"/>
  <c r="DB37" i="3"/>
  <c r="DO37" i="3"/>
  <c r="DI37" i="3"/>
  <c r="DE37" i="3"/>
  <c r="DM37" i="3"/>
  <c r="DH37" i="3"/>
  <c r="DD37" i="3"/>
  <c r="DQ37" i="3"/>
  <c r="DK37" i="3"/>
  <c r="DG37" i="3"/>
  <c r="DC37" i="3"/>
  <c r="DN13" i="3"/>
  <c r="DP13" i="3" s="1"/>
  <c r="DO13" i="3"/>
  <c r="CS6" i="3"/>
  <c r="CU6" i="3" s="1"/>
  <c r="CT6" i="3"/>
  <c r="CT13" i="3"/>
  <c r="CS13" i="3"/>
  <c r="CU13" i="3" s="1"/>
  <c r="DO11" i="3"/>
  <c r="DN11" i="3"/>
  <c r="DP11" i="3" s="1"/>
  <c r="CT12" i="3"/>
  <c r="CS12" i="3"/>
  <c r="CU12" i="3" s="1"/>
  <c r="CS36" i="3"/>
  <c r="CT8" i="3"/>
  <c r="CS8" i="3"/>
  <c r="CU8" i="3" s="1"/>
  <c r="CT7" i="3"/>
  <c r="CS7" i="3"/>
  <c r="CU7" i="3" s="1"/>
  <c r="DO5" i="3"/>
  <c r="DN5" i="3"/>
  <c r="DP5" i="3" s="1"/>
  <c r="DO6" i="3"/>
  <c r="DN6" i="3"/>
  <c r="DP6" i="3" s="1"/>
  <c r="CT10" i="3"/>
  <c r="CS10" i="3"/>
  <c r="CU10" i="3" s="1"/>
  <c r="CH37" i="3"/>
  <c r="CL37" i="3"/>
  <c r="CP37" i="3"/>
  <c r="CI37" i="3"/>
  <c r="CM37" i="3"/>
  <c r="CR37" i="3"/>
  <c r="CV37" i="3"/>
  <c r="CJ37" i="3"/>
  <c r="CG37" i="3"/>
  <c r="CO37" i="3"/>
  <c r="CK37" i="3"/>
  <c r="CT37" i="3"/>
  <c r="CN37" i="3"/>
  <c r="DN36" i="3"/>
  <c r="DO8" i="3"/>
  <c r="DN8" i="3"/>
  <c r="DP8" i="3" s="1"/>
  <c r="CS5" i="3"/>
  <c r="CU5" i="3" s="1"/>
  <c r="CT5" i="3"/>
  <c r="CS9" i="3"/>
  <c r="CU9" i="3" s="1"/>
  <c r="CT9" i="3"/>
  <c r="DN7" i="3"/>
  <c r="DP7" i="3" s="1"/>
  <c r="DO7" i="3"/>
  <c r="DO12" i="3"/>
  <c r="DN12" i="3"/>
  <c r="DP12" i="3" s="1"/>
  <c r="DR35" i="3"/>
  <c r="CC37" i="3"/>
  <c r="CU37" i="3" s="1"/>
  <c r="CE37" i="3"/>
  <c r="CF37" i="3"/>
  <c r="CZ37" i="3"/>
  <c r="DA37" i="3"/>
  <c r="CX37" i="3"/>
  <c r="DP37" i="3" s="1"/>
  <c r="BX3" i="3"/>
  <c r="CS3" i="3"/>
  <c r="CU3" i="3" s="1"/>
  <c r="BG18" i="3"/>
  <c r="BP18" i="3"/>
  <c r="BL18" i="3"/>
  <c r="BH18" i="3"/>
  <c r="BU18" i="3"/>
  <c r="BO18" i="3"/>
  <c r="BK18" i="3"/>
  <c r="BS18" i="3"/>
  <c r="BN18" i="3"/>
  <c r="BJ18" i="3"/>
  <c r="BQ18" i="3"/>
  <c r="BM18" i="3"/>
  <c r="BI18" i="3"/>
  <c r="BT17" i="3"/>
  <c r="BX9" i="3"/>
  <c r="BX11" i="3"/>
  <c r="BX10" i="3"/>
  <c r="BX4" i="3"/>
  <c r="BX6" i="3"/>
  <c r="BB17" i="3"/>
  <c r="BX16" i="3"/>
  <c r="BD18" i="3"/>
  <c r="BV18" i="3" s="1"/>
  <c r="BF18" i="3"/>
  <c r="BW18" i="3"/>
  <c r="DR6" i="3" l="1"/>
  <c r="DR7" i="3"/>
  <c r="DR11" i="3"/>
  <c r="DR10" i="3"/>
  <c r="DR9" i="3"/>
  <c r="DR12" i="3"/>
  <c r="DR8" i="3"/>
  <c r="DN37" i="3"/>
  <c r="CI38" i="3"/>
  <c r="CM38" i="3"/>
  <c r="CR38" i="3"/>
  <c r="CJ38" i="3"/>
  <c r="CN38" i="3"/>
  <c r="CT38" i="3"/>
  <c r="CP38" i="3"/>
  <c r="CK38" i="3"/>
  <c r="CG38" i="3"/>
  <c r="CL38" i="3"/>
  <c r="CV38" i="3"/>
  <c r="CO38" i="3"/>
  <c r="CH38" i="3"/>
  <c r="DM38" i="3"/>
  <c r="DH38" i="3"/>
  <c r="DD38" i="3"/>
  <c r="DQ38" i="3"/>
  <c r="DK38" i="3"/>
  <c r="DG38" i="3"/>
  <c r="DC38" i="3"/>
  <c r="DJ38" i="3"/>
  <c r="DF38" i="3"/>
  <c r="DB38" i="3"/>
  <c r="DO38" i="3"/>
  <c r="DI38" i="3"/>
  <c r="DE38" i="3"/>
  <c r="CS37" i="3"/>
  <c r="DR13" i="3"/>
  <c r="DR5" i="3"/>
  <c r="DR36" i="3"/>
  <c r="CE38" i="3"/>
  <c r="CC38" i="3"/>
  <c r="CU38" i="3" s="1"/>
  <c r="CF38" i="3"/>
  <c r="CX38" i="3"/>
  <c r="DP38" i="3" s="1"/>
  <c r="CZ38" i="3"/>
  <c r="DA38" i="3"/>
  <c r="DR4" i="3"/>
  <c r="DR3" i="3"/>
  <c r="BT18" i="3"/>
  <c r="BG19" i="3"/>
  <c r="BU19" i="3"/>
  <c r="BO19" i="3"/>
  <c r="BK19" i="3"/>
  <c r="BS19" i="3"/>
  <c r="BN19" i="3"/>
  <c r="BJ19" i="3"/>
  <c r="BQ19" i="3"/>
  <c r="BM19" i="3"/>
  <c r="BI19" i="3"/>
  <c r="BP19" i="3"/>
  <c r="BL19" i="3"/>
  <c r="BH19" i="3"/>
  <c r="BX5" i="3"/>
  <c r="BB18" i="3"/>
  <c r="BX17" i="3"/>
  <c r="BD19" i="3"/>
  <c r="BV19" i="3" s="1"/>
  <c r="BW19" i="3"/>
  <c r="BF19" i="3"/>
  <c r="DN38" i="3" l="1"/>
  <c r="DJ39" i="3"/>
  <c r="DF39" i="3"/>
  <c r="DB39" i="3"/>
  <c r="DO39" i="3"/>
  <c r="DI39" i="3"/>
  <c r="DE39" i="3"/>
  <c r="DM39" i="3"/>
  <c r="DH39" i="3"/>
  <c r="DD39" i="3"/>
  <c r="DQ39" i="3"/>
  <c r="DK39" i="3"/>
  <c r="DG39" i="3"/>
  <c r="DC39" i="3"/>
  <c r="CG39" i="3"/>
  <c r="CK39" i="3"/>
  <c r="CO39" i="3"/>
  <c r="CH39" i="3"/>
  <c r="CL39" i="3"/>
  <c r="CP39" i="3"/>
  <c r="CV39" i="3"/>
  <c r="CM39" i="3"/>
  <c r="CI39" i="3"/>
  <c r="CJ39" i="3"/>
  <c r="CN39" i="3"/>
  <c r="CR39" i="3"/>
  <c r="CT39" i="3"/>
  <c r="CS38" i="3"/>
  <c r="DR37" i="3"/>
  <c r="CZ39" i="3"/>
  <c r="DA39" i="3"/>
  <c r="CX39" i="3"/>
  <c r="DP39" i="3" s="1"/>
  <c r="CC39" i="3"/>
  <c r="CU39" i="3" s="1"/>
  <c r="CF39" i="3"/>
  <c r="CE39" i="3"/>
  <c r="BT19" i="3"/>
  <c r="BG20" i="3"/>
  <c r="BS20" i="3"/>
  <c r="BN20" i="3"/>
  <c r="BJ20" i="3"/>
  <c r="BQ20" i="3"/>
  <c r="BM20" i="3"/>
  <c r="BI20" i="3"/>
  <c r="BP20" i="3"/>
  <c r="BL20" i="3"/>
  <c r="BH20" i="3"/>
  <c r="BU20" i="3"/>
  <c r="BO20" i="3"/>
  <c r="BK20" i="3"/>
  <c r="BB19" i="3"/>
  <c r="BX18" i="3"/>
  <c r="BW20" i="3"/>
  <c r="BD20" i="3"/>
  <c r="BV20" i="3" s="1"/>
  <c r="BF20" i="3"/>
  <c r="DN39" i="3" l="1"/>
  <c r="CI40" i="3"/>
  <c r="CM40" i="3"/>
  <c r="CR40" i="3"/>
  <c r="CJ40" i="3"/>
  <c r="CN40" i="3"/>
  <c r="CT40" i="3"/>
  <c r="CV40" i="3"/>
  <c r="CG40" i="3"/>
  <c r="CO40" i="3"/>
  <c r="CK40" i="3"/>
  <c r="CL40" i="3"/>
  <c r="CH40" i="3"/>
  <c r="CP40" i="3"/>
  <c r="DM40" i="3"/>
  <c r="DH40" i="3"/>
  <c r="DD40" i="3"/>
  <c r="DQ40" i="3"/>
  <c r="DK40" i="3"/>
  <c r="DG40" i="3"/>
  <c r="DC40" i="3"/>
  <c r="DJ40" i="3"/>
  <c r="DF40" i="3"/>
  <c r="DB40" i="3"/>
  <c r="DO40" i="3"/>
  <c r="DI40" i="3"/>
  <c r="DE40" i="3"/>
  <c r="CS39" i="3"/>
  <c r="DR38" i="3"/>
  <c r="CZ40" i="3"/>
  <c r="CX40" i="3"/>
  <c r="DP40" i="3" s="1"/>
  <c r="DA40" i="3"/>
  <c r="CE40" i="3"/>
  <c r="CC40" i="3"/>
  <c r="CU40" i="3" s="1"/>
  <c r="CF40" i="3"/>
  <c r="BT20" i="3"/>
  <c r="BG21" i="3"/>
  <c r="BQ21" i="3"/>
  <c r="BM21" i="3"/>
  <c r="BI21" i="3"/>
  <c r="BP21" i="3"/>
  <c r="BL21" i="3"/>
  <c r="BH21" i="3"/>
  <c r="BU21" i="3"/>
  <c r="BO21" i="3"/>
  <c r="BK21" i="3"/>
  <c r="BS21" i="3"/>
  <c r="BN21" i="3"/>
  <c r="BJ21" i="3"/>
  <c r="BX19" i="3"/>
  <c r="BB20" i="3"/>
  <c r="BF21" i="3"/>
  <c r="BD21" i="3"/>
  <c r="BV21" i="3" s="1"/>
  <c r="BW21" i="3"/>
  <c r="DN40" i="3" l="1"/>
  <c r="CG41" i="3"/>
  <c r="CK41" i="3"/>
  <c r="CO41" i="3"/>
  <c r="CT41" i="3"/>
  <c r="CH41" i="3"/>
  <c r="CL41" i="3"/>
  <c r="CP41" i="3"/>
  <c r="CI41" i="3"/>
  <c r="CR41" i="3"/>
  <c r="CM41" i="3"/>
  <c r="CJ41" i="3"/>
  <c r="CV41" i="3"/>
  <c r="CN41" i="3"/>
  <c r="DJ41" i="3"/>
  <c r="DF41" i="3"/>
  <c r="DB41" i="3"/>
  <c r="DO41" i="3"/>
  <c r="DI41" i="3"/>
  <c r="DE41" i="3"/>
  <c r="DM41" i="3"/>
  <c r="DH41" i="3"/>
  <c r="DD41" i="3"/>
  <c r="DQ41" i="3"/>
  <c r="DK41" i="3"/>
  <c r="DG41" i="3"/>
  <c r="DC41" i="3"/>
  <c r="CS40" i="3"/>
  <c r="DR39" i="3"/>
  <c r="CC41" i="3"/>
  <c r="CU41" i="3" s="1"/>
  <c r="CF41" i="3"/>
  <c r="CE41" i="3"/>
  <c r="DA41" i="3"/>
  <c r="CZ41" i="3"/>
  <c r="CX41" i="3"/>
  <c r="DP41" i="3" s="1"/>
  <c r="BT21" i="3"/>
  <c r="BG22" i="3"/>
  <c r="BP22" i="3"/>
  <c r="BL22" i="3"/>
  <c r="BH22" i="3"/>
  <c r="BU22" i="3"/>
  <c r="BO22" i="3"/>
  <c r="BK22" i="3"/>
  <c r="BS22" i="3"/>
  <c r="BN22" i="3"/>
  <c r="BJ22" i="3"/>
  <c r="BQ22" i="3"/>
  <c r="BM22" i="3"/>
  <c r="BI22" i="3"/>
  <c r="BB21" i="3"/>
  <c r="BX20" i="3"/>
  <c r="BF22" i="3"/>
  <c r="BW22" i="3"/>
  <c r="BD22" i="3"/>
  <c r="BV22" i="3" s="1"/>
  <c r="DM42" i="3" l="1"/>
  <c r="DH42" i="3"/>
  <c r="DD42" i="3"/>
  <c r="DQ42" i="3"/>
  <c r="DK42" i="3"/>
  <c r="DG42" i="3"/>
  <c r="DC42" i="3"/>
  <c r="DJ42" i="3"/>
  <c r="DF42" i="3"/>
  <c r="DB42" i="3"/>
  <c r="DO42" i="3"/>
  <c r="DI42" i="3"/>
  <c r="DE42" i="3"/>
  <c r="DN41" i="3"/>
  <c r="CH42" i="3"/>
  <c r="CL42" i="3"/>
  <c r="CP42" i="3"/>
  <c r="CV42" i="3"/>
  <c r="CI42" i="3"/>
  <c r="CM42" i="3"/>
  <c r="CR42" i="3"/>
  <c r="CO42" i="3"/>
  <c r="CJ42" i="3"/>
  <c r="CT42" i="3"/>
  <c r="CG42" i="3"/>
  <c r="CK42" i="3"/>
  <c r="CN42" i="3"/>
  <c r="CS41" i="3"/>
  <c r="DR40" i="3"/>
  <c r="CF42" i="3"/>
  <c r="CE42" i="3"/>
  <c r="CC42" i="3"/>
  <c r="CU42" i="3" s="1"/>
  <c r="CZ42" i="3"/>
  <c r="DA42" i="3"/>
  <c r="CX42" i="3"/>
  <c r="DP42" i="3" s="1"/>
  <c r="BG23" i="3"/>
  <c r="BU23" i="3"/>
  <c r="BO23" i="3"/>
  <c r="BK23" i="3"/>
  <c r="BS23" i="3"/>
  <c r="BN23" i="3"/>
  <c r="BJ23" i="3"/>
  <c r="BQ23" i="3"/>
  <c r="BM23" i="3"/>
  <c r="BI23" i="3"/>
  <c r="BP23" i="3"/>
  <c r="BL23" i="3"/>
  <c r="BH23" i="3"/>
  <c r="BT22" i="3"/>
  <c r="BX21" i="3"/>
  <c r="BB22" i="3"/>
  <c r="BD23" i="3"/>
  <c r="BV23" i="3" s="1"/>
  <c r="BF23" i="3"/>
  <c r="BW23" i="3"/>
  <c r="BB23" i="3"/>
  <c r="DJ43" i="3" l="1"/>
  <c r="DF43" i="3"/>
  <c r="DB43" i="3"/>
  <c r="DO43" i="3"/>
  <c r="DI43" i="3"/>
  <c r="DE43" i="3"/>
  <c r="DM43" i="3"/>
  <c r="DH43" i="3"/>
  <c r="DD43" i="3"/>
  <c r="DQ43" i="3"/>
  <c r="DK43" i="3"/>
  <c r="DG43" i="3"/>
  <c r="DC43" i="3"/>
  <c r="DN42" i="3"/>
  <c r="CJ43" i="3"/>
  <c r="CN43" i="3"/>
  <c r="CT43" i="3"/>
  <c r="CG43" i="3"/>
  <c r="CK43" i="3"/>
  <c r="CO43" i="3"/>
  <c r="CI43" i="3"/>
  <c r="CL43" i="3"/>
  <c r="CV43" i="3"/>
  <c r="CH43" i="3"/>
  <c r="CM43" i="3"/>
  <c r="CP43" i="3"/>
  <c r="CR43" i="3"/>
  <c r="CS42" i="3"/>
  <c r="DR41" i="3"/>
  <c r="CC43" i="3"/>
  <c r="CU43" i="3" s="1"/>
  <c r="CF43" i="3"/>
  <c r="CE43" i="3"/>
  <c r="CZ43" i="3"/>
  <c r="DA43" i="3"/>
  <c r="CX43" i="3"/>
  <c r="DP43" i="3" s="1"/>
  <c r="BG24" i="3"/>
  <c r="BS24" i="3"/>
  <c r="BN24" i="3"/>
  <c r="BJ24" i="3"/>
  <c r="BQ24" i="3"/>
  <c r="BM24" i="3"/>
  <c r="BI24" i="3"/>
  <c r="BP24" i="3"/>
  <c r="BL24" i="3"/>
  <c r="BH24" i="3"/>
  <c r="BU24" i="3"/>
  <c r="BO24" i="3"/>
  <c r="BK24" i="3"/>
  <c r="BT23" i="3"/>
  <c r="BX22" i="3"/>
  <c r="BB24" i="3"/>
  <c r="BF24" i="3"/>
  <c r="BD24" i="3"/>
  <c r="BV24" i="3" s="1"/>
  <c r="BW24" i="3"/>
  <c r="CS43" i="3" l="1"/>
  <c r="DN43" i="3"/>
  <c r="DM44" i="3"/>
  <c r="DH44" i="3"/>
  <c r="DD44" i="3"/>
  <c r="DQ44" i="3"/>
  <c r="DK44" i="3"/>
  <c r="DG44" i="3"/>
  <c r="DC44" i="3"/>
  <c r="DJ44" i="3"/>
  <c r="DF44" i="3"/>
  <c r="DB44" i="3"/>
  <c r="DO44" i="3"/>
  <c r="DI44" i="3"/>
  <c r="DE44" i="3"/>
  <c r="CH44" i="3"/>
  <c r="CL44" i="3"/>
  <c r="CP44" i="3"/>
  <c r="CV44" i="3"/>
  <c r="CI44" i="3"/>
  <c r="CM44" i="3"/>
  <c r="CR44" i="3"/>
  <c r="CT44" i="3"/>
  <c r="CN44" i="3"/>
  <c r="CJ44" i="3"/>
  <c r="CK44" i="3"/>
  <c r="CG44" i="3"/>
  <c r="CO44" i="3"/>
  <c r="DR42" i="3"/>
  <c r="CF44" i="3"/>
  <c r="CC44" i="3"/>
  <c r="CU44" i="3" s="1"/>
  <c r="CE44" i="3"/>
  <c r="CX44" i="3"/>
  <c r="DP44" i="3" s="1"/>
  <c r="DA44" i="3"/>
  <c r="CZ44" i="3"/>
  <c r="BT24" i="3"/>
  <c r="BG25" i="3"/>
  <c r="BQ25" i="3"/>
  <c r="BM25" i="3"/>
  <c r="BI25" i="3"/>
  <c r="BP25" i="3"/>
  <c r="BL25" i="3"/>
  <c r="BH25" i="3"/>
  <c r="BU25" i="3"/>
  <c r="BO25" i="3"/>
  <c r="BK25" i="3"/>
  <c r="BS25" i="3"/>
  <c r="BN25" i="3"/>
  <c r="BJ25" i="3"/>
  <c r="BX23" i="3"/>
  <c r="BB25" i="3"/>
  <c r="BF25" i="3"/>
  <c r="BD25" i="3"/>
  <c r="BV25" i="3" s="1"/>
  <c r="BW25" i="3"/>
  <c r="DN44" i="3" l="1"/>
  <c r="CS44" i="3"/>
  <c r="DJ45" i="3"/>
  <c r="DF45" i="3"/>
  <c r="DB45" i="3"/>
  <c r="DO45" i="3"/>
  <c r="DI45" i="3"/>
  <c r="DE45" i="3"/>
  <c r="DM45" i="3"/>
  <c r="DH45" i="3"/>
  <c r="DD45" i="3"/>
  <c r="DQ45" i="3"/>
  <c r="DK45" i="3"/>
  <c r="DG45" i="3"/>
  <c r="DC45" i="3"/>
  <c r="CJ45" i="3"/>
  <c r="CN45" i="3"/>
  <c r="CG45" i="3"/>
  <c r="CK45" i="3"/>
  <c r="CO45" i="3"/>
  <c r="CT45" i="3"/>
  <c r="CM45" i="3"/>
  <c r="CH45" i="3"/>
  <c r="CP45" i="3"/>
  <c r="CL45" i="3"/>
  <c r="CV45" i="3"/>
  <c r="CI45" i="3"/>
  <c r="CR45" i="3"/>
  <c r="DR43" i="3"/>
  <c r="CZ45" i="3"/>
  <c r="CX45" i="3"/>
  <c r="DP45" i="3" s="1"/>
  <c r="DA45" i="3"/>
  <c r="CC45" i="3"/>
  <c r="CU45" i="3" s="1"/>
  <c r="CE45" i="3"/>
  <c r="CF45" i="3"/>
  <c r="BG26" i="3"/>
  <c r="BP26" i="3"/>
  <c r="BL26" i="3"/>
  <c r="BH26" i="3"/>
  <c r="BU26" i="3"/>
  <c r="BO26" i="3"/>
  <c r="BK26" i="3"/>
  <c r="BS26" i="3"/>
  <c r="BN26" i="3"/>
  <c r="BJ26" i="3"/>
  <c r="BQ26" i="3"/>
  <c r="BM26" i="3"/>
  <c r="BI26" i="3"/>
  <c r="BT25" i="3"/>
  <c r="BX24" i="3"/>
  <c r="BF26" i="3"/>
  <c r="BW26" i="3"/>
  <c r="BD26" i="3"/>
  <c r="BV26" i="3" s="1"/>
  <c r="BB26" i="3"/>
  <c r="CG46" i="3" l="1"/>
  <c r="CK46" i="3"/>
  <c r="CO46" i="3"/>
  <c r="CH46" i="3"/>
  <c r="CL46" i="3"/>
  <c r="CP46" i="3"/>
  <c r="CV46" i="3"/>
  <c r="CN46" i="3"/>
  <c r="CI46" i="3"/>
  <c r="CR46" i="3"/>
  <c r="CM46" i="3"/>
  <c r="CJ46" i="3"/>
  <c r="CT46" i="3"/>
  <c r="DM46" i="3"/>
  <c r="DH46" i="3"/>
  <c r="DD46" i="3"/>
  <c r="DQ46" i="3"/>
  <c r="DK46" i="3"/>
  <c r="DG46" i="3"/>
  <c r="DC46" i="3"/>
  <c r="DJ46" i="3"/>
  <c r="DF46" i="3"/>
  <c r="DB46" i="3"/>
  <c r="DO46" i="3"/>
  <c r="DI46" i="3"/>
  <c r="DE46" i="3"/>
  <c r="CS45" i="3"/>
  <c r="DN45" i="3"/>
  <c r="CE46" i="3"/>
  <c r="CF46" i="3"/>
  <c r="CC46" i="3"/>
  <c r="CU46" i="3" s="1"/>
  <c r="DR44" i="3"/>
  <c r="CZ46" i="3"/>
  <c r="DA46" i="3"/>
  <c r="CX46" i="3"/>
  <c r="DP46" i="3" s="1"/>
  <c r="BT26" i="3"/>
  <c r="BG27" i="3"/>
  <c r="BP27" i="3"/>
  <c r="BS27" i="3"/>
  <c r="BN27" i="3"/>
  <c r="BQ27" i="3"/>
  <c r="BK27" i="3"/>
  <c r="BO27" i="3"/>
  <c r="BJ27" i="3"/>
  <c r="BM27" i="3"/>
  <c r="BI27" i="3"/>
  <c r="BU27" i="3"/>
  <c r="BL27" i="3"/>
  <c r="BH27" i="3"/>
  <c r="BX25" i="3"/>
  <c r="BB27" i="3"/>
  <c r="BF27" i="3"/>
  <c r="BW27" i="3"/>
  <c r="BD27" i="3"/>
  <c r="BV27" i="3" s="1"/>
  <c r="DN46" i="3" l="1"/>
  <c r="DJ47" i="3"/>
  <c r="DF47" i="3"/>
  <c r="DB47" i="3"/>
  <c r="DO47" i="3"/>
  <c r="DI47" i="3"/>
  <c r="DE47" i="3"/>
  <c r="DM47" i="3"/>
  <c r="DH47" i="3"/>
  <c r="DD47" i="3"/>
  <c r="DQ47" i="3"/>
  <c r="DK47" i="3"/>
  <c r="DG47" i="3"/>
  <c r="DC47" i="3"/>
  <c r="CI47" i="3"/>
  <c r="CM47" i="3"/>
  <c r="CR47" i="3"/>
  <c r="CJ47" i="3"/>
  <c r="CN47" i="3"/>
  <c r="CT47" i="3"/>
  <c r="CK47" i="3"/>
  <c r="CP47" i="3"/>
  <c r="CL47" i="3"/>
  <c r="CV47" i="3"/>
  <c r="CG47" i="3"/>
  <c r="CO47" i="3"/>
  <c r="CH47" i="3"/>
  <c r="CS46" i="3"/>
  <c r="CX47" i="3"/>
  <c r="DP47" i="3" s="1"/>
  <c r="CZ47" i="3"/>
  <c r="DA47" i="3"/>
  <c r="DR45" i="3"/>
  <c r="CF47" i="3"/>
  <c r="CE47" i="3"/>
  <c r="CC47" i="3"/>
  <c r="CU47" i="3" s="1"/>
  <c r="BT27" i="3"/>
  <c r="BG28" i="3"/>
  <c r="BP28" i="3"/>
  <c r="BL28" i="3"/>
  <c r="BH28" i="3"/>
  <c r="BU28" i="3"/>
  <c r="BO28" i="3"/>
  <c r="BK28" i="3"/>
  <c r="BS28" i="3"/>
  <c r="BN28" i="3"/>
  <c r="BQ28" i="3"/>
  <c r="BM28" i="3"/>
  <c r="BI28" i="3"/>
  <c r="BJ28" i="3"/>
  <c r="BX26" i="3"/>
  <c r="BF28" i="3"/>
  <c r="BD28" i="3"/>
  <c r="BV28" i="3" s="1"/>
  <c r="BW28" i="3"/>
  <c r="BB28" i="3"/>
  <c r="CS47" i="3" l="1"/>
  <c r="DN47" i="3"/>
  <c r="CG48" i="3"/>
  <c r="CK48" i="3"/>
  <c r="CH48" i="3"/>
  <c r="CL48" i="3"/>
  <c r="CJ48" i="3"/>
  <c r="CP48" i="3"/>
  <c r="CM48" i="3"/>
  <c r="CR48" i="3"/>
  <c r="CI48" i="3"/>
  <c r="CO48" i="3"/>
  <c r="CN48" i="3"/>
  <c r="CT48" i="3"/>
  <c r="CV48" i="3"/>
  <c r="DM48" i="3"/>
  <c r="DH48" i="3"/>
  <c r="DD48" i="3"/>
  <c r="DQ48" i="3"/>
  <c r="DK48" i="3"/>
  <c r="DG48" i="3"/>
  <c r="DC48" i="3"/>
  <c r="DJ48" i="3"/>
  <c r="DF48" i="3"/>
  <c r="DB48" i="3"/>
  <c r="DO48" i="3"/>
  <c r="DI48" i="3"/>
  <c r="DE48" i="3"/>
  <c r="DR46" i="3"/>
  <c r="DA48" i="3"/>
  <c r="CZ48" i="3"/>
  <c r="CX48" i="3"/>
  <c r="DP48" i="3" s="1"/>
  <c r="CC48" i="3"/>
  <c r="CU48" i="3" s="1"/>
  <c r="CF48" i="3"/>
  <c r="CE48" i="3"/>
  <c r="BT28" i="3"/>
  <c r="BG29" i="3"/>
  <c r="BU29" i="3"/>
  <c r="BO29" i="3"/>
  <c r="BK29" i="3"/>
  <c r="BS29" i="3"/>
  <c r="BN29" i="3"/>
  <c r="BJ29" i="3"/>
  <c r="BQ29" i="3"/>
  <c r="BM29" i="3"/>
  <c r="BI29" i="3"/>
  <c r="BP29" i="3"/>
  <c r="BL29" i="3"/>
  <c r="BH29" i="3"/>
  <c r="T4" i="6"/>
  <c r="T9" i="6"/>
  <c r="T12" i="6"/>
  <c r="BX27" i="3"/>
  <c r="BF29" i="3"/>
  <c r="BW29" i="3"/>
  <c r="BD29" i="3"/>
  <c r="BV29" i="3" s="1"/>
  <c r="BB29" i="3"/>
  <c r="CN49" i="3" l="1"/>
  <c r="CG49" i="3"/>
  <c r="CK49" i="3"/>
  <c r="CO49" i="3"/>
  <c r="CT49" i="3"/>
  <c r="CI49" i="3"/>
  <c r="CV49" i="3"/>
  <c r="CJ49" i="3"/>
  <c r="CH49" i="3"/>
  <c r="CL49" i="3"/>
  <c r="CP49" i="3"/>
  <c r="CM49" i="3"/>
  <c r="CR49" i="3"/>
  <c r="DJ49" i="3"/>
  <c r="DF49" i="3"/>
  <c r="DB49" i="3"/>
  <c r="DO49" i="3"/>
  <c r="DI49" i="3"/>
  <c r="DE49" i="3"/>
  <c r="DM49" i="3"/>
  <c r="DH49" i="3"/>
  <c r="DD49" i="3"/>
  <c r="DQ49" i="3"/>
  <c r="DK49" i="3"/>
  <c r="DG49" i="3"/>
  <c r="DC49" i="3"/>
  <c r="DN48" i="3"/>
  <c r="CS48" i="3"/>
  <c r="DR47" i="3"/>
  <c r="CE49" i="3"/>
  <c r="CC49" i="3"/>
  <c r="CU49" i="3" s="1"/>
  <c r="CF49" i="3"/>
  <c r="CZ49" i="3"/>
  <c r="CX49" i="3"/>
  <c r="DP49" i="3" s="1"/>
  <c r="DA49" i="3"/>
  <c r="BT29" i="3"/>
  <c r="BG30" i="3"/>
  <c r="BS30" i="3"/>
  <c r="BN30" i="3"/>
  <c r="BJ30" i="3"/>
  <c r="BQ30" i="3"/>
  <c r="BM30" i="3"/>
  <c r="BI30" i="3"/>
  <c r="BP30" i="3"/>
  <c r="BL30" i="3"/>
  <c r="BH30" i="3"/>
  <c r="BU30" i="3"/>
  <c r="BO30" i="3"/>
  <c r="BK30" i="3"/>
  <c r="BX28" i="3"/>
  <c r="BB30" i="3"/>
  <c r="BF30" i="3"/>
  <c r="BD30" i="3"/>
  <c r="BV30" i="3" s="1"/>
  <c r="BW30" i="3"/>
  <c r="DM50" i="3" l="1"/>
  <c r="DM54" i="3" s="1"/>
  <c r="DH50" i="3"/>
  <c r="DH54" i="3" s="1"/>
  <c r="DD50" i="3"/>
  <c r="DQ50" i="3"/>
  <c r="DK50" i="3"/>
  <c r="DK54" i="3" s="1"/>
  <c r="DG50" i="3"/>
  <c r="DG54" i="3" s="1"/>
  <c r="DC50" i="3"/>
  <c r="DJ50" i="3"/>
  <c r="DF50" i="3"/>
  <c r="DF54" i="3" s="1"/>
  <c r="DB50" i="3"/>
  <c r="DO50" i="3"/>
  <c r="DI50" i="3"/>
  <c r="DI54" i="3" s="1"/>
  <c r="DE50" i="3"/>
  <c r="CG50" i="3"/>
  <c r="CH50" i="3"/>
  <c r="CL50" i="3"/>
  <c r="CL54" i="3" s="1"/>
  <c r="CP50" i="3"/>
  <c r="CV50" i="3"/>
  <c r="CJ50" i="3"/>
  <c r="CK50" i="3"/>
  <c r="CK54" i="3" s="1"/>
  <c r="CI50" i="3"/>
  <c r="CM50" i="3"/>
  <c r="CM54" i="3" s="1"/>
  <c r="CR50" i="3"/>
  <c r="CN50" i="3"/>
  <c r="CN54" i="3" s="1"/>
  <c r="CT50" i="3"/>
  <c r="CO50" i="3"/>
  <c r="DN49" i="3"/>
  <c r="CS49" i="3"/>
  <c r="DR48" i="3"/>
  <c r="CE50" i="3"/>
  <c r="CF50" i="3"/>
  <c r="CC50" i="3"/>
  <c r="CU50" i="3" s="1"/>
  <c r="CX50" i="3"/>
  <c r="DP50" i="3" s="1"/>
  <c r="CZ50" i="3"/>
  <c r="DA50" i="3"/>
  <c r="BG31" i="3"/>
  <c r="BQ31" i="3"/>
  <c r="BM31" i="3"/>
  <c r="BI31" i="3"/>
  <c r="BP31" i="3"/>
  <c r="BL31" i="3"/>
  <c r="BH31" i="3"/>
  <c r="BU31" i="3"/>
  <c r="BO31" i="3"/>
  <c r="BK31" i="3"/>
  <c r="BS31" i="3"/>
  <c r="BN31" i="3"/>
  <c r="BJ31" i="3"/>
  <c r="BT30" i="3"/>
  <c r="AN31" i="3"/>
  <c r="AR31" i="3"/>
  <c r="AV31" i="3"/>
  <c r="AP31" i="3"/>
  <c r="AT31" i="3"/>
  <c r="AZ31" i="3"/>
  <c r="AQ31" i="3"/>
  <c r="AS31" i="3"/>
  <c r="AM31" i="3"/>
  <c r="AU31" i="3"/>
  <c r="AO31" i="3"/>
  <c r="AX31" i="3"/>
  <c r="AL31" i="3"/>
  <c r="BX29" i="3"/>
  <c r="BD31" i="3"/>
  <c r="BV31" i="3" s="1"/>
  <c r="BF31" i="3"/>
  <c r="BW31" i="3"/>
  <c r="BB31" i="3"/>
  <c r="AI31" i="3"/>
  <c r="BA31" i="3" s="1"/>
  <c r="AK31" i="3"/>
  <c r="DR49" i="3" l="1"/>
  <c r="CS50" i="3"/>
  <c r="DN50" i="3"/>
  <c r="CN55" i="3"/>
  <c r="BO62" i="3" s="1"/>
  <c r="DP54" i="3"/>
  <c r="CU54" i="3"/>
  <c r="CM55" i="3"/>
  <c r="BN62" i="3" s="1"/>
  <c r="CL55" i="3"/>
  <c r="BM62" i="3" s="1"/>
  <c r="CK55" i="3"/>
  <c r="BL62" i="3" s="1"/>
  <c r="DO54" i="3"/>
  <c r="CP54" i="3"/>
  <c r="CP55" i="3" s="1"/>
  <c r="BQ62" i="3" s="1"/>
  <c r="BR61" i="3"/>
  <c r="L18" i="6" s="1"/>
  <c r="CT54" i="3"/>
  <c r="CR54" i="3"/>
  <c r="CR55" i="3" s="1"/>
  <c r="BS62" i="3" s="1"/>
  <c r="AY31" i="3"/>
  <c r="BT31" i="3"/>
  <c r="BG32" i="3"/>
  <c r="BP32" i="3"/>
  <c r="BL32" i="3"/>
  <c r="BH32" i="3"/>
  <c r="BU32" i="3"/>
  <c r="BO32" i="3"/>
  <c r="BK32" i="3"/>
  <c r="BS32" i="3"/>
  <c r="BN32" i="3"/>
  <c r="BJ32" i="3"/>
  <c r="BQ32" i="3"/>
  <c r="BM32" i="3"/>
  <c r="BI32" i="3"/>
  <c r="AM32" i="3"/>
  <c r="AQ32" i="3"/>
  <c r="AU32" i="3"/>
  <c r="AO32" i="3"/>
  <c r="AS32" i="3"/>
  <c r="AX32" i="3"/>
  <c r="AT32" i="3"/>
  <c r="AN32" i="3"/>
  <c r="AV32" i="3"/>
  <c r="AP32" i="3"/>
  <c r="AZ32" i="3"/>
  <c r="AR32" i="3"/>
  <c r="AL32" i="3"/>
  <c r="BX30" i="3"/>
  <c r="BF32" i="3"/>
  <c r="BW32" i="3"/>
  <c r="BD32" i="3"/>
  <c r="BV32" i="3" s="1"/>
  <c r="AI32" i="3"/>
  <c r="BA32" i="3" s="1"/>
  <c r="BB32" i="3"/>
  <c r="AK32" i="3"/>
  <c r="CU55" i="3" l="1"/>
  <c r="CT55" i="3"/>
  <c r="BU62" i="3" s="1"/>
  <c r="BG33" i="3"/>
  <c r="BU33" i="3"/>
  <c r="BO33" i="3"/>
  <c r="BK33" i="3"/>
  <c r="BS33" i="3"/>
  <c r="BN33" i="3"/>
  <c r="BJ33" i="3"/>
  <c r="BQ33" i="3"/>
  <c r="BM33" i="3"/>
  <c r="BI33" i="3"/>
  <c r="BP33" i="3"/>
  <c r="BL33" i="3"/>
  <c r="BH33" i="3"/>
  <c r="BT32" i="3"/>
  <c r="AM33" i="3"/>
  <c r="AQ33" i="3"/>
  <c r="AU33" i="3"/>
  <c r="AN33" i="3"/>
  <c r="AR33" i="3"/>
  <c r="AV33" i="3"/>
  <c r="AO33" i="3"/>
  <c r="AS33" i="3"/>
  <c r="AX33" i="3"/>
  <c r="AP33" i="3"/>
  <c r="AT33" i="3"/>
  <c r="AZ33" i="3"/>
  <c r="AY32" i="3"/>
  <c r="AL33" i="3"/>
  <c r="BX31" i="3"/>
  <c r="BF33" i="3"/>
  <c r="BW33" i="3"/>
  <c r="BD33" i="3"/>
  <c r="BV33" i="3" s="1"/>
  <c r="BB33" i="3"/>
  <c r="AK33" i="3"/>
  <c r="AI33" i="3"/>
  <c r="BA33" i="3" s="1"/>
  <c r="CU56" i="3" l="1"/>
  <c r="BV63" i="3" s="1"/>
  <c r="BV62" i="3"/>
  <c r="DR50" i="3"/>
  <c r="BT33" i="3"/>
  <c r="BG34" i="3"/>
  <c r="BS34" i="3"/>
  <c r="BN34" i="3"/>
  <c r="BJ34" i="3"/>
  <c r="BQ34" i="3"/>
  <c r="BM34" i="3"/>
  <c r="BI34" i="3"/>
  <c r="BP34" i="3"/>
  <c r="BL34" i="3"/>
  <c r="BH34" i="3"/>
  <c r="BU34" i="3"/>
  <c r="BO34" i="3"/>
  <c r="BK34" i="3"/>
  <c r="AP34" i="3"/>
  <c r="AT34" i="3"/>
  <c r="AZ34" i="3"/>
  <c r="AM34" i="3"/>
  <c r="AQ34" i="3"/>
  <c r="AU34" i="3"/>
  <c r="AN34" i="3"/>
  <c r="AR34" i="3"/>
  <c r="AV34" i="3"/>
  <c r="AO34" i="3"/>
  <c r="AS34" i="3"/>
  <c r="AX34" i="3"/>
  <c r="AY33" i="3"/>
  <c r="AL34" i="3"/>
  <c r="C53" i="7"/>
  <c r="BX32" i="3"/>
  <c r="BB34" i="3"/>
  <c r="AI34" i="3"/>
  <c r="BA34" i="3" s="1"/>
  <c r="AK34" i="3"/>
  <c r="BF34" i="3"/>
  <c r="BD34" i="3"/>
  <c r="BV34" i="3" s="1"/>
  <c r="BW34" i="3"/>
  <c r="BT34" i="3" l="1"/>
  <c r="BG35" i="3"/>
  <c r="BQ35" i="3"/>
  <c r="BM35" i="3"/>
  <c r="BI35" i="3"/>
  <c r="BP35" i="3"/>
  <c r="BL35" i="3"/>
  <c r="BH35" i="3"/>
  <c r="BU35" i="3"/>
  <c r="BO35" i="3"/>
  <c r="BK35" i="3"/>
  <c r="BS35" i="3"/>
  <c r="BN35" i="3"/>
  <c r="BJ35" i="3"/>
  <c r="AY34" i="3"/>
  <c r="AO35" i="3"/>
  <c r="AS35" i="3"/>
  <c r="AX35" i="3"/>
  <c r="AP35" i="3"/>
  <c r="AT35" i="3"/>
  <c r="AZ35" i="3"/>
  <c r="AM35" i="3"/>
  <c r="AQ35" i="3"/>
  <c r="AU35" i="3"/>
  <c r="AN35" i="3"/>
  <c r="AR35" i="3"/>
  <c r="AV35" i="3"/>
  <c r="AL35" i="3"/>
  <c r="BX33" i="3"/>
  <c r="AI35" i="3"/>
  <c r="BA35" i="3" s="1"/>
  <c r="BB35" i="3"/>
  <c r="AK35" i="3"/>
  <c r="BD35" i="3"/>
  <c r="BV35" i="3" s="1"/>
  <c r="BF35" i="3"/>
  <c r="BW35" i="3"/>
  <c r="B38" i="5"/>
  <c r="C38" i="5" s="1"/>
  <c r="C44" i="7" s="1"/>
  <c r="BG36" i="3" l="1"/>
  <c r="BP36" i="3"/>
  <c r="BL36" i="3"/>
  <c r="BH36" i="3"/>
  <c r="BU36" i="3"/>
  <c r="BO36" i="3"/>
  <c r="BK36" i="3"/>
  <c r="BS36" i="3"/>
  <c r="BN36" i="3"/>
  <c r="BJ36" i="3"/>
  <c r="BQ36" i="3"/>
  <c r="BM36" i="3"/>
  <c r="BI36" i="3"/>
  <c r="BT35" i="3"/>
  <c r="AY35" i="3"/>
  <c r="AN36" i="3"/>
  <c r="AR36" i="3"/>
  <c r="AV36" i="3"/>
  <c r="AO36" i="3"/>
  <c r="AS36" i="3"/>
  <c r="AX36" i="3"/>
  <c r="AP36" i="3"/>
  <c r="AT36" i="3"/>
  <c r="AZ36" i="3"/>
  <c r="AM36" i="3"/>
  <c r="AQ36" i="3"/>
  <c r="AU36" i="3"/>
  <c r="AL36" i="3"/>
  <c r="BX34" i="3"/>
  <c r="BB36" i="3"/>
  <c r="AK36" i="3"/>
  <c r="AI36" i="3"/>
  <c r="BA36" i="3" s="1"/>
  <c r="BF36" i="3"/>
  <c r="BD36" i="3"/>
  <c r="BV36" i="3" s="1"/>
  <c r="BW36" i="3"/>
  <c r="BT36" i="3" l="1"/>
  <c r="BG37" i="3"/>
  <c r="BU37" i="3"/>
  <c r="BO37" i="3"/>
  <c r="BK37" i="3"/>
  <c r="BS37" i="3"/>
  <c r="BN37" i="3"/>
  <c r="BJ37" i="3"/>
  <c r="BQ37" i="3"/>
  <c r="BM37" i="3"/>
  <c r="BI37" i="3"/>
  <c r="BP37" i="3"/>
  <c r="BL37" i="3"/>
  <c r="BH37" i="3"/>
  <c r="AY36" i="3"/>
  <c r="AM37" i="3"/>
  <c r="AQ37" i="3"/>
  <c r="AU37" i="3"/>
  <c r="AN37" i="3"/>
  <c r="AR37" i="3"/>
  <c r="AV37" i="3"/>
  <c r="AO37" i="3"/>
  <c r="AS37" i="3"/>
  <c r="AX37" i="3"/>
  <c r="AP37" i="3"/>
  <c r="AT37" i="3"/>
  <c r="AZ37" i="3"/>
  <c r="AL37" i="3"/>
  <c r="BX35" i="3"/>
  <c r="BD37" i="3"/>
  <c r="BV37" i="3" s="1"/>
  <c r="BF37" i="3"/>
  <c r="BW37" i="3"/>
  <c r="AI37" i="3"/>
  <c r="BA37" i="3" s="1"/>
  <c r="AK37" i="3"/>
  <c r="BB37" i="3"/>
  <c r="BT37" i="3" l="1"/>
  <c r="BG38" i="3"/>
  <c r="BS38" i="3"/>
  <c r="BN38" i="3"/>
  <c r="BJ38" i="3"/>
  <c r="BQ38" i="3"/>
  <c r="BM38" i="3"/>
  <c r="BI38" i="3"/>
  <c r="BP38" i="3"/>
  <c r="BL38" i="3"/>
  <c r="BH38" i="3"/>
  <c r="BU38" i="3"/>
  <c r="BO38" i="3"/>
  <c r="BK38" i="3"/>
  <c r="AP38" i="3"/>
  <c r="AT38" i="3"/>
  <c r="AZ38" i="3"/>
  <c r="AM38" i="3"/>
  <c r="AQ38" i="3"/>
  <c r="AU38" i="3"/>
  <c r="AN38" i="3"/>
  <c r="AR38" i="3"/>
  <c r="AV38" i="3"/>
  <c r="AO38" i="3"/>
  <c r="AS38" i="3"/>
  <c r="AX38" i="3"/>
  <c r="AY37" i="3"/>
  <c r="AL38" i="3"/>
  <c r="BX36" i="3"/>
  <c r="BF38" i="3"/>
  <c r="BW38" i="3"/>
  <c r="BD38" i="3"/>
  <c r="BV38" i="3" s="1"/>
  <c r="BB38" i="3"/>
  <c r="AK38" i="3"/>
  <c r="AI38" i="3"/>
  <c r="BA38" i="3" s="1"/>
  <c r="BT38" i="3" l="1"/>
  <c r="BG39" i="3"/>
  <c r="BQ39" i="3"/>
  <c r="BM39" i="3"/>
  <c r="BI39" i="3"/>
  <c r="BP39" i="3"/>
  <c r="BL39" i="3"/>
  <c r="BH39" i="3"/>
  <c r="BU39" i="3"/>
  <c r="BO39" i="3"/>
  <c r="BK39" i="3"/>
  <c r="BS39" i="3"/>
  <c r="BN39" i="3"/>
  <c r="BJ39" i="3"/>
  <c r="AO39" i="3"/>
  <c r="AS39" i="3"/>
  <c r="AX39" i="3"/>
  <c r="AP39" i="3"/>
  <c r="AT39" i="3"/>
  <c r="AZ39" i="3"/>
  <c r="AM39" i="3"/>
  <c r="AQ39" i="3"/>
  <c r="AU39" i="3"/>
  <c r="AN39" i="3"/>
  <c r="AR39" i="3"/>
  <c r="AV39" i="3"/>
  <c r="AY38" i="3"/>
  <c r="AL39" i="3"/>
  <c r="BX37" i="3"/>
  <c r="BB39" i="3"/>
  <c r="AK39" i="3"/>
  <c r="AI39" i="3"/>
  <c r="BA39" i="3" s="1"/>
  <c r="BW39" i="3"/>
  <c r="BD39" i="3"/>
  <c r="BV39" i="3" s="1"/>
  <c r="BF39" i="3"/>
  <c r="BT39" i="3" l="1"/>
  <c r="BG40" i="3"/>
  <c r="BP40" i="3"/>
  <c r="BL40" i="3"/>
  <c r="BH40" i="3"/>
  <c r="BU40" i="3"/>
  <c r="BO40" i="3"/>
  <c r="BK40" i="3"/>
  <c r="BS40" i="3"/>
  <c r="BN40" i="3"/>
  <c r="BJ40" i="3"/>
  <c r="BQ40" i="3"/>
  <c r="BM40" i="3"/>
  <c r="BI40" i="3"/>
  <c r="AN40" i="3"/>
  <c r="AR40" i="3"/>
  <c r="AV40" i="3"/>
  <c r="AO40" i="3"/>
  <c r="AS40" i="3"/>
  <c r="AX40" i="3"/>
  <c r="AP40" i="3"/>
  <c r="AT40" i="3"/>
  <c r="AZ40" i="3"/>
  <c r="AM40" i="3"/>
  <c r="AQ40" i="3"/>
  <c r="AU40" i="3"/>
  <c r="AY39" i="3"/>
  <c r="AL40" i="3"/>
  <c r="BX38" i="3"/>
  <c r="AI40" i="3"/>
  <c r="BA40" i="3" s="1"/>
  <c r="BB40" i="3"/>
  <c r="AK40" i="3"/>
  <c r="BD40" i="3"/>
  <c r="BV40" i="3" s="1"/>
  <c r="BF40" i="3"/>
  <c r="BW40" i="3"/>
  <c r="BG41" i="3" l="1"/>
  <c r="BU41" i="3"/>
  <c r="BO41" i="3"/>
  <c r="BK41" i="3"/>
  <c r="BS41" i="3"/>
  <c r="BN41" i="3"/>
  <c r="BJ41" i="3"/>
  <c r="BQ41" i="3"/>
  <c r="BM41" i="3"/>
  <c r="BI41" i="3"/>
  <c r="BP41" i="3"/>
  <c r="BL41" i="3"/>
  <c r="BH41" i="3"/>
  <c r="BT40" i="3"/>
  <c r="AY40" i="3"/>
  <c r="AM41" i="3"/>
  <c r="AQ41" i="3"/>
  <c r="AU41" i="3"/>
  <c r="AN41" i="3"/>
  <c r="AR41" i="3"/>
  <c r="AV41" i="3"/>
  <c r="AO41" i="3"/>
  <c r="AS41" i="3"/>
  <c r="AX41" i="3"/>
  <c r="AP41" i="3"/>
  <c r="AT41" i="3"/>
  <c r="AZ41" i="3"/>
  <c r="AL41" i="3"/>
  <c r="BX39" i="3"/>
  <c r="BD41" i="3"/>
  <c r="BV41" i="3" s="1"/>
  <c r="BF41" i="3"/>
  <c r="BW41" i="3"/>
  <c r="AI41" i="3"/>
  <c r="BA41" i="3" s="1"/>
  <c r="BB41" i="3"/>
  <c r="AK41" i="3"/>
  <c r="BT41" i="3" l="1"/>
  <c r="BG42" i="3"/>
  <c r="BS42" i="3"/>
  <c r="BN42" i="3"/>
  <c r="BJ42" i="3"/>
  <c r="BQ42" i="3"/>
  <c r="BM42" i="3"/>
  <c r="BI42" i="3"/>
  <c r="BP42" i="3"/>
  <c r="BL42" i="3"/>
  <c r="BH42" i="3"/>
  <c r="BU42" i="3"/>
  <c r="BO42" i="3"/>
  <c r="BK42" i="3"/>
  <c r="AY41" i="3"/>
  <c r="AP42" i="3"/>
  <c r="AT42" i="3"/>
  <c r="AZ42" i="3"/>
  <c r="AM42" i="3"/>
  <c r="AQ42" i="3"/>
  <c r="AU42" i="3"/>
  <c r="AN42" i="3"/>
  <c r="AR42" i="3"/>
  <c r="AV42" i="3"/>
  <c r="AO42" i="3"/>
  <c r="AS42" i="3"/>
  <c r="AX42" i="3"/>
  <c r="AL42" i="3"/>
  <c r="BX40" i="3"/>
  <c r="AK42" i="3"/>
  <c r="BB42" i="3"/>
  <c r="AI42" i="3"/>
  <c r="BA42" i="3" s="1"/>
  <c r="BF42" i="3"/>
  <c r="BW42" i="3"/>
  <c r="BD42" i="3"/>
  <c r="BV42" i="3" s="1"/>
  <c r="BG43" i="3" l="1"/>
  <c r="BQ43" i="3"/>
  <c r="BM43" i="3"/>
  <c r="BI43" i="3"/>
  <c r="BP43" i="3"/>
  <c r="BL43" i="3"/>
  <c r="BH43" i="3"/>
  <c r="BU43" i="3"/>
  <c r="BO43" i="3"/>
  <c r="BK43" i="3"/>
  <c r="BS43" i="3"/>
  <c r="BN43" i="3"/>
  <c r="BJ43" i="3"/>
  <c r="BT42" i="3"/>
  <c r="AO43" i="3"/>
  <c r="AS43" i="3"/>
  <c r="AX43" i="3"/>
  <c r="AP43" i="3"/>
  <c r="AT43" i="3"/>
  <c r="AZ43" i="3"/>
  <c r="AM43" i="3"/>
  <c r="AQ43" i="3"/>
  <c r="AU43" i="3"/>
  <c r="AN43" i="3"/>
  <c r="AR43" i="3"/>
  <c r="AV43" i="3"/>
  <c r="AY42" i="3"/>
  <c r="AL43" i="3"/>
  <c r="BX41" i="3"/>
  <c r="AK43" i="3"/>
  <c r="BB43" i="3"/>
  <c r="AI43" i="3"/>
  <c r="BA43" i="3" s="1"/>
  <c r="BD43" i="3"/>
  <c r="BV43" i="3" s="1"/>
  <c r="BW43" i="3"/>
  <c r="BF43" i="3"/>
  <c r="BT43" i="3" l="1"/>
  <c r="BG44" i="3"/>
  <c r="BP44" i="3"/>
  <c r="BL44" i="3"/>
  <c r="BH44" i="3"/>
  <c r="BU44" i="3"/>
  <c r="BO44" i="3"/>
  <c r="BK44" i="3"/>
  <c r="BS44" i="3"/>
  <c r="BN44" i="3"/>
  <c r="BJ44" i="3"/>
  <c r="BQ44" i="3"/>
  <c r="BM44" i="3"/>
  <c r="BI44" i="3"/>
  <c r="AY43" i="3"/>
  <c r="AN44" i="3"/>
  <c r="AR44" i="3"/>
  <c r="AV44" i="3"/>
  <c r="AO44" i="3"/>
  <c r="AS44" i="3"/>
  <c r="AX44" i="3"/>
  <c r="AP44" i="3"/>
  <c r="AT44" i="3"/>
  <c r="AZ44" i="3"/>
  <c r="AM44" i="3"/>
  <c r="AQ44" i="3"/>
  <c r="AU44" i="3"/>
  <c r="AL44" i="3"/>
  <c r="BX42" i="3"/>
  <c r="AK44" i="3"/>
  <c r="AI44" i="3"/>
  <c r="BA44" i="3" s="1"/>
  <c r="BB44" i="3"/>
  <c r="BD44" i="3"/>
  <c r="BV44" i="3" s="1"/>
  <c r="BF44" i="3"/>
  <c r="BW44" i="3"/>
  <c r="BG45" i="3" l="1"/>
  <c r="BU45" i="3"/>
  <c r="BO45" i="3"/>
  <c r="BK45" i="3"/>
  <c r="BS45" i="3"/>
  <c r="BN45" i="3"/>
  <c r="BJ45" i="3"/>
  <c r="BQ45" i="3"/>
  <c r="BM45" i="3"/>
  <c r="BI45" i="3"/>
  <c r="BP45" i="3"/>
  <c r="BL45" i="3"/>
  <c r="BH45" i="3"/>
  <c r="AY44" i="3"/>
  <c r="BT44" i="3"/>
  <c r="AM45" i="3"/>
  <c r="AQ45" i="3"/>
  <c r="AU45" i="3"/>
  <c r="AN45" i="3"/>
  <c r="AR45" i="3"/>
  <c r="AV45" i="3"/>
  <c r="AO45" i="3"/>
  <c r="AS45" i="3"/>
  <c r="AX45" i="3"/>
  <c r="AP45" i="3"/>
  <c r="AT45" i="3"/>
  <c r="AZ45" i="3"/>
  <c r="AL45" i="3"/>
  <c r="BX43" i="3"/>
  <c r="BD45" i="3"/>
  <c r="BV45" i="3" s="1"/>
  <c r="BF45" i="3"/>
  <c r="BW45" i="3"/>
  <c r="AK45" i="3"/>
  <c r="BB45" i="3"/>
  <c r="AI45" i="3"/>
  <c r="BA45" i="3" s="1"/>
  <c r="BT45" i="3" l="1"/>
  <c r="BG46" i="3"/>
  <c r="BS46" i="3"/>
  <c r="BN46" i="3"/>
  <c r="BJ46" i="3"/>
  <c r="BQ46" i="3"/>
  <c r="BM46" i="3"/>
  <c r="BI46" i="3"/>
  <c r="BP46" i="3"/>
  <c r="BL46" i="3"/>
  <c r="BH46" i="3"/>
  <c r="BU46" i="3"/>
  <c r="BO46" i="3"/>
  <c r="BK46" i="3"/>
  <c r="AP46" i="3"/>
  <c r="AT46" i="3"/>
  <c r="AZ46" i="3"/>
  <c r="AM46" i="3"/>
  <c r="AQ46" i="3"/>
  <c r="AU46" i="3"/>
  <c r="AN46" i="3"/>
  <c r="AR46" i="3"/>
  <c r="AV46" i="3"/>
  <c r="AO46" i="3"/>
  <c r="AS46" i="3"/>
  <c r="AX46" i="3"/>
  <c r="AY45" i="3"/>
  <c r="AL46" i="3"/>
  <c r="BX44" i="3"/>
  <c r="AI46" i="3"/>
  <c r="BA46" i="3" s="1"/>
  <c r="AK46" i="3"/>
  <c r="BB46" i="3"/>
  <c r="BD46" i="3"/>
  <c r="BV46" i="3" s="1"/>
  <c r="BF46" i="3"/>
  <c r="BW46" i="3"/>
  <c r="BG47" i="3" l="1"/>
  <c r="BQ47" i="3"/>
  <c r="BM47" i="3"/>
  <c r="BI47" i="3"/>
  <c r="BP47" i="3"/>
  <c r="BL47" i="3"/>
  <c r="BH47" i="3"/>
  <c r="BU47" i="3"/>
  <c r="BO47" i="3"/>
  <c r="BK47" i="3"/>
  <c r="BS47" i="3"/>
  <c r="BN47" i="3"/>
  <c r="BJ47" i="3"/>
  <c r="BT46" i="3"/>
  <c r="AO47" i="3"/>
  <c r="AS47" i="3"/>
  <c r="AX47" i="3"/>
  <c r="AP47" i="3"/>
  <c r="AT47" i="3"/>
  <c r="AZ47" i="3"/>
  <c r="AM47" i="3"/>
  <c r="AQ47" i="3"/>
  <c r="AU47" i="3"/>
  <c r="AN47" i="3"/>
  <c r="AR47" i="3"/>
  <c r="AV47" i="3"/>
  <c r="AY46" i="3"/>
  <c r="AL47" i="3"/>
  <c r="BX45" i="3"/>
  <c r="BW47" i="3"/>
  <c r="BF47" i="3"/>
  <c r="BD47" i="3"/>
  <c r="BV47" i="3" s="1"/>
  <c r="AK47" i="3"/>
  <c r="BB47" i="3"/>
  <c r="AI47" i="3"/>
  <c r="BA47" i="3" s="1"/>
  <c r="BG48" i="3" l="1"/>
  <c r="BP48" i="3"/>
  <c r="BL48" i="3"/>
  <c r="BH48" i="3"/>
  <c r="BU48" i="3"/>
  <c r="BO48" i="3"/>
  <c r="BK48" i="3"/>
  <c r="BS48" i="3"/>
  <c r="BN48" i="3"/>
  <c r="BJ48" i="3"/>
  <c r="BQ48" i="3"/>
  <c r="BM48" i="3"/>
  <c r="BI48" i="3"/>
  <c r="BT47" i="3"/>
  <c r="AN48" i="3"/>
  <c r="AR48" i="3"/>
  <c r="AV48" i="3"/>
  <c r="AO48" i="3"/>
  <c r="AS48" i="3"/>
  <c r="AX48" i="3"/>
  <c r="AP48" i="3"/>
  <c r="AT48" i="3"/>
  <c r="AZ48" i="3"/>
  <c r="AM48" i="3"/>
  <c r="AQ48" i="3"/>
  <c r="AU48" i="3"/>
  <c r="AY47" i="3"/>
  <c r="AL48" i="3"/>
  <c r="BX46" i="3"/>
  <c r="BB48" i="3"/>
  <c r="AK48" i="3"/>
  <c r="AI48" i="3"/>
  <c r="BA48" i="3" s="1"/>
  <c r="BD48" i="3"/>
  <c r="BV48" i="3" s="1"/>
  <c r="BF48" i="3"/>
  <c r="BW48" i="3"/>
  <c r="BT48" i="3" l="1"/>
  <c r="BG49" i="3"/>
  <c r="BU49" i="3"/>
  <c r="BO49" i="3"/>
  <c r="BK49" i="3"/>
  <c r="BS49" i="3"/>
  <c r="BN49" i="3"/>
  <c r="BJ49" i="3"/>
  <c r="BQ49" i="3"/>
  <c r="BM49" i="3"/>
  <c r="BI49" i="3"/>
  <c r="BP49" i="3"/>
  <c r="BL49" i="3"/>
  <c r="BH49" i="3"/>
  <c r="AM49" i="3"/>
  <c r="AQ49" i="3"/>
  <c r="AU49" i="3"/>
  <c r="AN49" i="3"/>
  <c r="AR49" i="3"/>
  <c r="AV49" i="3"/>
  <c r="AO49" i="3"/>
  <c r="AS49" i="3"/>
  <c r="AX49" i="3"/>
  <c r="AP49" i="3"/>
  <c r="AT49" i="3"/>
  <c r="AZ49" i="3"/>
  <c r="AY48" i="3"/>
  <c r="AL49" i="3"/>
  <c r="BX47" i="3"/>
  <c r="BD49" i="3"/>
  <c r="BV49" i="3" s="1"/>
  <c r="BW49" i="3"/>
  <c r="BF49" i="3"/>
  <c r="AK49" i="3"/>
  <c r="BB49" i="3"/>
  <c r="AI49" i="3"/>
  <c r="BA49" i="3" s="1"/>
  <c r="AU50" i="3" l="1"/>
  <c r="AU54" i="3" s="1"/>
  <c r="AP50" i="3"/>
  <c r="BG50" i="3"/>
  <c r="BS50" i="3"/>
  <c r="BS54" i="3" s="1"/>
  <c r="BN50" i="3"/>
  <c r="BJ50" i="3"/>
  <c r="BQ50" i="3"/>
  <c r="BQ54" i="3" s="1"/>
  <c r="BM50" i="3"/>
  <c r="BM54" i="3" s="1"/>
  <c r="BI50" i="3"/>
  <c r="BI54" i="3" s="1"/>
  <c r="BP50" i="3"/>
  <c r="BP54" i="3" s="1"/>
  <c r="BL50" i="3"/>
  <c r="BL54" i="3" s="1"/>
  <c r="BH50" i="3"/>
  <c r="BU50" i="3"/>
  <c r="BU54" i="3" s="1"/>
  <c r="BO50" i="3"/>
  <c r="BK50" i="3"/>
  <c r="BT49" i="3"/>
  <c r="AT50" i="3"/>
  <c r="AT54" i="3" s="1"/>
  <c r="AZ50" i="3"/>
  <c r="AZ54" i="3" s="1"/>
  <c r="AM50" i="3"/>
  <c r="AM54" i="3" s="1"/>
  <c r="AQ50" i="3"/>
  <c r="AQ54" i="3" s="1"/>
  <c r="AN50" i="3"/>
  <c r="AN54" i="3" s="1"/>
  <c r="AR50" i="3"/>
  <c r="AR54" i="3" s="1"/>
  <c r="AV50" i="3"/>
  <c r="AV54" i="3" s="1"/>
  <c r="AO50" i="3"/>
  <c r="AS50" i="3"/>
  <c r="AS54" i="3" s="1"/>
  <c r="AX50" i="3"/>
  <c r="AX54" i="3" s="1"/>
  <c r="AY49" i="3"/>
  <c r="AL50" i="3"/>
  <c r="BM61" i="3"/>
  <c r="BX48" i="3"/>
  <c r="BF50" i="3"/>
  <c r="BW50" i="3"/>
  <c r="BD50" i="3"/>
  <c r="BV50" i="3" s="1"/>
  <c r="AI50" i="3"/>
  <c r="BA50" i="3" s="1"/>
  <c r="AK50" i="3"/>
  <c r="BB50" i="3"/>
  <c r="BV61" i="3"/>
  <c r="BO61" i="3"/>
  <c r="BS61" i="3"/>
  <c r="BN61" i="3"/>
  <c r="BP61" i="3"/>
  <c r="BV54" i="3" l="1"/>
  <c r="AV55" i="3"/>
  <c r="AX55" i="3"/>
  <c r="AR55" i="3"/>
  <c r="AZ55" i="3"/>
  <c r="AN55" i="3"/>
  <c r="AU55" i="3"/>
  <c r="AQ55" i="3"/>
  <c r="BT50" i="3"/>
  <c r="AY50" i="3"/>
  <c r="G18" i="6"/>
  <c r="K18" i="6"/>
  <c r="H18" i="6"/>
  <c r="R18" i="6"/>
  <c r="F18" i="6"/>
  <c r="O18" i="6"/>
  <c r="BX49" i="3"/>
  <c r="I18" i="6"/>
  <c r="BT61" i="3"/>
  <c r="BN54" i="3"/>
  <c r="AS55" i="3" s="1"/>
  <c r="BO54" i="3"/>
  <c r="AT55" i="3" s="1"/>
  <c r="BH54" i="3"/>
  <c r="AM55" i="3" s="1"/>
  <c r="M18" i="6"/>
  <c r="BA54" i="3" l="1"/>
  <c r="BA55" i="3" s="1"/>
  <c r="R17" i="6" s="1"/>
  <c r="W18" i="6"/>
  <c r="L83" i="7"/>
  <c r="BA56" i="3" l="1"/>
  <c r="BX50" i="3"/>
  <c r="F12" i="5"/>
  <c r="L12" i="5"/>
  <c r="X305" i="1" l="1"/>
  <c r="AA305" i="1" s="1"/>
  <c r="X303" i="1"/>
  <c r="AA303" i="1" s="1"/>
  <c r="AA302" i="1"/>
  <c r="AD302" i="1" s="1"/>
  <c r="X301" i="1"/>
  <c r="AA301" i="1" s="1"/>
  <c r="AG300" i="1"/>
  <c r="AH300" i="1" s="1"/>
  <c r="AF300" i="1"/>
  <c r="X299" i="1"/>
  <c r="AA299" i="1" s="1"/>
  <c r="X298" i="1"/>
  <c r="AA298" i="1" s="1"/>
  <c r="X297" i="1"/>
  <c r="AA297" i="1" s="1"/>
  <c r="AD296" i="1"/>
  <c r="AG296" i="1" s="1"/>
  <c r="AD295" i="1"/>
  <c r="AG295" i="1" s="1"/>
  <c r="AH295" i="1" s="1"/>
  <c r="X294" i="1"/>
  <c r="AA294" i="1" s="1"/>
  <c r="X293" i="1"/>
  <c r="AA293" i="1" s="1"/>
  <c r="AD292" i="1"/>
  <c r="AG292" i="1" s="1"/>
  <c r="AH292" i="1" s="1"/>
  <c r="X291" i="1"/>
  <c r="AA291" i="1" s="1"/>
  <c r="AD290" i="1"/>
  <c r="AG290" i="1" s="1"/>
  <c r="AH290" i="1" s="1"/>
  <c r="X289" i="1"/>
  <c r="AA289" i="1" s="1"/>
  <c r="AD289" i="1" s="1"/>
  <c r="X288" i="1"/>
  <c r="AA288" i="1" s="1"/>
  <c r="X286" i="1"/>
  <c r="AA286" i="1" s="1"/>
  <c r="AD286" i="1" s="1"/>
  <c r="AA287" i="1"/>
  <c r="AD287" i="1" s="1"/>
  <c r="W286" i="1"/>
  <c r="L286" i="1"/>
  <c r="L287" i="1" s="1"/>
  <c r="J286" i="1"/>
  <c r="K286" i="1" s="1"/>
  <c r="W288" i="1"/>
  <c r="Y289" i="1"/>
  <c r="W289" i="1"/>
  <c r="Z289" i="1"/>
  <c r="Y290" i="1"/>
  <c r="Z290" i="1" s="1"/>
  <c r="W291" i="1"/>
  <c r="AC292" i="1"/>
  <c r="Y292" i="1"/>
  <c r="Z292" i="1" s="1"/>
  <c r="W293" i="1"/>
  <c r="W294" i="1"/>
  <c r="Y295" i="1"/>
  <c r="Z295" i="1" s="1"/>
  <c r="AC295" i="1"/>
  <c r="Y296" i="1"/>
  <c r="Z296" i="1" s="1"/>
  <c r="AE296" i="1"/>
  <c r="AF296" i="1" s="1"/>
  <c r="AC296" i="1"/>
  <c r="W297" i="1"/>
  <c r="W298" i="1"/>
  <c r="W299" i="1"/>
  <c r="Y298" i="1"/>
  <c r="Z298" i="1" s="1"/>
  <c r="Y300" i="1"/>
  <c r="Z300" i="1" s="1"/>
  <c r="T300" i="1" s="1"/>
  <c r="W301" i="1"/>
  <c r="W303" i="1"/>
  <c r="Y303" i="1"/>
  <c r="Z303" i="1" s="1"/>
  <c r="AA304" i="1"/>
  <c r="AB304" i="1" s="1"/>
  <c r="AC304" i="1" s="1"/>
  <c r="AX306" i="1"/>
  <c r="AX307" i="1" s="1"/>
  <c r="AX308" i="1" s="1"/>
  <c r="AX309" i="1" s="1"/>
  <c r="AX310" i="1" s="1"/>
  <c r="AX311" i="1" s="1"/>
  <c r="AX312" i="1" s="1"/>
  <c r="AX313" i="1" s="1"/>
  <c r="AX314" i="1" s="1"/>
  <c r="AX315" i="1" s="1"/>
  <c r="AX316" i="1" s="1"/>
  <c r="AX317" i="1" s="1"/>
  <c r="AX318" i="1" s="1"/>
  <c r="AX319" i="1" s="1"/>
  <c r="AX320" i="1" s="1"/>
  <c r="AX321" i="1" s="1"/>
  <c r="AX322" i="1" s="1"/>
  <c r="AW306" i="1"/>
  <c r="AW307" i="1" s="1"/>
  <c r="AW308" i="1" s="1"/>
  <c r="AW309" i="1" s="1"/>
  <c r="AW310" i="1" s="1"/>
  <c r="AW311" i="1" s="1"/>
  <c r="AW312" i="1" s="1"/>
  <c r="AW313" i="1" s="1"/>
  <c r="AW314" i="1" s="1"/>
  <c r="AW315" i="1" s="1"/>
  <c r="AW316" i="1" s="1"/>
  <c r="AW317" i="1" s="1"/>
  <c r="AW318" i="1" s="1"/>
  <c r="AW319" i="1" s="1"/>
  <c r="AW320" i="1" s="1"/>
  <c r="AW321" i="1" s="1"/>
  <c r="AW322" i="1" s="1"/>
  <c r="AU306" i="1"/>
  <c r="AU307" i="1" s="1"/>
  <c r="AU308" i="1" s="1"/>
  <c r="AU309" i="1" s="1"/>
  <c r="AU310" i="1" s="1"/>
  <c r="AU311" i="1" s="1"/>
  <c r="AU312" i="1" s="1"/>
  <c r="AU313" i="1" s="1"/>
  <c r="AU314" i="1" s="1"/>
  <c r="AU315" i="1" s="1"/>
  <c r="AU316" i="1" s="1"/>
  <c r="AU317" i="1" s="1"/>
  <c r="AU318" i="1" s="1"/>
  <c r="AU319" i="1" s="1"/>
  <c r="AU320" i="1" s="1"/>
  <c r="AU321" i="1" s="1"/>
  <c r="AU322" i="1" s="1"/>
  <c r="AT306" i="1"/>
  <c r="AT307" i="1" s="1"/>
  <c r="AT308" i="1" s="1"/>
  <c r="AT309" i="1" s="1"/>
  <c r="AT310" i="1" s="1"/>
  <c r="AT311" i="1" s="1"/>
  <c r="AT312" i="1" s="1"/>
  <c r="AT313" i="1" s="1"/>
  <c r="AT314" i="1" s="1"/>
  <c r="AT315" i="1" s="1"/>
  <c r="AT316" i="1" s="1"/>
  <c r="AT317" i="1" s="1"/>
  <c r="AT318" i="1" s="1"/>
  <c r="AT319" i="1" s="1"/>
  <c r="AT320" i="1" s="1"/>
  <c r="AT321" i="1" s="1"/>
  <c r="AT322" i="1" s="1"/>
  <c r="AR306" i="1"/>
  <c r="AR307" i="1" s="1"/>
  <c r="AR308" i="1" s="1"/>
  <c r="AR309" i="1" s="1"/>
  <c r="AR310" i="1" s="1"/>
  <c r="AR311" i="1" s="1"/>
  <c r="AR312" i="1" s="1"/>
  <c r="AR313" i="1" s="1"/>
  <c r="AR314" i="1" s="1"/>
  <c r="AR315" i="1" s="1"/>
  <c r="AR316" i="1" s="1"/>
  <c r="AR317" i="1" s="1"/>
  <c r="AR318" i="1" s="1"/>
  <c r="AR319" i="1" s="1"/>
  <c r="AR320" i="1" s="1"/>
  <c r="AR321" i="1" s="1"/>
  <c r="AR322" i="1" s="1"/>
  <c r="AQ306" i="1"/>
  <c r="AQ307" i="1" s="1"/>
  <c r="AQ308" i="1" s="1"/>
  <c r="AQ309" i="1" s="1"/>
  <c r="AQ310" i="1" s="1"/>
  <c r="AQ311" i="1" s="1"/>
  <c r="AQ312" i="1" s="1"/>
  <c r="AQ313" i="1" s="1"/>
  <c r="AQ314" i="1" s="1"/>
  <c r="AQ315" i="1" s="1"/>
  <c r="AQ316" i="1" s="1"/>
  <c r="AQ317" i="1" s="1"/>
  <c r="AQ318" i="1" s="1"/>
  <c r="AQ319" i="1" s="1"/>
  <c r="AQ320" i="1" s="1"/>
  <c r="AQ321" i="1" s="1"/>
  <c r="AQ322" i="1" s="1"/>
  <c r="W305" i="1"/>
  <c r="Y305" i="1"/>
  <c r="Z305" i="1" s="1"/>
  <c r="AB307" i="1"/>
  <c r="AC307" i="1" s="1"/>
  <c r="AA306" i="1"/>
  <c r="AB306" i="1" s="1"/>
  <c r="Z306" i="1"/>
  <c r="Y307" i="1"/>
  <c r="Z307" i="1" s="1"/>
  <c r="AG307" i="1"/>
  <c r="AH307" i="1" s="1"/>
  <c r="AF307" i="1"/>
  <c r="AA308" i="1"/>
  <c r="AD308" i="1" s="1"/>
  <c r="Z308" i="1"/>
  <c r="AO307" i="1"/>
  <c r="AO308" i="1" s="1"/>
  <c r="AO309" i="1" s="1"/>
  <c r="AO310" i="1" s="1"/>
  <c r="AO311" i="1" s="1"/>
  <c r="AO312" i="1" s="1"/>
  <c r="AO313" i="1" s="1"/>
  <c r="AO314" i="1" s="1"/>
  <c r="AO315" i="1" s="1"/>
  <c r="AO316" i="1" s="1"/>
  <c r="AO317" i="1" s="1"/>
  <c r="AO318" i="1" s="1"/>
  <c r="AO319" i="1" s="1"/>
  <c r="AO320" i="1" s="1"/>
  <c r="AO321" i="1" s="1"/>
  <c r="AO322" i="1" s="1"/>
  <c r="AO323" i="1" s="1"/>
  <c r="AO324" i="1" s="1"/>
  <c r="AO325" i="1" s="1"/>
  <c r="AO326" i="1" s="1"/>
  <c r="AO327" i="1" s="1"/>
  <c r="AO328" i="1" s="1"/>
  <c r="AO329" i="1" s="1"/>
  <c r="AO330" i="1" s="1"/>
  <c r="AO331" i="1" s="1"/>
  <c r="AO332" i="1" s="1"/>
  <c r="AO333" i="1" s="1"/>
  <c r="AO334" i="1" s="1"/>
  <c r="AO335" i="1" s="1"/>
  <c r="AO336" i="1" s="1"/>
  <c r="AO337" i="1" s="1"/>
  <c r="AO338" i="1" s="1"/>
  <c r="AO339" i="1" s="1"/>
  <c r="AO340" i="1" s="1"/>
  <c r="AO341" i="1" s="1"/>
  <c r="AO342" i="1" s="1"/>
  <c r="AO343" i="1" s="1"/>
  <c r="AO344" i="1" s="1"/>
  <c r="AO345" i="1" s="1"/>
  <c r="AO346" i="1" s="1"/>
  <c r="AO347" i="1" s="1"/>
  <c r="AO348" i="1" s="1"/>
  <c r="AO349" i="1" s="1"/>
  <c r="AO350" i="1" s="1"/>
  <c r="AO351" i="1" s="1"/>
  <c r="AO352" i="1" s="1"/>
  <c r="AO353" i="1" s="1"/>
  <c r="AO354" i="1" s="1"/>
  <c r="AO355" i="1" s="1"/>
  <c r="AO356" i="1" s="1"/>
  <c r="AO357" i="1" s="1"/>
  <c r="AO358" i="1" s="1"/>
  <c r="AO359" i="1" s="1"/>
  <c r="AO360" i="1" s="1"/>
  <c r="AO361" i="1" s="1"/>
  <c r="AO362" i="1" s="1"/>
  <c r="AO363" i="1" s="1"/>
  <c r="AO364" i="1" s="1"/>
  <c r="AO365" i="1" s="1"/>
  <c r="AO366" i="1" s="1"/>
  <c r="AO367" i="1" s="1"/>
  <c r="AO368" i="1" s="1"/>
  <c r="AN307" i="1"/>
  <c r="AN308" i="1" s="1"/>
  <c r="AN309" i="1" s="1"/>
  <c r="AN310" i="1" s="1"/>
  <c r="AN311" i="1" s="1"/>
  <c r="AN312" i="1" s="1"/>
  <c r="AN313" i="1" s="1"/>
  <c r="AN314" i="1" s="1"/>
  <c r="AN315" i="1" s="1"/>
  <c r="X309" i="1"/>
  <c r="AA309" i="1" s="1"/>
  <c r="AD309" i="1" s="1"/>
  <c r="W309" i="1"/>
  <c r="X310" i="1"/>
  <c r="AA310" i="1" s="1"/>
  <c r="W310" i="1"/>
  <c r="Y311" i="1"/>
  <c r="AD311" i="1"/>
  <c r="AE311" i="1" s="1"/>
  <c r="Z311" i="1"/>
  <c r="AC311" i="1"/>
  <c r="AD312" i="1"/>
  <c r="AE312" i="1" s="1"/>
  <c r="AC312" i="1"/>
  <c r="X313" i="1"/>
  <c r="AA313" i="1" s="1"/>
  <c r="AD313" i="1" s="1"/>
  <c r="W313" i="1"/>
  <c r="AA314" i="1"/>
  <c r="AD314" i="1" s="1"/>
  <c r="X315" i="1"/>
  <c r="AA315" i="1" s="1"/>
  <c r="W315" i="1"/>
  <c r="AA316" i="1"/>
  <c r="AB316" i="1" s="1"/>
  <c r="AC316" i="1" s="1"/>
  <c r="Z316" i="1"/>
  <c r="X317" i="1"/>
  <c r="AA317" i="1" s="1"/>
  <c r="AB317" i="1" s="1"/>
  <c r="AC317" i="1" s="1"/>
  <c r="W317" i="1"/>
  <c r="AN316" i="1"/>
  <c r="AN317" i="1" s="1"/>
  <c r="AN318" i="1" s="1"/>
  <c r="AN319" i="1" s="1"/>
  <c r="AN320" i="1" s="1"/>
  <c r="AN321" i="1" s="1"/>
  <c r="AN322" i="1" s="1"/>
  <c r="AN323" i="1" s="1"/>
  <c r="AN324" i="1" s="1"/>
  <c r="AN325" i="1" s="1"/>
  <c r="AN326" i="1" s="1"/>
  <c r="AN327" i="1" s="1"/>
  <c r="AN328" i="1" s="1"/>
  <c r="AN329" i="1" s="1"/>
  <c r="AN330" i="1" s="1"/>
  <c r="AN331" i="1" s="1"/>
  <c r="AN332" i="1" s="1"/>
  <c r="AN333" i="1" s="1"/>
  <c r="AN334" i="1" s="1"/>
  <c r="AN335" i="1" s="1"/>
  <c r="AN336" i="1" s="1"/>
  <c r="AN337" i="1" s="1"/>
  <c r="AN338" i="1" s="1"/>
  <c r="AN339" i="1" s="1"/>
  <c r="AN340" i="1" s="1"/>
  <c r="AN341" i="1" s="1"/>
  <c r="AN342" i="1" s="1"/>
  <c r="AN343" i="1" s="1"/>
  <c r="AN344" i="1" s="1"/>
  <c r="AN345" i="1" s="1"/>
  <c r="AN346" i="1" s="1"/>
  <c r="AN347" i="1" s="1"/>
  <c r="AN348" i="1" s="1"/>
  <c r="AN349" i="1" s="1"/>
  <c r="AN350" i="1" s="1"/>
  <c r="AN351" i="1" s="1"/>
  <c r="AN352" i="1" s="1"/>
  <c r="AN353" i="1" s="1"/>
  <c r="AN354" i="1" s="1"/>
  <c r="AN355" i="1" s="1"/>
  <c r="AN356" i="1" s="1"/>
  <c r="AN357" i="1" s="1"/>
  <c r="AN358" i="1" s="1"/>
  <c r="AN359" i="1" s="1"/>
  <c r="AN360" i="1" s="1"/>
  <c r="AN361" i="1" s="1"/>
  <c r="AN362" i="1" s="1"/>
  <c r="AN363" i="1" s="1"/>
  <c r="AN364" i="1" s="1"/>
  <c r="AN365" i="1" s="1"/>
  <c r="AN366" i="1" s="1"/>
  <c r="AN367" i="1" s="1"/>
  <c r="AN368" i="1" s="1"/>
  <c r="X318" i="1"/>
  <c r="Y318" i="1" s="1"/>
  <c r="AA318" i="1"/>
  <c r="AB318" i="1" s="1"/>
  <c r="AC318" i="1" s="1"/>
  <c r="W318" i="1"/>
  <c r="X319" i="1"/>
  <c r="W319" i="1"/>
  <c r="Y320" i="1"/>
  <c r="Z320" i="1" s="1"/>
  <c r="AD320" i="1"/>
  <c r="AE320" i="1" s="1"/>
  <c r="AC320" i="1"/>
  <c r="X321" i="1"/>
  <c r="W321" i="1"/>
  <c r="X322" i="1"/>
  <c r="AA322" i="1" s="1"/>
  <c r="W322" i="1"/>
  <c r="AB323" i="1"/>
  <c r="AC323" i="1" s="1"/>
  <c r="Y323" i="1"/>
  <c r="AH323" i="1"/>
  <c r="X324" i="1"/>
  <c r="W324" i="1"/>
  <c r="AE325" i="1"/>
  <c r="AF325" i="1" s="1"/>
  <c r="AB325" i="1"/>
  <c r="AC325" i="1" s="1"/>
  <c r="Y325" i="1"/>
  <c r="Z325" i="1" s="1"/>
  <c r="AH325" i="1"/>
  <c r="X326" i="1"/>
  <c r="AA326" i="1" s="1"/>
  <c r="AB326" i="1" s="1"/>
  <c r="AC326" i="1" s="1"/>
  <c r="W326" i="1"/>
  <c r="AE327" i="1"/>
  <c r="AF327" i="1" s="1"/>
  <c r="Y327" i="1"/>
  <c r="AB327" i="1"/>
  <c r="Z327" i="1"/>
  <c r="AC327" i="1"/>
  <c r="AH327" i="1"/>
  <c r="AE329" i="1"/>
  <c r="AF329" i="1" s="1"/>
  <c r="Y328" i="1"/>
  <c r="Z328" i="1" s="1"/>
  <c r="AD328" i="1"/>
  <c r="AE328" i="1" s="1"/>
  <c r="AF328" i="1" s="1"/>
  <c r="Y329" i="1"/>
  <c r="Z329" i="1" s="1"/>
  <c r="AH329" i="1"/>
  <c r="X330" i="1"/>
  <c r="AA330" i="1" s="1"/>
  <c r="W330" i="1"/>
  <c r="X332" i="1"/>
  <c r="AA332" i="1" s="1"/>
  <c r="W332" i="1"/>
  <c r="AE331" i="1"/>
  <c r="AF331" i="1" s="1"/>
  <c r="AH331" i="1"/>
  <c r="Y332" i="1"/>
  <c r="Z332" i="1" s="1"/>
  <c r="AA333" i="1"/>
  <c r="AB333" i="1" s="1"/>
  <c r="Z333" i="1"/>
  <c r="Y334" i="1"/>
  <c r="Z334" i="1" s="1"/>
  <c r="AD334" i="1"/>
  <c r="AE334" i="1" s="1"/>
  <c r="AC334" i="1"/>
  <c r="AA335" i="1"/>
  <c r="AB335" i="1" s="1"/>
  <c r="AC335" i="1" s="1"/>
  <c r="Z335" i="1"/>
  <c r="X336" i="1"/>
  <c r="AA336" i="1" s="1"/>
  <c r="AB336" i="1" s="1"/>
  <c r="AC336" i="1" s="1"/>
  <c r="W336" i="1"/>
  <c r="AA337" i="1"/>
  <c r="AD337" i="1" s="1"/>
  <c r="AE339" i="1"/>
  <c r="AF339" i="1" s="1"/>
  <c r="AB339" i="1"/>
  <c r="AC339" i="1" s="1"/>
  <c r="Y338" i="1"/>
  <c r="Z338" i="1" s="1"/>
  <c r="AD338" i="1"/>
  <c r="AE338" i="1" s="1"/>
  <c r="AC338" i="1"/>
  <c r="Y339" i="1"/>
  <c r="Z339" i="1" s="1"/>
  <c r="AA340" i="1"/>
  <c r="AB340" i="1" s="1"/>
  <c r="AC340" i="1" s="1"/>
  <c r="Z340" i="1"/>
  <c r="AA341" i="1"/>
  <c r="AB341" i="1" s="1"/>
  <c r="AC341" i="1" s="1"/>
  <c r="Z341" i="1"/>
  <c r="AA342" i="1"/>
  <c r="AD342" i="1" s="1"/>
  <c r="AE342" i="1" s="1"/>
  <c r="Z342" i="1"/>
  <c r="AE343" i="1"/>
  <c r="AF343" i="1" s="1"/>
  <c r="Y343" i="1"/>
  <c r="Z343" i="1" s="1"/>
  <c r="AH343" i="1"/>
  <c r="X344" i="1"/>
  <c r="Y344" i="1" s="1"/>
  <c r="Z344" i="1" s="1"/>
  <c r="W344" i="1"/>
  <c r="AA345" i="1"/>
  <c r="AB345" i="1" s="1"/>
  <c r="Y346" i="1"/>
  <c r="Z346" i="1" s="1"/>
  <c r="AD346" i="1"/>
  <c r="AE346" i="1" s="1"/>
  <c r="AC346" i="1"/>
  <c r="X347" i="1"/>
  <c r="AA347" i="1" s="1"/>
  <c r="W347" i="1"/>
  <c r="X348" i="1"/>
  <c r="AA348" i="1" s="1"/>
  <c r="AD348" i="1" s="1"/>
  <c r="W348" i="1"/>
  <c r="X351" i="1"/>
  <c r="AA351" i="1" s="1"/>
  <c r="Y349" i="1"/>
  <c r="Z349" i="1" s="1"/>
  <c r="AE349" i="1"/>
  <c r="AF349" i="1" s="1"/>
  <c r="AH349" i="1"/>
  <c r="AG350" i="1"/>
  <c r="AH350" i="1" s="1"/>
  <c r="AF350" i="1"/>
  <c r="Y350" i="1"/>
  <c r="Z350" i="1" s="1"/>
  <c r="W351" i="1"/>
  <c r="X352" i="1"/>
  <c r="AA352" i="1" s="1"/>
  <c r="AD354" i="1"/>
  <c r="AE354" i="1" s="1"/>
  <c r="AF354" i="1" s="1"/>
  <c r="Y355" i="1"/>
  <c r="Z355" i="1" s="1"/>
  <c r="AB355" i="1"/>
  <c r="AC355" i="1" s="1"/>
  <c r="AG355" i="1"/>
  <c r="AH355" i="1" s="1"/>
  <c r="Y354" i="1"/>
  <c r="Z354" i="1" s="1"/>
  <c r="Y356" i="1"/>
  <c r="Z356" i="1" s="1"/>
  <c r="AD356" i="1"/>
  <c r="AG356" i="1" s="1"/>
  <c r="AH356" i="1" s="1"/>
  <c r="AB357" i="1"/>
  <c r="AC357" i="1" s="1"/>
  <c r="T357" i="1" s="1"/>
  <c r="Y358" i="1"/>
  <c r="Z358" i="1" s="1"/>
  <c r="AD358" i="1"/>
  <c r="AE358" i="1" s="1"/>
  <c r="AC358" i="1"/>
  <c r="AA359" i="1"/>
  <c r="AB359" i="1" s="1"/>
  <c r="AC359" i="1" s="1"/>
  <c r="AD360" i="1"/>
  <c r="AE360" i="1" s="1"/>
  <c r="AC360" i="1"/>
  <c r="Y360" i="1"/>
  <c r="Z360" i="1" s="1"/>
  <c r="X361" i="1"/>
  <c r="AA361" i="1" s="1"/>
  <c r="W361" i="1"/>
  <c r="X362" i="1"/>
  <c r="Y362" i="1" s="1"/>
  <c r="W362" i="1"/>
  <c r="AA363" i="1"/>
  <c r="AB363" i="1" s="1"/>
  <c r="AC363" i="1" s="1"/>
  <c r="X364" i="1"/>
  <c r="AA364" i="1" s="1"/>
  <c r="AB364" i="1" s="1"/>
  <c r="AC364" i="1" s="1"/>
  <c r="W364" i="1"/>
  <c r="AA365" i="1"/>
  <c r="AB365" i="1" s="1"/>
  <c r="AC365" i="1" s="1"/>
  <c r="Z365" i="1"/>
  <c r="AE367" i="1"/>
  <c r="AF367" i="1" s="1"/>
  <c r="Y366" i="1"/>
  <c r="Z366" i="1" s="1"/>
  <c r="AD366" i="1"/>
  <c r="AE366" i="1" s="1"/>
  <c r="AC366" i="1"/>
  <c r="AA370" i="1"/>
  <c r="AB370" i="1" s="1"/>
  <c r="AC370" i="1" s="1"/>
  <c r="Z370" i="1"/>
  <c r="Y367" i="1"/>
  <c r="AB367" i="1"/>
  <c r="AC367" i="1" s="1"/>
  <c r="AH367" i="1"/>
  <c r="AG368" i="1"/>
  <c r="AH368" i="1" s="1"/>
  <c r="AF368" i="1"/>
  <c r="AA369" i="1"/>
  <c r="AD369" i="1" s="1"/>
  <c r="Y371" i="1"/>
  <c r="AH371" i="1"/>
  <c r="AD373" i="1"/>
  <c r="X372" i="1"/>
  <c r="AA372" i="1" s="1"/>
  <c r="W372" i="1"/>
  <c r="Y373" i="1"/>
  <c r="AC373" i="1"/>
  <c r="Y301" i="1" l="1"/>
  <c r="Z301" i="1" s="1"/>
  <c r="Y294" i="1"/>
  <c r="Z294" i="1" s="1"/>
  <c r="Y330" i="1"/>
  <c r="Z330" i="1" s="1"/>
  <c r="AD318" i="1"/>
  <c r="AE318" i="1" s="1"/>
  <c r="AF318" i="1" s="1"/>
  <c r="AD340" i="1"/>
  <c r="AE340" i="1" s="1"/>
  <c r="AF340" i="1" s="1"/>
  <c r="AB302" i="1"/>
  <c r="AC302" i="1" s="1"/>
  <c r="Y299" i="1"/>
  <c r="Z299" i="1" s="1"/>
  <c r="Y297" i="1"/>
  <c r="Z297" i="1" s="1"/>
  <c r="AE295" i="1"/>
  <c r="AF295" i="1" s="1"/>
  <c r="Y293" i="1"/>
  <c r="Z293" i="1" s="1"/>
  <c r="Y291" i="1"/>
  <c r="Z291" i="1" s="1"/>
  <c r="Y286" i="1"/>
  <c r="Z286" i="1" s="1"/>
  <c r="Y347" i="1"/>
  <c r="Z347" i="1" s="1"/>
  <c r="Y372" i="1"/>
  <c r="Z372" i="1" s="1"/>
  <c r="AD365" i="1"/>
  <c r="Y361" i="1"/>
  <c r="Z361" i="1" s="1"/>
  <c r="AG338" i="1"/>
  <c r="AH338" i="1" s="1"/>
  <c r="Y336" i="1"/>
  <c r="Z336" i="1" s="1"/>
  <c r="Y315" i="1"/>
  <c r="Z315" i="1" s="1"/>
  <c r="AD316" i="1"/>
  <c r="AE316" i="1" s="1"/>
  <c r="AF316" i="1" s="1"/>
  <c r="AD361" i="1"/>
  <c r="AG361" i="1" s="1"/>
  <c r="AH361" i="1" s="1"/>
  <c r="AB361" i="1"/>
  <c r="AC361" i="1" s="1"/>
  <c r="AD363" i="1"/>
  <c r="AE363" i="1" s="1"/>
  <c r="AF363" i="1" s="1"/>
  <c r="AG358" i="1"/>
  <c r="AH358" i="1" s="1"/>
  <c r="Y351" i="1"/>
  <c r="Z351" i="1" s="1"/>
  <c r="Y348" i="1"/>
  <c r="Z348" i="1" s="1"/>
  <c r="AB342" i="1"/>
  <c r="AC342" i="1" s="1"/>
  <c r="AG334" i="1"/>
  <c r="AH334" i="1" s="1"/>
  <c r="AG312" i="1"/>
  <c r="AH312" i="1" s="1"/>
  <c r="AD293" i="1"/>
  <c r="AE293" i="1" s="1"/>
  <c r="AB293" i="1"/>
  <c r="AC293" i="1" s="1"/>
  <c r="AD305" i="1"/>
  <c r="AG305" i="1" s="1"/>
  <c r="AH305" i="1" s="1"/>
  <c r="AB305" i="1"/>
  <c r="AC305" i="1" s="1"/>
  <c r="AG354" i="1"/>
  <c r="AH354" i="1" s="1"/>
  <c r="T355" i="1"/>
  <c r="AD341" i="1"/>
  <c r="AD335" i="1"/>
  <c r="Y326" i="1"/>
  <c r="Z326" i="1" s="1"/>
  <c r="AG320" i="1"/>
  <c r="AH320" i="1" s="1"/>
  <c r="AF358" i="1"/>
  <c r="T358" i="1" s="1"/>
  <c r="AF334" i="1"/>
  <c r="AD297" i="1"/>
  <c r="AE297" i="1" s="1"/>
  <c r="AB297" i="1"/>
  <c r="AC297" i="1" s="1"/>
  <c r="AD359" i="1"/>
  <c r="AB348" i="1"/>
  <c r="AC348" i="1" s="1"/>
  <c r="T349" i="1"/>
  <c r="AB369" i="1"/>
  <c r="AC369" i="1" s="1"/>
  <c r="T368" i="1"/>
  <c r="AD370" i="1"/>
  <c r="AE370" i="1" s="1"/>
  <c r="AF370" i="1" s="1"/>
  <c r="AD333" i="1"/>
  <c r="AE333" i="1" s="1"/>
  <c r="AF333" i="1" s="1"/>
  <c r="AG328" i="1"/>
  <c r="AH328" i="1" s="1"/>
  <c r="AD326" i="1"/>
  <c r="AE326" i="1" s="1"/>
  <c r="AF326" i="1" s="1"/>
  <c r="T325" i="1"/>
  <c r="Y322" i="1"/>
  <c r="Z322" i="1" s="1"/>
  <c r="AD304" i="1"/>
  <c r="Y288" i="1"/>
  <c r="Z288" i="1" s="1"/>
  <c r="J287" i="1"/>
  <c r="J288" i="1" s="1"/>
  <c r="K288" i="1" s="1"/>
  <c r="AD322" i="1"/>
  <c r="AE322" i="1" s="1"/>
  <c r="AF322" i="1" s="1"/>
  <c r="AD291" i="1"/>
  <c r="AG291" i="1" s="1"/>
  <c r="AH291" i="1" s="1"/>
  <c r="AB291" i="1"/>
  <c r="AC291" i="1" s="1"/>
  <c r="AD299" i="1"/>
  <c r="AG299" i="1" s="1"/>
  <c r="AH299" i="1" s="1"/>
  <c r="AB299" i="1"/>
  <c r="AC299" i="1" s="1"/>
  <c r="AG302" i="1"/>
  <c r="AH302" i="1" s="1"/>
  <c r="AE302" i="1"/>
  <c r="AF302" i="1" s="1"/>
  <c r="AD332" i="1"/>
  <c r="AE332" i="1" s="1"/>
  <c r="AF332" i="1" s="1"/>
  <c r="AB332" i="1"/>
  <c r="AC332" i="1" s="1"/>
  <c r="AD315" i="1"/>
  <c r="AG315" i="1" s="1"/>
  <c r="AH315" i="1" s="1"/>
  <c r="AB315" i="1"/>
  <c r="AC315" i="1" s="1"/>
  <c r="AD301" i="1"/>
  <c r="AE301" i="1" s="1"/>
  <c r="AF301" i="1" s="1"/>
  <c r="AB301" i="1"/>
  <c r="AC301" i="1" s="1"/>
  <c r="T350" i="1"/>
  <c r="T339" i="1"/>
  <c r="T327" i="1"/>
  <c r="T295" i="1"/>
  <c r="AA344" i="1"/>
  <c r="AG366" i="1"/>
  <c r="AH366" i="1" s="1"/>
  <c r="AA362" i="1"/>
  <c r="AG360" i="1"/>
  <c r="AH360" i="1" s="1"/>
  <c r="Y352" i="1"/>
  <c r="Z352" i="1" s="1"/>
  <c r="AD345" i="1"/>
  <c r="T343" i="1"/>
  <c r="AG342" i="1"/>
  <c r="AH342" i="1" s="1"/>
  <c r="AB337" i="1"/>
  <c r="AC337" i="1" s="1"/>
  <c r="AD336" i="1"/>
  <c r="Y313" i="1"/>
  <c r="Z313" i="1" s="1"/>
  <c r="AG311" i="1"/>
  <c r="AH311" i="1" s="1"/>
  <c r="Y309" i="1"/>
  <c r="Z309" i="1" s="1"/>
  <c r="AB308" i="1"/>
  <c r="AC308" i="1" s="1"/>
  <c r="T307" i="1"/>
  <c r="AD306" i="1"/>
  <c r="AB289" i="1"/>
  <c r="AC289" i="1" s="1"/>
  <c r="AB287" i="1"/>
  <c r="AC287" i="1" s="1"/>
  <c r="Z373" i="1"/>
  <c r="Z367" i="1"/>
  <c r="T367" i="1" s="1"/>
  <c r="AF366" i="1"/>
  <c r="Z362" i="1"/>
  <c r="AE361" i="1"/>
  <c r="AF361" i="1" s="1"/>
  <c r="AF360" i="1"/>
  <c r="AD352" i="1"/>
  <c r="AE352" i="1" s="1"/>
  <c r="AF352" i="1" s="1"/>
  <c r="AB352" i="1"/>
  <c r="AC352" i="1" s="1"/>
  <c r="AG348" i="1"/>
  <c r="AH348" i="1" s="1"/>
  <c r="AE348" i="1"/>
  <c r="AF348" i="1" s="1"/>
  <c r="AF346" i="1"/>
  <c r="AC345" i="1"/>
  <c r="AF342" i="1"/>
  <c r="T342" i="1" s="1"/>
  <c r="AG337" i="1"/>
  <c r="AH337" i="1" s="1"/>
  <c r="AE337" i="1"/>
  <c r="AD372" i="1"/>
  <c r="AB372" i="1"/>
  <c r="AC372" i="1" s="1"/>
  <c r="AG373" i="1"/>
  <c r="AH373" i="1" s="1"/>
  <c r="AE373" i="1"/>
  <c r="AF373" i="1" s="1"/>
  <c r="Z371" i="1"/>
  <c r="T371" i="1" s="1"/>
  <c r="AG369" i="1"/>
  <c r="AH369" i="1" s="1"/>
  <c r="AE369" i="1"/>
  <c r="AF369" i="1" s="1"/>
  <c r="AB351" i="1"/>
  <c r="AC351" i="1" s="1"/>
  <c r="AD351" i="1"/>
  <c r="AE351" i="1" s="1"/>
  <c r="AF351" i="1" s="1"/>
  <c r="AD347" i="1"/>
  <c r="AE347" i="1" s="1"/>
  <c r="AF347" i="1" s="1"/>
  <c r="AB347" i="1"/>
  <c r="AF338" i="1"/>
  <c r="T338" i="1" s="1"/>
  <c r="AC333" i="1"/>
  <c r="AD330" i="1"/>
  <c r="AE330" i="1" s="1"/>
  <c r="AF330" i="1" s="1"/>
  <c r="AB330" i="1"/>
  <c r="T328" i="1"/>
  <c r="AA324" i="1"/>
  <c r="Y324" i="1"/>
  <c r="AF320" i="1"/>
  <c r="Y317" i="1"/>
  <c r="AF311" i="1"/>
  <c r="AG308" i="1"/>
  <c r="AH308" i="1" s="1"/>
  <c r="AE308" i="1"/>
  <c r="AF308" i="1" s="1"/>
  <c r="AC306" i="1"/>
  <c r="AE287" i="1"/>
  <c r="AF287" i="1" s="1"/>
  <c r="AG287" i="1"/>
  <c r="AH287" i="1" s="1"/>
  <c r="AG289" i="1"/>
  <c r="AH289" i="1" s="1"/>
  <c r="AE289" i="1"/>
  <c r="AG293" i="1"/>
  <c r="AH293" i="1" s="1"/>
  <c r="AB294" i="1"/>
  <c r="AD294" i="1"/>
  <c r="AE294" i="1" s="1"/>
  <c r="AF294" i="1" s="1"/>
  <c r="AG297" i="1"/>
  <c r="AH297" i="1" s="1"/>
  <c r="AD298" i="1"/>
  <c r="AE298" i="1" s="1"/>
  <c r="AF298" i="1" s="1"/>
  <c r="AB298" i="1"/>
  <c r="AC298" i="1" s="1"/>
  <c r="AE305" i="1"/>
  <c r="AF305" i="1" s="1"/>
  <c r="AD364" i="1"/>
  <c r="AE364" i="1" s="1"/>
  <c r="AF364" i="1" s="1"/>
  <c r="AG346" i="1"/>
  <c r="AH346" i="1" s="1"/>
  <c r="Y364" i="1"/>
  <c r="AE356" i="1"/>
  <c r="T331" i="1"/>
  <c r="T329" i="1"/>
  <c r="AB322" i="1"/>
  <c r="AC322" i="1" s="1"/>
  <c r="Y319" i="1"/>
  <c r="AD317" i="1"/>
  <c r="AE317" i="1" s="1"/>
  <c r="AF317" i="1" s="1"/>
  <c r="Z323" i="1"/>
  <c r="T323" i="1" s="1"/>
  <c r="AA321" i="1"/>
  <c r="AB321" i="1" s="1"/>
  <c r="AC321" i="1" s="1"/>
  <c r="Y321" i="1"/>
  <c r="AA319" i="1"/>
  <c r="AB319" i="1" s="1"/>
  <c r="AC319" i="1" s="1"/>
  <c r="Z318" i="1"/>
  <c r="AE315" i="1"/>
  <c r="AF315" i="1" s="1"/>
  <c r="AG314" i="1"/>
  <c r="AH314" i="1" s="1"/>
  <c r="AE314" i="1"/>
  <c r="AF314" i="1" s="1"/>
  <c r="AG313" i="1"/>
  <c r="AH313" i="1" s="1"/>
  <c r="AE313" i="1"/>
  <c r="AF313" i="1" s="1"/>
  <c r="AF312" i="1"/>
  <c r="T312" i="1" s="1"/>
  <c r="AB310" i="1"/>
  <c r="AC310" i="1" s="1"/>
  <c r="AD310" i="1"/>
  <c r="AE310" i="1" s="1"/>
  <c r="AF310" i="1" s="1"/>
  <c r="AG309" i="1"/>
  <c r="AH309" i="1" s="1"/>
  <c r="AE309" i="1"/>
  <c r="AF309" i="1" s="1"/>
  <c r="AG286" i="1"/>
  <c r="AH286" i="1" s="1"/>
  <c r="AE286" i="1"/>
  <c r="AF286" i="1" s="1"/>
  <c r="AD288" i="1"/>
  <c r="AE288" i="1" s="1"/>
  <c r="AF288" i="1" s="1"/>
  <c r="AB288" i="1"/>
  <c r="AE291" i="1"/>
  <c r="AH296" i="1"/>
  <c r="T296" i="1" s="1"/>
  <c r="AE299" i="1"/>
  <c r="AB303" i="1"/>
  <c r="AD303" i="1"/>
  <c r="AE303" i="1" s="1"/>
  <c r="AF303" i="1" s="1"/>
  <c r="AB314" i="1"/>
  <c r="AB313" i="1"/>
  <c r="Y310" i="1"/>
  <c r="AB309" i="1"/>
  <c r="M286" i="1"/>
  <c r="AB286" i="1"/>
  <c r="AE290" i="1"/>
  <c r="AE292" i="1"/>
  <c r="AG298" i="1"/>
  <c r="AH298" i="1" s="1"/>
  <c r="L288" i="1"/>
  <c r="M287" i="1"/>
  <c r="AG316" i="1" l="1"/>
  <c r="AH316" i="1" s="1"/>
  <c r="AG326" i="1"/>
  <c r="AH326" i="1" s="1"/>
  <c r="T360" i="1"/>
  <c r="AG318" i="1"/>
  <c r="AH318" i="1" s="1"/>
  <c r="T318" i="1" s="1"/>
  <c r="J289" i="1"/>
  <c r="AG301" i="1"/>
  <c r="AH301" i="1" s="1"/>
  <c r="AG332" i="1"/>
  <c r="AH332" i="1" s="1"/>
  <c r="AG330" i="1"/>
  <c r="AH330" i="1" s="1"/>
  <c r="K287" i="1"/>
  <c r="T354" i="1"/>
  <c r="AG333" i="1"/>
  <c r="AH333" i="1" s="1"/>
  <c r="AG351" i="1"/>
  <c r="AH351" i="1" s="1"/>
  <c r="T366" i="1"/>
  <c r="AG294" i="1"/>
  <c r="AH294" i="1" s="1"/>
  <c r="T305" i="1"/>
  <c r="AG310" i="1"/>
  <c r="AH310" i="1" s="1"/>
  <c r="T308" i="1"/>
  <c r="AG352" i="1"/>
  <c r="AH352" i="1" s="1"/>
  <c r="T311" i="1"/>
  <c r="T320" i="1"/>
  <c r="AG370" i="1"/>
  <c r="AH370" i="1" s="1"/>
  <c r="AG340" i="1"/>
  <c r="T348" i="1"/>
  <c r="AG363" i="1"/>
  <c r="AG288" i="1"/>
  <c r="AH288" i="1" s="1"/>
  <c r="T315" i="1"/>
  <c r="T326" i="1"/>
  <c r="AG303" i="1"/>
  <c r="AH303" i="1" s="1"/>
  <c r="T287" i="1"/>
  <c r="T302" i="1"/>
  <c r="AG347" i="1"/>
  <c r="AH347" i="1" s="1"/>
  <c r="T334" i="1"/>
  <c r="AE365" i="1"/>
  <c r="AG365" i="1"/>
  <c r="AH365" i="1" s="1"/>
  <c r="T316" i="1"/>
  <c r="AE341" i="1"/>
  <c r="AG341" i="1"/>
  <c r="AH341" i="1" s="1"/>
  <c r="T301" i="1"/>
  <c r="AE335" i="1"/>
  <c r="AG335" i="1"/>
  <c r="AH335" i="1" s="1"/>
  <c r="AE304" i="1"/>
  <c r="AG304" i="1"/>
  <c r="AH304" i="1" s="1"/>
  <c r="AE359" i="1"/>
  <c r="AG359" i="1"/>
  <c r="AH359" i="1" s="1"/>
  <c r="T361" i="1"/>
  <c r="AE345" i="1"/>
  <c r="AF345" i="1" s="1"/>
  <c r="AG345" i="1"/>
  <c r="AH345" i="1" s="1"/>
  <c r="AB362" i="1"/>
  <c r="AC362" i="1" s="1"/>
  <c r="AD362" i="1"/>
  <c r="AE306" i="1"/>
  <c r="AF306" i="1" s="1"/>
  <c r="AG306" i="1"/>
  <c r="AH306" i="1" s="1"/>
  <c r="AE336" i="1"/>
  <c r="AG336" i="1"/>
  <c r="AH336" i="1" s="1"/>
  <c r="AB344" i="1"/>
  <c r="AD344" i="1"/>
  <c r="AG364" i="1"/>
  <c r="AH364" i="1" s="1"/>
  <c r="AG322" i="1"/>
  <c r="AF290" i="1"/>
  <c r="T290" i="1" s="1"/>
  <c r="T286" i="1"/>
  <c r="AC286" i="1"/>
  <c r="K289" i="1"/>
  <c r="J290" i="1"/>
  <c r="AF292" i="1"/>
  <c r="T292" i="1" s="1"/>
  <c r="AC313" i="1"/>
  <c r="T313" i="1" s="1"/>
  <c r="AC303" i="1"/>
  <c r="Z364" i="1"/>
  <c r="AC294" i="1"/>
  <c r="Z317" i="1"/>
  <c r="AC330" i="1"/>
  <c r="T330" i="1" s="1"/>
  <c r="AC347" i="1"/>
  <c r="T298" i="1"/>
  <c r="T352" i="1"/>
  <c r="AD319" i="1"/>
  <c r="T332" i="1"/>
  <c r="AD321" i="1"/>
  <c r="AE321" i="1" s="1"/>
  <c r="AF321" i="1" s="1"/>
  <c r="T369" i="1"/>
  <c r="AC309" i="1"/>
  <c r="T309" i="1" s="1"/>
  <c r="Z310" i="1"/>
  <c r="T310" i="1" s="1"/>
  <c r="AC314" i="1"/>
  <c r="T314" i="1" s="1"/>
  <c r="AF299" i="1"/>
  <c r="T299" i="1" s="1"/>
  <c r="AF291" i="1"/>
  <c r="T291" i="1" s="1"/>
  <c r="AC288" i="1"/>
  <c r="Z321" i="1"/>
  <c r="Z319" i="1"/>
  <c r="AF356" i="1"/>
  <c r="T356" i="1" s="1"/>
  <c r="AF297" i="1"/>
  <c r="T297" i="1" s="1"/>
  <c r="AF293" i="1"/>
  <c r="T293" i="1" s="1"/>
  <c r="AF289" i="1"/>
  <c r="T289" i="1" s="1"/>
  <c r="Z324" i="1"/>
  <c r="AB324" i="1"/>
  <c r="AC324" i="1" s="1"/>
  <c r="AD324" i="1"/>
  <c r="AE324" i="1" s="1"/>
  <c r="AF324" i="1" s="1"/>
  <c r="AE372" i="1"/>
  <c r="AF372" i="1" s="1"/>
  <c r="AG372" i="1"/>
  <c r="AH372" i="1" s="1"/>
  <c r="AF337" i="1"/>
  <c r="T337" i="1" s="1"/>
  <c r="AG317" i="1"/>
  <c r="AH317" i="1" s="1"/>
  <c r="T351" i="1"/>
  <c r="T346" i="1"/>
  <c r="T373" i="1"/>
  <c r="L289" i="1"/>
  <c r="M288" i="1"/>
  <c r="T333" i="1" l="1"/>
  <c r="T370" i="1"/>
  <c r="AH340" i="1"/>
  <c r="T340" i="1" s="1"/>
  <c r="T294" i="1"/>
  <c r="T303" i="1"/>
  <c r="AH363" i="1"/>
  <c r="T363" i="1" s="1"/>
  <c r="T288" i="1"/>
  <c r="T347" i="1"/>
  <c r="T364" i="1"/>
  <c r="T306" i="1"/>
  <c r="T345" i="1"/>
  <c r="AF365" i="1"/>
  <c r="T365" i="1" s="1"/>
  <c r="AF341" i="1"/>
  <c r="T341" i="1" s="1"/>
  <c r="AF335" i="1"/>
  <c r="T335" i="1" s="1"/>
  <c r="AF359" i="1"/>
  <c r="T359" i="1" s="1"/>
  <c r="AF304" i="1"/>
  <c r="T304" i="1" s="1"/>
  <c r="AH322" i="1"/>
  <c r="T322" i="1" s="1"/>
  <c r="AE344" i="1"/>
  <c r="AF344" i="1" s="1"/>
  <c r="AG344" i="1"/>
  <c r="AH344" i="1" s="1"/>
  <c r="AC344" i="1"/>
  <c r="AF336" i="1"/>
  <c r="T336" i="1" s="1"/>
  <c r="AE362" i="1"/>
  <c r="AG362" i="1"/>
  <c r="AH362" i="1" s="1"/>
  <c r="AE319" i="1"/>
  <c r="AG319" i="1"/>
  <c r="AH319" i="1" s="1"/>
  <c r="K290" i="1"/>
  <c r="J291" i="1"/>
  <c r="T372" i="1"/>
  <c r="AG321" i="1"/>
  <c r="T317" i="1"/>
  <c r="AG324" i="1"/>
  <c r="AH324" i="1" s="1"/>
  <c r="L290" i="1"/>
  <c r="M289" i="1"/>
  <c r="T324" i="1" l="1"/>
  <c r="T344" i="1"/>
  <c r="A111" i="7"/>
  <c r="AF362" i="1"/>
  <c r="T362" i="1" s="1"/>
  <c r="AF319" i="1"/>
  <c r="T319" i="1" s="1"/>
  <c r="AH321" i="1"/>
  <c r="T321" i="1" s="1"/>
  <c r="K291" i="1"/>
  <c r="J292" i="1"/>
  <c r="L291" i="1"/>
  <c r="M290" i="1"/>
  <c r="K292" i="1" l="1"/>
  <c r="J293" i="1"/>
  <c r="L292" i="1"/>
  <c r="M291" i="1"/>
  <c r="K293" i="1" l="1"/>
  <c r="J294" i="1"/>
  <c r="L293" i="1"/>
  <c r="M292" i="1"/>
  <c r="K294" i="1" l="1"/>
  <c r="J295" i="1"/>
  <c r="L294" i="1"/>
  <c r="M293" i="1"/>
  <c r="K295" i="1" l="1"/>
  <c r="J296" i="1"/>
  <c r="L295" i="1"/>
  <c r="M294" i="1"/>
  <c r="K296" i="1" l="1"/>
  <c r="J297" i="1"/>
  <c r="L296" i="1"/>
  <c r="M295" i="1"/>
  <c r="K297" i="1" l="1"/>
  <c r="J298" i="1"/>
  <c r="L297" i="1"/>
  <c r="M296" i="1"/>
  <c r="J299" i="1" l="1"/>
  <c r="K298" i="1"/>
  <c r="L298" i="1"/>
  <c r="M297" i="1"/>
  <c r="K299" i="1" l="1"/>
  <c r="J300" i="1"/>
  <c r="M298" i="1"/>
  <c r="L299" i="1"/>
  <c r="J301" i="1" l="1"/>
  <c r="K300" i="1"/>
  <c r="L300" i="1"/>
  <c r="M299" i="1"/>
  <c r="J302" i="1" l="1"/>
  <c r="K301" i="1"/>
  <c r="M300" i="1"/>
  <c r="L301" i="1"/>
  <c r="K302" i="1" l="1"/>
  <c r="J303" i="1"/>
  <c r="M301" i="1"/>
  <c r="L302" i="1"/>
  <c r="J304" i="1" l="1"/>
  <c r="K303" i="1"/>
  <c r="L303" i="1"/>
  <c r="M302" i="1"/>
  <c r="J305" i="1" l="1"/>
  <c r="K304" i="1"/>
  <c r="M303" i="1"/>
  <c r="L304" i="1"/>
  <c r="J306" i="1" l="1"/>
  <c r="K305" i="1"/>
  <c r="M304" i="1"/>
  <c r="L305" i="1"/>
  <c r="J307" i="1" l="1"/>
  <c r="K306" i="1"/>
  <c r="M305" i="1"/>
  <c r="L306" i="1"/>
  <c r="J308" i="1" l="1"/>
  <c r="K307" i="1"/>
  <c r="M306" i="1"/>
  <c r="L307" i="1"/>
  <c r="K308" i="1" l="1"/>
  <c r="J309" i="1"/>
  <c r="M307" i="1"/>
  <c r="L308" i="1"/>
  <c r="J310" i="1" l="1"/>
  <c r="K309" i="1"/>
  <c r="L309" i="1"/>
  <c r="M308" i="1"/>
  <c r="J311" i="1" l="1"/>
  <c r="K310" i="1"/>
  <c r="M309" i="1"/>
  <c r="L310" i="1"/>
  <c r="J312" i="1" l="1"/>
  <c r="K311" i="1"/>
  <c r="M310" i="1"/>
  <c r="L311" i="1"/>
  <c r="K312" i="1" l="1"/>
  <c r="J313" i="1"/>
  <c r="M311" i="1"/>
  <c r="L312" i="1"/>
  <c r="J314" i="1" l="1"/>
  <c r="K313" i="1"/>
  <c r="M312" i="1"/>
  <c r="L313" i="1"/>
  <c r="K314" i="1" l="1"/>
  <c r="J315" i="1"/>
  <c r="M313" i="1"/>
  <c r="L314" i="1"/>
  <c r="J316" i="1" l="1"/>
  <c r="K315" i="1"/>
  <c r="L315" i="1"/>
  <c r="M314" i="1"/>
  <c r="J317" i="1" l="1"/>
  <c r="K316" i="1"/>
  <c r="M315" i="1"/>
  <c r="L316" i="1"/>
  <c r="J318" i="1" l="1"/>
  <c r="K317" i="1"/>
  <c r="M316" i="1"/>
  <c r="L317" i="1"/>
  <c r="J319" i="1" l="1"/>
  <c r="K318" i="1"/>
  <c r="M317" i="1"/>
  <c r="L318" i="1"/>
  <c r="K319" i="1" l="1"/>
  <c r="J320" i="1"/>
  <c r="M318" i="1"/>
  <c r="L319" i="1"/>
  <c r="J321" i="1" l="1"/>
  <c r="K320" i="1"/>
  <c r="L320" i="1"/>
  <c r="M319" i="1"/>
  <c r="K321" i="1" l="1"/>
  <c r="J322" i="1"/>
  <c r="M320" i="1"/>
  <c r="L321" i="1"/>
  <c r="J323" i="1" l="1"/>
  <c r="K322" i="1"/>
  <c r="M321" i="1"/>
  <c r="L322" i="1"/>
  <c r="K323" i="1" l="1"/>
  <c r="J324" i="1"/>
  <c r="M322" i="1"/>
  <c r="L323" i="1"/>
  <c r="K324" i="1" l="1"/>
  <c r="J325" i="1"/>
  <c r="L324" i="1"/>
  <c r="M323" i="1"/>
  <c r="K325" i="1" l="1"/>
  <c r="J326" i="1"/>
  <c r="L325" i="1"/>
  <c r="M324" i="1"/>
  <c r="K326" i="1" l="1"/>
  <c r="J327" i="1"/>
  <c r="M325" i="1"/>
  <c r="L326" i="1"/>
  <c r="K327" i="1" l="1"/>
  <c r="J328" i="1"/>
  <c r="M326" i="1"/>
  <c r="L327" i="1"/>
  <c r="K328" i="1" l="1"/>
  <c r="J329" i="1"/>
  <c r="M327" i="1"/>
  <c r="L328" i="1"/>
  <c r="K329" i="1" l="1"/>
  <c r="J330" i="1"/>
  <c r="M328" i="1"/>
  <c r="L329" i="1"/>
  <c r="J331" i="1" l="1"/>
  <c r="K330" i="1"/>
  <c r="M329" i="1"/>
  <c r="L330" i="1"/>
  <c r="J332" i="1" l="1"/>
  <c r="K331" i="1"/>
  <c r="L331" i="1"/>
  <c r="M330" i="1"/>
  <c r="K332" i="1" l="1"/>
  <c r="J333" i="1"/>
  <c r="L332" i="1"/>
  <c r="M331" i="1"/>
  <c r="K333" i="1" l="1"/>
  <c r="J334" i="1"/>
  <c r="M332" i="1"/>
  <c r="L333" i="1"/>
  <c r="J335" i="1" l="1"/>
  <c r="K334" i="1"/>
  <c r="M333" i="1"/>
  <c r="L334" i="1"/>
  <c r="K335" i="1" l="1"/>
  <c r="J336" i="1"/>
  <c r="L335" i="1"/>
  <c r="M334" i="1"/>
  <c r="K336" i="1" l="1"/>
  <c r="J337" i="1"/>
  <c r="M335" i="1"/>
  <c r="L336" i="1"/>
  <c r="J338" i="1" l="1"/>
  <c r="K337" i="1"/>
  <c r="M336" i="1"/>
  <c r="L337" i="1"/>
  <c r="K338" i="1" l="1"/>
  <c r="J339" i="1"/>
  <c r="L338" i="1"/>
  <c r="M337" i="1"/>
  <c r="J340" i="1" l="1"/>
  <c r="K339" i="1"/>
  <c r="M338" i="1"/>
  <c r="L339" i="1"/>
  <c r="J341" i="1" l="1"/>
  <c r="K340" i="1"/>
  <c r="L340" i="1"/>
  <c r="M339" i="1"/>
  <c r="K341" i="1" l="1"/>
  <c r="J342" i="1"/>
  <c r="L341" i="1"/>
  <c r="M340" i="1"/>
  <c r="J343" i="1" l="1"/>
  <c r="K342" i="1"/>
  <c r="M341" i="1"/>
  <c r="L342" i="1"/>
  <c r="J344" i="1" l="1"/>
  <c r="K343" i="1"/>
  <c r="L343" i="1"/>
  <c r="M342" i="1"/>
  <c r="K344" i="1" l="1"/>
  <c r="J345" i="1"/>
  <c r="L344" i="1"/>
  <c r="M343" i="1"/>
  <c r="K345" i="1" l="1"/>
  <c r="J346" i="1"/>
  <c r="M344" i="1"/>
  <c r="L345" i="1"/>
  <c r="K346" i="1" l="1"/>
  <c r="J347" i="1"/>
  <c r="L346" i="1"/>
  <c r="M345" i="1"/>
  <c r="K347" i="1" l="1"/>
  <c r="J348" i="1"/>
  <c r="M346" i="1"/>
  <c r="L347" i="1"/>
  <c r="K348" i="1" l="1"/>
  <c r="J349" i="1"/>
  <c r="L348" i="1"/>
  <c r="M347" i="1"/>
  <c r="K349" i="1" l="1"/>
  <c r="J350" i="1"/>
  <c r="K350" i="1" s="1"/>
  <c r="L349" i="1"/>
  <c r="M348" i="1"/>
  <c r="L350" i="1" l="1"/>
  <c r="M350" i="1" s="1"/>
  <c r="M349" i="1"/>
  <c r="F65" i="5" l="1"/>
  <c r="F66" i="5" l="1"/>
  <c r="F67" i="5" l="1"/>
  <c r="D59" i="7" l="1"/>
  <c r="H22" i="7" l="1"/>
  <c r="BI1" i="3" l="1"/>
  <c r="BJ1" i="3" s="1"/>
  <c r="BK1" i="3" s="1"/>
  <c r="BL1" i="3" s="1"/>
  <c r="BM1" i="3" s="1"/>
  <c r="BN1" i="3" s="1"/>
  <c r="BO1" i="3" s="1"/>
  <c r="BP1" i="3" s="1"/>
  <c r="BQ1" i="3" s="1"/>
  <c r="BR1" i="3" s="1"/>
  <c r="BS1" i="3" s="1"/>
  <c r="BT1" i="3" s="1"/>
  <c r="F4" i="5" l="1"/>
  <c r="K141" i="1"/>
  <c r="B2" i="4" l="1"/>
  <c r="F5" i="5" s="1"/>
  <c r="B2" i="15"/>
  <c r="P2" i="15" s="1"/>
  <c r="J146" i="1"/>
  <c r="D5" i="5" l="1"/>
  <c r="P2" i="4"/>
  <c r="AW74" i="5"/>
  <c r="AV73" i="5"/>
  <c r="AV74" i="5"/>
  <c r="AW73" i="5"/>
  <c r="AW75" i="5"/>
  <c r="AV75" i="5"/>
  <c r="AX72" i="5" l="1"/>
  <c r="AY72" i="5" s="1"/>
  <c r="AT74" i="5"/>
  <c r="D75" i="5" s="1"/>
  <c r="AT75" i="5"/>
  <c r="D76" i="5" s="1"/>
  <c r="AT73" i="5"/>
  <c r="D74" i="5" s="1"/>
  <c r="AT72" i="5"/>
  <c r="D73" i="5" s="1"/>
  <c r="C76" i="5" l="1"/>
  <c r="C78" i="5" s="1"/>
  <c r="C77" i="5"/>
  <c r="AU72" i="5"/>
  <c r="E73" i="5" s="1"/>
  <c r="G73" i="5" l="1"/>
  <c r="B44" i="7" l="1"/>
  <c r="C12" i="5"/>
  <c r="L17" i="6"/>
  <c r="K17" i="6"/>
  <c r="F17" i="6"/>
  <c r="C17" i="6"/>
  <c r="H17" i="6"/>
  <c r="J17" i="6"/>
  <c r="I17" i="6"/>
  <c r="B17" i="6" l="1"/>
  <c r="G17" i="6"/>
  <c r="M17" i="6"/>
  <c r="A68" i="5" l="1"/>
  <c r="L68" i="5" s="1"/>
  <c r="C57" i="5" l="1"/>
  <c r="C58" i="5"/>
  <c r="CG51" i="3"/>
  <c r="CG54" i="3" s="1"/>
  <c r="DB51" i="3"/>
  <c r="DB54" i="3" s="1"/>
  <c r="CF7" i="3"/>
  <c r="CF9" i="3"/>
  <c r="CF10" i="3"/>
  <c r="CF11" i="3"/>
  <c r="CF12" i="3"/>
  <c r="CF13" i="3"/>
  <c r="C54" i="7"/>
  <c r="J60" i="3"/>
  <c r="AL10" i="3"/>
  <c r="AL9" i="3"/>
  <c r="AL8" i="3"/>
  <c r="BG3" i="3"/>
  <c r="AL11" i="3"/>
  <c r="BG4" i="3"/>
  <c r="AL7" i="3"/>
  <c r="DA3" i="3"/>
  <c r="DA4" i="3"/>
  <c r="K60" i="3"/>
  <c r="DA5" i="3"/>
  <c r="DA13" i="3"/>
  <c r="DA12" i="3"/>
  <c r="DA11" i="3"/>
  <c r="DA10" i="3"/>
  <c r="DA9" i="3"/>
  <c r="DA7" i="3"/>
  <c r="DA6" i="3"/>
  <c r="D3" i="4"/>
  <c r="DE51" i="3" l="1"/>
  <c r="DE54" i="3" s="1"/>
  <c r="DD51" i="3"/>
  <c r="DC51" i="3"/>
  <c r="DC54" i="3" s="1"/>
  <c r="CH51" i="3"/>
  <c r="CH54" i="3" s="1"/>
  <c r="CG55" i="3"/>
  <c r="BH62" i="3" s="1"/>
  <c r="B18" i="6" s="1"/>
  <c r="CJ51" i="3"/>
  <c r="BI61" i="3"/>
  <c r="CI51" i="3"/>
  <c r="CH55" i="3" l="1"/>
  <c r="BI62" i="3" s="1"/>
  <c r="C18" i="6" s="1"/>
  <c r="CO51" i="3"/>
  <c r="CO54" i="3" s="1"/>
  <c r="DJ51" i="3"/>
  <c r="DJ54" i="3" s="1"/>
  <c r="BJ61" i="3"/>
  <c r="BQ61" i="3"/>
  <c r="CJ54" i="3"/>
  <c r="CJ55" i="3" s="1"/>
  <c r="BK62" i="3" s="1"/>
  <c r="E18" i="6" s="1"/>
  <c r="BL61" i="3"/>
  <c r="CS51" i="3" l="1"/>
  <c r="CO55" i="3"/>
  <c r="BP62" i="3" s="1"/>
  <c r="J18" i="6" s="1"/>
  <c r="DN51" i="3"/>
  <c r="DR51" i="3" l="1"/>
  <c r="C101" i="3"/>
  <c r="G99" i="3" s="1"/>
  <c r="F101" i="3"/>
  <c r="Q30" i="3" l="1"/>
  <c r="H99" i="3"/>
  <c r="O27" i="6" s="1"/>
  <c r="W27" i="6" s="1"/>
  <c r="D27" i="6" l="1"/>
  <c r="AA30" i="3"/>
  <c r="A27" i="6" l="1"/>
  <c r="N27" i="6"/>
  <c r="Y27" i="6" l="1"/>
  <c r="X27" i="6"/>
  <c r="X8" i="4"/>
  <c r="J8" i="4"/>
  <c r="X13" i="4"/>
  <c r="Y12" i="4" s="1"/>
  <c r="Z11" i="4" s="1"/>
  <c r="X25" i="4"/>
  <c r="Y24" i="4" s="1"/>
  <c r="Z23" i="4" s="1"/>
  <c r="X15" i="4"/>
  <c r="Y14" i="4" s="1"/>
  <c r="Z13" i="4" s="1"/>
  <c r="X50" i="4"/>
  <c r="Y49" i="4" s="1"/>
  <c r="Z48" i="4" s="1"/>
  <c r="X10" i="4"/>
  <c r="Y9" i="4" s="1"/>
  <c r="Z8" i="4" s="1"/>
  <c r="X12" i="4"/>
  <c r="Y11" i="4" s="1"/>
  <c r="Z10" i="4" s="1"/>
  <c r="X24" i="4"/>
  <c r="Y23" i="4" s="1"/>
  <c r="Z22" i="4" s="1"/>
  <c r="X20" i="4"/>
  <c r="Y19" i="4" s="1"/>
  <c r="Z18" i="4" s="1"/>
  <c r="X29" i="4"/>
  <c r="Y28" i="4" s="1"/>
  <c r="Z27" i="4" s="1"/>
  <c r="X40" i="4"/>
  <c r="Y39" i="4" s="1"/>
  <c r="Z38" i="4" s="1"/>
  <c r="X66" i="4"/>
  <c r="Y65" i="4" s="1"/>
  <c r="Z64" i="4" s="1"/>
  <c r="X63" i="4"/>
  <c r="Y62" i="4" s="1"/>
  <c r="Z61" i="4" s="1"/>
  <c r="X26" i="4"/>
  <c r="Y25" i="4" s="1"/>
  <c r="Z24" i="4" s="1"/>
  <c r="X16" i="4"/>
  <c r="Y15" i="4" s="1"/>
  <c r="Z14" i="4" s="1"/>
  <c r="X51" i="4"/>
  <c r="Y50" i="4" s="1"/>
  <c r="Z49" i="4" s="1"/>
  <c r="J9" i="4"/>
  <c r="K8" i="4" s="1"/>
  <c r="X9" i="4"/>
  <c r="Y8" i="4" s="1"/>
  <c r="X72" i="4"/>
  <c r="Y71" i="4" s="1"/>
  <c r="Z70" i="4" s="1"/>
  <c r="X22" i="4"/>
  <c r="Y21" i="4" s="1"/>
  <c r="Z20" i="4" s="1"/>
  <c r="X27" i="4"/>
  <c r="Y26" i="4" s="1"/>
  <c r="Z25" i="4" s="1"/>
  <c r="X33" i="4"/>
  <c r="Y32" i="4" s="1"/>
  <c r="Z31" i="4" s="1"/>
  <c r="X47" i="4"/>
  <c r="Y46" i="4" s="1"/>
  <c r="Z45" i="4" s="1"/>
  <c r="X70" i="4"/>
  <c r="Y69" i="4" s="1"/>
  <c r="Z68" i="4" s="1"/>
  <c r="X32" i="4"/>
  <c r="Y31" i="4" s="1"/>
  <c r="Z30" i="4" s="1"/>
  <c r="X17" i="4"/>
  <c r="Y16" i="4" s="1"/>
  <c r="Z15" i="4" s="1"/>
  <c r="X65" i="4"/>
  <c r="Y64" i="4" s="1"/>
  <c r="Z63" i="4" s="1"/>
  <c r="X82" i="4"/>
  <c r="Y81" i="4" s="1"/>
  <c r="Z80" i="4" s="1"/>
  <c r="X77" i="4"/>
  <c r="Y76" i="4" s="1"/>
  <c r="Z75" i="4" s="1"/>
  <c r="X31" i="4"/>
  <c r="Y30" i="4" s="1"/>
  <c r="Z29" i="4" s="1"/>
  <c r="X48" i="4"/>
  <c r="Y47" i="4" s="1"/>
  <c r="Z46" i="4" s="1"/>
  <c r="X62" i="4"/>
  <c r="Y61" i="4" s="1"/>
  <c r="Z60" i="4" s="1"/>
  <c r="X23" i="4"/>
  <c r="Y22" i="4" s="1"/>
  <c r="Z21" i="4" s="1"/>
  <c r="X28" i="4"/>
  <c r="Y27" i="4" s="1"/>
  <c r="Z26" i="4" s="1"/>
  <c r="X58" i="4"/>
  <c r="Y57" i="4" s="1"/>
  <c r="Z56" i="4" s="1"/>
  <c r="X11" i="4"/>
  <c r="Y10" i="4" s="1"/>
  <c r="Z9" i="4" s="1"/>
  <c r="X35" i="4"/>
  <c r="Y34" i="4" s="1"/>
  <c r="Z33" i="4" s="1"/>
  <c r="X30" i="4"/>
  <c r="Y29" i="4" s="1"/>
  <c r="Z28" i="4" s="1"/>
  <c r="X59" i="4"/>
  <c r="Y58" i="4" s="1"/>
  <c r="Z57" i="4" s="1"/>
  <c r="X61" i="4"/>
  <c r="Y60" i="4" s="1"/>
  <c r="Z59" i="4" s="1"/>
  <c r="X14" i="4"/>
  <c r="Y13" i="4" s="1"/>
  <c r="Z12" i="4" s="1"/>
  <c r="X53" i="4"/>
  <c r="Y52" i="4" s="1"/>
  <c r="Z51" i="4" s="1"/>
  <c r="X43" i="4"/>
  <c r="Y42" i="4" s="1"/>
  <c r="Z41" i="4" s="1"/>
  <c r="X21" i="4"/>
  <c r="Y20" i="4" s="1"/>
  <c r="Z19" i="4" s="1"/>
  <c r="X71" i="4"/>
  <c r="Y70" i="4" s="1"/>
  <c r="Z69" i="4" s="1"/>
  <c r="X86" i="4"/>
  <c r="Y85" i="4" s="1"/>
  <c r="Z84" i="4" s="1"/>
  <c r="X73" i="4"/>
  <c r="Y72" i="4" s="1"/>
  <c r="Z71" i="4" s="1"/>
  <c r="X54" i="4"/>
  <c r="Y53" i="4" s="1"/>
  <c r="Z52" i="4" s="1"/>
  <c r="X55" i="4"/>
  <c r="Y54" i="4" s="1"/>
  <c r="Z53" i="4" s="1"/>
  <c r="X78" i="4"/>
  <c r="Y77" i="4" s="1"/>
  <c r="Z76" i="4" s="1"/>
  <c r="X89" i="4"/>
  <c r="Y88" i="4" s="1"/>
  <c r="Z87" i="4" s="1"/>
  <c r="X80" i="4"/>
  <c r="Y79" i="4" s="1"/>
  <c r="Z78" i="4" s="1"/>
  <c r="X38" i="4"/>
  <c r="Y37" i="4" s="1"/>
  <c r="Z36" i="4" s="1"/>
  <c r="X64" i="4"/>
  <c r="Y63" i="4" s="1"/>
  <c r="Z62" i="4" s="1"/>
  <c r="X42" i="4"/>
  <c r="Y41" i="4" s="1"/>
  <c r="Z40" i="4" s="1"/>
  <c r="X74" i="4"/>
  <c r="Y73" i="4" s="1"/>
  <c r="Z72" i="4" s="1"/>
  <c r="X90" i="4"/>
  <c r="Y89" i="4" s="1"/>
  <c r="Z88" i="4" s="1"/>
  <c r="X87" i="4"/>
  <c r="Y86" i="4" s="1"/>
  <c r="Z85" i="4" s="1"/>
  <c r="X19" i="4"/>
  <c r="Y18" i="4" s="1"/>
  <c r="Z17" i="4" s="1"/>
  <c r="X46" i="4"/>
  <c r="Y45" i="4" s="1"/>
  <c r="Z44" i="4" s="1"/>
  <c r="X57" i="4"/>
  <c r="Y56" i="4" s="1"/>
  <c r="Z55" i="4" s="1"/>
  <c r="X45" i="4"/>
  <c r="Y44" i="4" s="1"/>
  <c r="Z43" i="4" s="1"/>
  <c r="X56" i="4"/>
  <c r="Y55" i="4" s="1"/>
  <c r="Z54" i="4" s="1"/>
  <c r="X34" i="4"/>
  <c r="Y33" i="4" s="1"/>
  <c r="Z32" i="4" s="1"/>
  <c r="X67" i="4"/>
  <c r="Y66" i="4" s="1"/>
  <c r="Z65" i="4" s="1"/>
  <c r="X83" i="4"/>
  <c r="Y82" i="4" s="1"/>
  <c r="Z81" i="4" s="1"/>
  <c r="X75" i="4"/>
  <c r="Y74" i="4" s="1"/>
  <c r="Z73" i="4" s="1"/>
  <c r="X52" i="4"/>
  <c r="Y51" i="4" s="1"/>
  <c r="Z50" i="4" s="1"/>
  <c r="X85" i="4"/>
  <c r="Y84" i="4" s="1"/>
  <c r="Z83" i="4" s="1"/>
  <c r="X49" i="4"/>
  <c r="Y48" i="4" s="1"/>
  <c r="Z47" i="4" s="1"/>
  <c r="X79" i="4"/>
  <c r="Y78" i="4" s="1"/>
  <c r="Z77" i="4" s="1"/>
  <c r="X37" i="4"/>
  <c r="Y36" i="4" s="1"/>
  <c r="Z35" i="4" s="1"/>
  <c r="X68" i="4"/>
  <c r="Y67" i="4" s="1"/>
  <c r="Z66" i="4" s="1"/>
  <c r="X18" i="4"/>
  <c r="Y17" i="4" s="1"/>
  <c r="Z16" i="4" s="1"/>
  <c r="X36" i="4"/>
  <c r="Y35" i="4" s="1"/>
  <c r="Z34" i="4" s="1"/>
  <c r="X44" i="4"/>
  <c r="Y43" i="4" s="1"/>
  <c r="Z42" i="4" s="1"/>
  <c r="X91" i="4"/>
  <c r="Y90" i="4" s="1"/>
  <c r="Z89" i="4" s="1"/>
  <c r="X60" i="4"/>
  <c r="Y59" i="4" s="1"/>
  <c r="Z58" i="4" s="1"/>
  <c r="X41" i="4"/>
  <c r="Y40" i="4" s="1"/>
  <c r="Z39" i="4" s="1"/>
  <c r="X84" i="4"/>
  <c r="Y83" i="4" s="1"/>
  <c r="Z82" i="4" s="1"/>
  <c r="X69" i="4"/>
  <c r="Y68" i="4" s="1"/>
  <c r="Z67" i="4" s="1"/>
  <c r="X76" i="4"/>
  <c r="Y75" i="4" s="1"/>
  <c r="Z74" i="4" s="1"/>
  <c r="X39" i="4"/>
  <c r="Y38" i="4" s="1"/>
  <c r="Z37" i="4" s="1"/>
  <c r="X81" i="4"/>
  <c r="Y80" i="4" s="1"/>
  <c r="Z79" i="4" s="1"/>
  <c r="X88" i="4"/>
  <c r="Y87" i="4" s="1"/>
  <c r="Z86" i="4" s="1"/>
  <c r="Q16" i="4" l="1"/>
  <c r="Q17" i="4" s="1"/>
  <c r="Q18" i="4" s="1"/>
  <c r="S19" i="4" s="1"/>
  <c r="O20" i="4" s="1"/>
  <c r="J10" i="4"/>
  <c r="K9" i="4" s="1"/>
  <c r="L8" i="4" s="1"/>
  <c r="Q19" i="4" l="1"/>
  <c r="J11" i="4"/>
  <c r="K10" i="4" s="1"/>
  <c r="L9" i="4" s="1"/>
  <c r="O21" i="4"/>
  <c r="P71" i="4" s="1"/>
  <c r="O91" i="4"/>
  <c r="P20" i="4"/>
  <c r="J12" i="4" l="1"/>
  <c r="K11" i="4" s="1"/>
  <c r="L10" i="4" s="1"/>
  <c r="P55" i="4"/>
  <c r="O56" i="4" s="1"/>
  <c r="P21" i="4"/>
  <c r="R21" i="4" s="1"/>
  <c r="P91" i="4"/>
  <c r="O92" i="4"/>
  <c r="T71" i="4"/>
  <c r="O72" i="4"/>
  <c r="P72" i="4"/>
  <c r="R20" i="4"/>
  <c r="Q20" i="4" s="1"/>
  <c r="O44" i="4" l="1"/>
  <c r="P44" i="4" s="1"/>
  <c r="Q21" i="4"/>
  <c r="Q22" i="4" s="1"/>
  <c r="T23" i="4" s="1"/>
  <c r="P23" i="4" s="1"/>
  <c r="J13" i="4"/>
  <c r="K12" i="4" s="1"/>
  <c r="L11" i="4" s="1"/>
  <c r="P56" i="4"/>
  <c r="T56" i="4" s="1"/>
  <c r="T55" i="4"/>
  <c r="S69" i="4"/>
  <c r="T72" i="4"/>
  <c r="O73" i="4"/>
  <c r="P73" i="4"/>
  <c r="P92" i="4"/>
  <c r="O93" i="4"/>
  <c r="O45" i="4" l="1"/>
  <c r="O46" i="4" s="1"/>
  <c r="O57" i="4"/>
  <c r="P57" i="4"/>
  <c r="T57" i="4" s="1"/>
  <c r="J14" i="4"/>
  <c r="K13" i="4" s="1"/>
  <c r="L12" i="4" s="1"/>
  <c r="P93" i="4"/>
  <c r="O94" i="4"/>
  <c r="R23" i="4"/>
  <c r="S23" i="4" s="1"/>
  <c r="O50" i="4"/>
  <c r="P50" i="4" s="1"/>
  <c r="P31" i="4"/>
  <c r="O74" i="4"/>
  <c r="T73" i="4"/>
  <c r="P74" i="4"/>
  <c r="P45" i="4" l="1"/>
  <c r="O58" i="4"/>
  <c r="P58" i="4"/>
  <c r="P59" i="4" s="1"/>
  <c r="J15" i="4"/>
  <c r="K14" i="4" s="1"/>
  <c r="L13" i="4" s="1"/>
  <c r="O32" i="4"/>
  <c r="T31" i="4"/>
  <c r="R31" i="4"/>
  <c r="S31" i="4" s="1"/>
  <c r="P32" i="4"/>
  <c r="P94" i="4"/>
  <c r="O95" i="4"/>
  <c r="P46" i="4"/>
  <c r="O47" i="4"/>
  <c r="O75" i="4"/>
  <c r="T74" i="4"/>
  <c r="P75" i="4"/>
  <c r="Q23" i="4"/>
  <c r="S24" i="4"/>
  <c r="Q24" i="4" s="1"/>
  <c r="Q25" i="4" s="1"/>
  <c r="Q26" i="4" s="1"/>
  <c r="T58" i="4" l="1"/>
  <c r="O59" i="4"/>
  <c r="Q71" i="4"/>
  <c r="Q55" i="4"/>
  <c r="Q31" i="4"/>
  <c r="V31" i="4" s="1"/>
  <c r="Q58" i="4"/>
  <c r="J16" i="4"/>
  <c r="K15" i="4" s="1"/>
  <c r="L14" i="4" s="1"/>
  <c r="O60" i="4"/>
  <c r="Q59" i="4"/>
  <c r="T59" i="4"/>
  <c r="P60" i="4"/>
  <c r="T75" i="4"/>
  <c r="O76" i="4"/>
  <c r="Q75" i="4"/>
  <c r="P76" i="4"/>
  <c r="Q73" i="4"/>
  <c r="Q57" i="4"/>
  <c r="Q74" i="4"/>
  <c r="P95" i="4"/>
  <c r="R57" i="4" s="1"/>
  <c r="O96" i="4"/>
  <c r="P47" i="4"/>
  <c r="O48" i="4"/>
  <c r="O33" i="4"/>
  <c r="T32" i="4"/>
  <c r="Q32" i="4"/>
  <c r="P33" i="4"/>
  <c r="R55" i="4" l="1"/>
  <c r="S55" i="4" s="1"/>
  <c r="R72" i="4"/>
  <c r="R71" i="4"/>
  <c r="R56" i="4"/>
  <c r="J17" i="4"/>
  <c r="K16" i="4" s="1"/>
  <c r="L15" i="4" s="1"/>
  <c r="R74" i="4"/>
  <c r="R58" i="4"/>
  <c r="P48" i="4"/>
  <c r="O49" i="4"/>
  <c r="P96" i="4"/>
  <c r="O97" i="4"/>
  <c r="P97" i="4" s="1"/>
  <c r="R76" i="4"/>
  <c r="T76" i="4"/>
  <c r="O77" i="4"/>
  <c r="Q76" i="4"/>
  <c r="P77" i="4"/>
  <c r="R73" i="4"/>
  <c r="R33" i="4"/>
  <c r="T33" i="4"/>
  <c r="O34" i="4"/>
  <c r="Q33" i="4"/>
  <c r="P34" i="4"/>
  <c r="Q60" i="4"/>
  <c r="R60" i="4"/>
  <c r="T60" i="4"/>
  <c r="O61" i="4"/>
  <c r="P61" i="4"/>
  <c r="R59" i="4"/>
  <c r="R75" i="4"/>
  <c r="S56" i="4" l="1"/>
  <c r="S57" i="4" s="1"/>
  <c r="S58" i="4" s="1"/>
  <c r="S59" i="4" s="1"/>
  <c r="S60" i="4" s="1"/>
  <c r="J18" i="4"/>
  <c r="K17" i="4" s="1"/>
  <c r="L16" i="4" s="1"/>
  <c r="R34" i="4"/>
  <c r="O35" i="4"/>
  <c r="T34" i="4"/>
  <c r="Q34" i="4"/>
  <c r="P35" i="4"/>
  <c r="R77" i="4"/>
  <c r="Q77" i="4"/>
  <c r="T77" i="4"/>
  <c r="O78" i="4"/>
  <c r="P78" i="4"/>
  <c r="R61" i="4"/>
  <c r="T61" i="4"/>
  <c r="Q61" i="4"/>
  <c r="O62" i="4"/>
  <c r="P62" i="4"/>
  <c r="P49" i="4"/>
  <c r="R32" i="4"/>
  <c r="S32" i="4" s="1"/>
  <c r="S61" i="4" l="1"/>
  <c r="J19" i="4"/>
  <c r="K18" i="4" s="1"/>
  <c r="L17" i="4" s="1"/>
  <c r="S33" i="4"/>
  <c r="V32" i="4"/>
  <c r="Q62" i="4"/>
  <c r="R62" i="4"/>
  <c r="O63" i="4"/>
  <c r="T62" i="4"/>
  <c r="P63" i="4"/>
  <c r="T78" i="4"/>
  <c r="O79" i="4"/>
  <c r="R78" i="4"/>
  <c r="Q78" i="4"/>
  <c r="P79" i="4"/>
  <c r="T35" i="4"/>
  <c r="O36" i="4"/>
  <c r="R35" i="4"/>
  <c r="Q35" i="4"/>
  <c r="P36" i="4"/>
  <c r="Q56" i="4"/>
  <c r="Q72" i="4"/>
  <c r="S62" i="4" l="1"/>
  <c r="J20" i="4"/>
  <c r="K19" i="4" s="1"/>
  <c r="L18" i="4" s="1"/>
  <c r="O64" i="4"/>
  <c r="Q63" i="4"/>
  <c r="R63" i="4"/>
  <c r="P64" i="4"/>
  <c r="T63" i="4"/>
  <c r="T79" i="4"/>
  <c r="O80" i="4"/>
  <c r="R79" i="4"/>
  <c r="Q79" i="4"/>
  <c r="P80" i="4"/>
  <c r="T36" i="4"/>
  <c r="O37" i="4"/>
  <c r="R36" i="4"/>
  <c r="Q36" i="4"/>
  <c r="P37" i="4"/>
  <c r="S34" i="4"/>
  <c r="V33" i="4"/>
  <c r="S63" i="4" l="1"/>
  <c r="J21" i="4"/>
  <c r="K20" i="4" s="1"/>
  <c r="L19" i="4" s="1"/>
  <c r="V34" i="4"/>
  <c r="S35" i="4"/>
  <c r="Q64" i="4"/>
  <c r="T64" i="4"/>
  <c r="O65" i="4"/>
  <c r="R64" i="4"/>
  <c r="P65" i="4"/>
  <c r="R37" i="4"/>
  <c r="T37" i="4"/>
  <c r="O38" i="4"/>
  <c r="P38" i="4"/>
  <c r="Q37" i="4"/>
  <c r="O81" i="4"/>
  <c r="Q80" i="4"/>
  <c r="T80" i="4"/>
  <c r="R80" i="4"/>
  <c r="P81" i="4"/>
  <c r="S64" i="4" l="1"/>
  <c r="J22" i="4"/>
  <c r="K21" i="4" s="1"/>
  <c r="L20" i="4" s="1"/>
  <c r="O39" i="4"/>
  <c r="R38" i="4"/>
  <c r="T38" i="4"/>
  <c r="P39" i="4"/>
  <c r="Q38" i="4"/>
  <c r="Q65" i="4"/>
  <c r="T65" i="4"/>
  <c r="R65" i="4"/>
  <c r="S36" i="4"/>
  <c r="V35" i="4"/>
  <c r="R81" i="4"/>
  <c r="O82" i="4"/>
  <c r="T81" i="4"/>
  <c r="Q81" i="4"/>
  <c r="P82" i="4"/>
  <c r="S65" i="4" l="1"/>
  <c r="T106" i="4"/>
  <c r="S52" i="4"/>
  <c r="Q70" i="4" s="1"/>
  <c r="S70" i="4" s="1"/>
  <c r="S71" i="4" s="1"/>
  <c r="S72" i="4" s="1"/>
  <c r="S73" i="4" s="1"/>
  <c r="S74" i="4" s="1"/>
  <c r="S75" i="4" s="1"/>
  <c r="S76" i="4" s="1"/>
  <c r="S77" i="4" s="1"/>
  <c r="S78" i="4" s="1"/>
  <c r="S79" i="4" s="1"/>
  <c r="S80" i="4" s="1"/>
  <c r="S81" i="4" s="1"/>
  <c r="S68" i="4" s="1"/>
  <c r="J23" i="4"/>
  <c r="K22" i="4" s="1"/>
  <c r="L21" i="4" s="1"/>
  <c r="O40" i="4"/>
  <c r="R39" i="4"/>
  <c r="T39" i="4"/>
  <c r="P40" i="4"/>
  <c r="Q39" i="4"/>
  <c r="V36" i="4"/>
  <c r="S37" i="4"/>
  <c r="Q82" i="4"/>
  <c r="T82" i="4"/>
  <c r="R82" i="4"/>
  <c r="O83" i="4"/>
  <c r="P83" i="4"/>
  <c r="S82" i="4" l="1"/>
  <c r="J24" i="4"/>
  <c r="K23" i="4" s="1"/>
  <c r="L22" i="4" s="1"/>
  <c r="R40" i="4"/>
  <c r="T40" i="4"/>
  <c r="O41" i="4"/>
  <c r="Q40" i="4"/>
  <c r="P41" i="4"/>
  <c r="R83" i="4"/>
  <c r="T83" i="4"/>
  <c r="Q83" i="4"/>
  <c r="O84" i="4"/>
  <c r="P84" i="4"/>
  <c r="S38" i="4"/>
  <c r="V37" i="4"/>
  <c r="S83" i="4" l="1"/>
  <c r="J25" i="4"/>
  <c r="K24" i="4" s="1"/>
  <c r="L23" i="4" s="1"/>
  <c r="R41" i="4"/>
  <c r="T41" i="4"/>
  <c r="Q41" i="4"/>
  <c r="S53" i="4" s="1"/>
  <c r="V38" i="4"/>
  <c r="S39" i="4"/>
  <c r="R84" i="4"/>
  <c r="O85" i="4"/>
  <c r="Q84" i="4"/>
  <c r="T84" i="4"/>
  <c r="P85" i="4"/>
  <c r="S84" i="4" l="1"/>
  <c r="J26" i="4"/>
  <c r="K25" i="4" s="1"/>
  <c r="L24" i="4" s="1"/>
  <c r="T85" i="4"/>
  <c r="Q85" i="4"/>
  <c r="O86" i="4"/>
  <c r="R85" i="4"/>
  <c r="P86" i="4"/>
  <c r="S40" i="4"/>
  <c r="V39" i="4"/>
  <c r="J27" i="4" l="1"/>
  <c r="K26" i="4" s="1"/>
  <c r="L25" i="4" s="1"/>
  <c r="S85" i="4"/>
  <c r="R86" i="4"/>
  <c r="T86" i="4"/>
  <c r="O87" i="4"/>
  <c r="Q86" i="4"/>
  <c r="P87" i="4"/>
  <c r="S41" i="4"/>
  <c r="V40" i="4"/>
  <c r="V41" i="4" l="1"/>
  <c r="R106" i="4"/>
  <c r="S86" i="4"/>
  <c r="J28" i="4"/>
  <c r="K27" i="4" s="1"/>
  <c r="L26" i="4" s="1"/>
  <c r="R87" i="4"/>
  <c r="Q87" i="4"/>
  <c r="T87" i="4"/>
  <c r="O88" i="4"/>
  <c r="P88" i="4"/>
  <c r="S87" i="4" l="1"/>
  <c r="J29" i="4"/>
  <c r="K28" i="4" s="1"/>
  <c r="L27" i="4" s="1"/>
  <c r="R88" i="4"/>
  <c r="T88" i="4"/>
  <c r="Q88" i="4"/>
  <c r="O89" i="4"/>
  <c r="P89" i="4"/>
  <c r="S88" i="4" l="1"/>
  <c r="J30" i="4"/>
  <c r="K29" i="4" s="1"/>
  <c r="L28" i="4" s="1"/>
  <c r="R89" i="4"/>
  <c r="T89" i="4"/>
  <c r="Q89" i="4"/>
  <c r="J31" i="4" l="1"/>
  <c r="K30" i="4" s="1"/>
  <c r="L29" i="4" s="1"/>
  <c r="S89" i="4"/>
  <c r="S93" i="4" l="1"/>
  <c r="S94" i="4"/>
  <c r="S97" i="4"/>
  <c r="S95" i="4"/>
  <c r="S100" i="4"/>
  <c r="S96" i="4"/>
  <c r="S92" i="4"/>
  <c r="S99" i="4"/>
  <c r="S91" i="4"/>
  <c r="S101" i="4"/>
  <c r="S98" i="4"/>
  <c r="S102" i="4"/>
  <c r="J32" i="4"/>
  <c r="K31" i="4" s="1"/>
  <c r="L30" i="4" s="1"/>
  <c r="J33" i="4" l="1"/>
  <c r="K32" i="4" s="1"/>
  <c r="L31" i="4" s="1"/>
  <c r="J34" i="4" l="1"/>
  <c r="K33" i="4" s="1"/>
  <c r="L32" i="4" s="1"/>
  <c r="J35" i="4" l="1"/>
  <c r="K34" i="4" s="1"/>
  <c r="L33" i="4" s="1"/>
  <c r="J36" i="4" l="1"/>
  <c r="K35" i="4" s="1"/>
  <c r="L34" i="4" s="1"/>
  <c r="J37" i="4" l="1"/>
  <c r="K36" i="4" s="1"/>
  <c r="L35" i="4" s="1"/>
  <c r="J38" i="4" l="1"/>
  <c r="K37" i="4" s="1"/>
  <c r="L36" i="4" s="1"/>
  <c r="J39" i="4" l="1"/>
  <c r="K38" i="4" s="1"/>
  <c r="L37" i="4" s="1"/>
  <c r="J40" i="4" l="1"/>
  <c r="K39" i="4" s="1"/>
  <c r="L38" i="4" s="1"/>
  <c r="J41" i="4" l="1"/>
  <c r="K40" i="4" s="1"/>
  <c r="L39" i="4" s="1"/>
  <c r="J42" i="4" l="1"/>
  <c r="K41" i="4" s="1"/>
  <c r="L40" i="4" s="1"/>
  <c r="J43" i="4" l="1"/>
  <c r="K42" i="4" s="1"/>
  <c r="L41" i="4" s="1"/>
  <c r="J44" i="4" l="1"/>
  <c r="K43" i="4" s="1"/>
  <c r="L42" i="4" s="1"/>
  <c r="J45" i="4" l="1"/>
  <c r="K44" i="4" s="1"/>
  <c r="L43" i="4" s="1"/>
  <c r="J46" i="4" l="1"/>
  <c r="K45" i="4" s="1"/>
  <c r="L44" i="4" s="1"/>
  <c r="J47" i="4" l="1"/>
  <c r="K46" i="4" s="1"/>
  <c r="L45" i="4" s="1"/>
  <c r="J48" i="4" l="1"/>
  <c r="K47" i="4" s="1"/>
  <c r="L46" i="4" s="1"/>
  <c r="J49" i="4" l="1"/>
  <c r="K48" i="4" s="1"/>
  <c r="L47" i="4" s="1"/>
  <c r="J50" i="4" l="1"/>
  <c r="K49" i="4" l="1"/>
  <c r="L48" i="4" s="1"/>
  <c r="J51" i="4"/>
  <c r="K50" i="4" s="1"/>
  <c r="L49" i="4" s="1"/>
  <c r="J52" i="4" l="1"/>
  <c r="K51" i="4" s="1"/>
  <c r="L50" i="4" s="1"/>
  <c r="J53" i="4" l="1"/>
  <c r="K52" i="4" s="1"/>
  <c r="L51" i="4" s="1"/>
  <c r="J54" i="4" l="1"/>
  <c r="K53" i="4" s="1"/>
  <c r="L52" i="4" s="1"/>
  <c r="J55" i="4" l="1"/>
  <c r="K54" i="4" s="1"/>
  <c r="L53" i="4" s="1"/>
  <c r="J56" i="4" l="1"/>
  <c r="K55" i="4" s="1"/>
  <c r="L54" i="4" s="1"/>
  <c r="J57" i="4" l="1"/>
  <c r="K56" i="4" s="1"/>
  <c r="L55" i="4" s="1"/>
  <c r="J58" i="4" l="1"/>
  <c r="K57" i="4" s="1"/>
  <c r="L56" i="4" s="1"/>
  <c r="J59" i="4" l="1"/>
  <c r="K58" i="4" s="1"/>
  <c r="L57" i="4" s="1"/>
  <c r="J60" i="4" l="1"/>
  <c r="K59" i="4" s="1"/>
  <c r="L58" i="4" s="1"/>
  <c r="J61" i="4" l="1"/>
  <c r="K60" i="4" s="1"/>
  <c r="L59" i="4" s="1"/>
  <c r="J62" i="4" l="1"/>
  <c r="K61" i="4" s="1"/>
  <c r="L60" i="4" s="1"/>
  <c r="J63" i="4" l="1"/>
  <c r="K62" i="4" s="1"/>
  <c r="L61" i="4" s="1"/>
  <c r="J64" i="4" l="1"/>
  <c r="K63" i="4" s="1"/>
  <c r="L62" i="4" s="1"/>
  <c r="J65" i="4" l="1"/>
  <c r="K64" i="4" s="1"/>
  <c r="L63" i="4" s="1"/>
  <c r="J66" i="4" l="1"/>
  <c r="K65" i="4" s="1"/>
  <c r="L64" i="4" s="1"/>
  <c r="J67" i="4" l="1"/>
  <c r="K66" i="4" s="1"/>
  <c r="L65" i="4" s="1"/>
  <c r="J68" i="4" l="1"/>
  <c r="K67" i="4" s="1"/>
  <c r="L66" i="4" s="1"/>
  <c r="J69" i="4" l="1"/>
  <c r="K68" i="4" s="1"/>
  <c r="L67" i="4" s="1"/>
  <c r="J70" i="4" l="1"/>
  <c r="K69" i="4" s="1"/>
  <c r="L68" i="4" s="1"/>
  <c r="J71" i="4" l="1"/>
  <c r="K70" i="4" s="1"/>
  <c r="L69" i="4" s="1"/>
  <c r="J72" i="4" l="1"/>
  <c r="K71" i="4" l="1"/>
  <c r="L70" i="4" s="1"/>
  <c r="J73" i="4"/>
  <c r="K72" i="4" s="1"/>
  <c r="L71" i="4" s="1"/>
  <c r="J74" i="4" l="1"/>
  <c r="K73" i="4" s="1"/>
  <c r="L72" i="4" s="1"/>
  <c r="J75" i="4" l="1"/>
  <c r="K74" i="4" s="1"/>
  <c r="L73" i="4" s="1"/>
  <c r="J76" i="4" l="1"/>
  <c r="K75" i="4" s="1"/>
  <c r="L74" i="4" s="1"/>
  <c r="J77" i="4" l="1"/>
  <c r="K76" i="4" s="1"/>
  <c r="L75" i="4" s="1"/>
  <c r="J78" i="4" l="1"/>
  <c r="K77" i="4" s="1"/>
  <c r="L76" i="4" s="1"/>
  <c r="J79" i="4" l="1"/>
  <c r="K78" i="4" l="1"/>
  <c r="L77" i="4" s="1"/>
  <c r="C16" i="4"/>
  <c r="C17" i="4" s="1"/>
  <c r="C18" i="4" s="1"/>
  <c r="E19" i="4" s="1"/>
  <c r="J80" i="4"/>
  <c r="K79" i="4" s="1"/>
  <c r="L78" i="4" s="1"/>
  <c r="C19" i="4" l="1"/>
  <c r="G3" i="4" s="1"/>
  <c r="A20" i="4"/>
  <c r="J81" i="4"/>
  <c r="K80" i="4" s="1"/>
  <c r="L79" i="4" s="1"/>
  <c r="B20" i="4" l="1"/>
  <c r="A21" i="4"/>
  <c r="B71" i="4" s="1"/>
  <c r="A91" i="4"/>
  <c r="J82" i="4"/>
  <c r="K81" i="4" s="1"/>
  <c r="L80" i="4" s="1"/>
  <c r="C104" i="4" l="1"/>
  <c r="B105" i="4"/>
  <c r="B72" i="4"/>
  <c r="A72" i="4"/>
  <c r="F71" i="4"/>
  <c r="B91" i="4"/>
  <c r="A92" i="4"/>
  <c r="B55" i="4"/>
  <c r="B21" i="4"/>
  <c r="A44" i="4" s="1"/>
  <c r="D20" i="4"/>
  <c r="C20" i="4" s="1"/>
  <c r="J83" i="4"/>
  <c r="K82" i="4" s="1"/>
  <c r="L81" i="4" s="1"/>
  <c r="D21" i="4" l="1"/>
  <c r="C21" i="4" s="1"/>
  <c r="C22" i="4" s="1"/>
  <c r="F23" i="4" s="1"/>
  <c r="B23" i="4" s="1"/>
  <c r="C55" i="4" s="1"/>
  <c r="B44" i="4"/>
  <c r="B106" i="4"/>
  <c r="B73" i="4"/>
  <c r="A73" i="4"/>
  <c r="C105" i="4"/>
  <c r="F72" i="4"/>
  <c r="B56" i="4"/>
  <c r="A56" i="4"/>
  <c r="F55" i="4"/>
  <c r="A93" i="4"/>
  <c r="B92" i="4"/>
  <c r="J84" i="4"/>
  <c r="K83" i="4" s="1"/>
  <c r="L82" i="4" s="1"/>
  <c r="B31" i="4" l="1"/>
  <c r="B32" i="4" s="1"/>
  <c r="A45" i="4"/>
  <c r="A46" i="4" s="1"/>
  <c r="F56" i="4"/>
  <c r="B57" i="4"/>
  <c r="A57" i="4"/>
  <c r="D55" i="4"/>
  <c r="E55" i="4" s="1"/>
  <c r="A94" i="4"/>
  <c r="B93" i="4"/>
  <c r="F73" i="4"/>
  <c r="B107" i="4"/>
  <c r="B74" i="4"/>
  <c r="A74" i="4"/>
  <c r="C106" i="4"/>
  <c r="T208" i="4"/>
  <c r="T209" i="4" s="1"/>
  <c r="T210" i="4" s="1"/>
  <c r="T211" i="4" s="1"/>
  <c r="T212" i="4" s="1"/>
  <c r="T213" i="4" s="1"/>
  <c r="T214" i="4" s="1"/>
  <c r="T215" i="4" s="1"/>
  <c r="T216" i="4" s="1"/>
  <c r="T217" i="4" s="1"/>
  <c r="T218" i="4" s="1"/>
  <c r="T219" i="4" s="1"/>
  <c r="T220" i="4" s="1"/>
  <c r="T221" i="4" s="1"/>
  <c r="T222" i="4" s="1"/>
  <c r="R4" i="4"/>
  <c r="A50" i="4"/>
  <c r="B50" i="4" s="1"/>
  <c r="D6" i="4"/>
  <c r="A51" i="4" s="1"/>
  <c r="B51" i="4" s="1"/>
  <c r="D23" i="4"/>
  <c r="E23" i="4" s="1"/>
  <c r="P107" i="4"/>
  <c r="D71" i="4"/>
  <c r="C71" i="4"/>
  <c r="J85" i="4"/>
  <c r="K84" i="4" s="1"/>
  <c r="L83" i="4" s="1"/>
  <c r="B45" i="4" l="1"/>
  <c r="C31" i="4"/>
  <c r="A32" i="4"/>
  <c r="F31" i="4"/>
  <c r="C23" i="4"/>
  <c r="E24" i="4"/>
  <c r="C24" i="4" s="1"/>
  <c r="C25" i="4" s="1"/>
  <c r="C26" i="4" s="1"/>
  <c r="C74" i="4" s="1"/>
  <c r="F57" i="4"/>
  <c r="B58" i="4"/>
  <c r="A58" i="4"/>
  <c r="B108" i="4"/>
  <c r="C107" i="4"/>
  <c r="F74" i="4"/>
  <c r="A75" i="4"/>
  <c r="B75" i="4"/>
  <c r="A95" i="4"/>
  <c r="B94" i="4"/>
  <c r="P165" i="4"/>
  <c r="R107" i="4"/>
  <c r="P108" i="4"/>
  <c r="T107" i="4"/>
  <c r="D31" i="4"/>
  <c r="B46" i="4"/>
  <c r="A47" i="4"/>
  <c r="B33" i="4"/>
  <c r="A33" i="4"/>
  <c r="F32" i="4"/>
  <c r="J86" i="4"/>
  <c r="K85" i="4" s="1"/>
  <c r="L84" i="4" s="1"/>
  <c r="C32" i="4" l="1"/>
  <c r="E31" i="4"/>
  <c r="H31" i="4" s="1"/>
  <c r="C57" i="4"/>
  <c r="A96" i="4"/>
  <c r="B95" i="4"/>
  <c r="D73" i="4" s="1"/>
  <c r="B59" i="4"/>
  <c r="S108" i="4" s="1"/>
  <c r="F58" i="4"/>
  <c r="A59" i="4"/>
  <c r="C58" i="4"/>
  <c r="C33" i="4"/>
  <c r="F33" i="4"/>
  <c r="D33" i="4"/>
  <c r="B34" i="4"/>
  <c r="A34" i="4"/>
  <c r="P216" i="4"/>
  <c r="O166" i="4"/>
  <c r="D74" i="4"/>
  <c r="D57" i="4"/>
  <c r="A48" i="4"/>
  <c r="B47" i="4"/>
  <c r="D56" i="4"/>
  <c r="E56" i="4" s="1"/>
  <c r="C108" i="4"/>
  <c r="C75" i="4"/>
  <c r="B76" i="4"/>
  <c r="D75" i="4"/>
  <c r="B109" i="4"/>
  <c r="F75" i="4"/>
  <c r="A76" i="4"/>
  <c r="C73" i="4"/>
  <c r="D72" i="4"/>
  <c r="R108" i="4"/>
  <c r="T108" i="4"/>
  <c r="P109" i="4"/>
  <c r="P166" i="4"/>
  <c r="J87" i="4"/>
  <c r="K86" i="4" s="1"/>
  <c r="L85" i="4" s="1"/>
  <c r="V108" i="4" l="1"/>
  <c r="D58" i="4"/>
  <c r="E57" i="4"/>
  <c r="S109" i="4"/>
  <c r="P110" i="4"/>
  <c r="R109" i="4"/>
  <c r="P167" i="4"/>
  <c r="T109" i="4"/>
  <c r="D34" i="4"/>
  <c r="B35" i="4"/>
  <c r="C34" i="4"/>
  <c r="A35" i="4"/>
  <c r="F34" i="4"/>
  <c r="A49" i="4"/>
  <c r="B49" i="4" s="1"/>
  <c r="B48" i="4"/>
  <c r="P217" i="4"/>
  <c r="O167" i="4"/>
  <c r="W108" i="4"/>
  <c r="B96" i="4"/>
  <c r="A97" i="4"/>
  <c r="B97" i="4" s="1"/>
  <c r="B110" i="4"/>
  <c r="C76" i="4"/>
  <c r="D76" i="4"/>
  <c r="A77" i="4"/>
  <c r="F76" i="4"/>
  <c r="B77" i="4"/>
  <c r="C109" i="4"/>
  <c r="S107" i="4"/>
  <c r="B60" i="4"/>
  <c r="F59" i="4"/>
  <c r="A60" i="4"/>
  <c r="C59" i="4"/>
  <c r="D59" i="4"/>
  <c r="J88" i="4"/>
  <c r="K87" i="4" s="1"/>
  <c r="L86" i="4" s="1"/>
  <c r="D32" i="4" l="1"/>
  <c r="E32" i="4" s="1"/>
  <c r="W109" i="4"/>
  <c r="C72" i="4"/>
  <c r="C56" i="4"/>
  <c r="E58" i="4"/>
  <c r="E59" i="4" s="1"/>
  <c r="D77" i="4"/>
  <c r="C110" i="4"/>
  <c r="C77" i="4"/>
  <c r="B78" i="4"/>
  <c r="A78" i="4"/>
  <c r="F77" i="4"/>
  <c r="B111" i="4"/>
  <c r="A36" i="4"/>
  <c r="C35" i="4"/>
  <c r="B36" i="4"/>
  <c r="F35" i="4"/>
  <c r="D35" i="4"/>
  <c r="Q107" i="4"/>
  <c r="U107" i="4" s="1"/>
  <c r="Q108" i="4"/>
  <c r="U108" i="4" s="1"/>
  <c r="P218" i="4"/>
  <c r="O168" i="4"/>
  <c r="A61" i="4"/>
  <c r="B61" i="4"/>
  <c r="C60" i="4"/>
  <c r="D60" i="4"/>
  <c r="F60" i="4"/>
  <c r="V107" i="4"/>
  <c r="W107" i="4"/>
  <c r="Q109" i="4"/>
  <c r="U109" i="4" s="1"/>
  <c r="R110" i="4"/>
  <c r="P111" i="4"/>
  <c r="T110" i="4"/>
  <c r="S110" i="4"/>
  <c r="P168" i="4"/>
  <c r="Q110" i="4"/>
  <c r="V109" i="4"/>
  <c r="J89" i="4"/>
  <c r="K88" i="4" s="1"/>
  <c r="L87" i="4" s="1"/>
  <c r="H32" i="4" l="1"/>
  <c r="E33" i="4"/>
  <c r="E60" i="4"/>
  <c r="V110" i="4"/>
  <c r="U110" i="4"/>
  <c r="P169" i="4"/>
  <c r="P112" i="4"/>
  <c r="T111" i="4"/>
  <c r="R111" i="4"/>
  <c r="Q111" i="4"/>
  <c r="S111" i="4"/>
  <c r="F36" i="4"/>
  <c r="A37" i="4"/>
  <c r="D36" i="4"/>
  <c r="B37" i="4"/>
  <c r="C36" i="4"/>
  <c r="O169" i="4"/>
  <c r="P219" i="4"/>
  <c r="W110" i="4"/>
  <c r="B62" i="4"/>
  <c r="F61" i="4"/>
  <c r="D61" i="4"/>
  <c r="A62" i="4"/>
  <c r="C61" i="4"/>
  <c r="C111" i="4"/>
  <c r="A79" i="4"/>
  <c r="C78" i="4"/>
  <c r="B79" i="4"/>
  <c r="B112" i="4"/>
  <c r="D78" i="4"/>
  <c r="F78" i="4"/>
  <c r="J90" i="4"/>
  <c r="K89" i="4" s="1"/>
  <c r="L88" i="4" s="1"/>
  <c r="J91" i="4"/>
  <c r="K90" i="4" s="1"/>
  <c r="L89" i="4" s="1"/>
  <c r="E61" i="4" l="1"/>
  <c r="H33" i="4"/>
  <c r="E34" i="4"/>
  <c r="V111" i="4"/>
  <c r="B113" i="4"/>
  <c r="A80" i="4"/>
  <c r="D79" i="4"/>
  <c r="C79" i="4"/>
  <c r="B80" i="4"/>
  <c r="C112" i="4"/>
  <c r="F79" i="4"/>
  <c r="W111" i="4"/>
  <c r="D37" i="4"/>
  <c r="C37" i="4"/>
  <c r="B38" i="4"/>
  <c r="F37" i="4"/>
  <c r="A38" i="4"/>
  <c r="Q112" i="4"/>
  <c r="R112" i="4"/>
  <c r="T112" i="4"/>
  <c r="P170" i="4"/>
  <c r="P113" i="4"/>
  <c r="S112" i="4"/>
  <c r="D62" i="4"/>
  <c r="F62" i="4"/>
  <c r="A63" i="4"/>
  <c r="C62" i="4"/>
  <c r="B63" i="4"/>
  <c r="U111" i="4"/>
  <c r="P220" i="4"/>
  <c r="O170" i="4"/>
  <c r="H34" i="4" l="1"/>
  <c r="E35" i="4"/>
  <c r="U112" i="4"/>
  <c r="E62" i="4"/>
  <c r="D63" i="4"/>
  <c r="C63" i="4"/>
  <c r="B64" i="4"/>
  <c r="F63" i="4"/>
  <c r="A64" i="4"/>
  <c r="P221" i="4"/>
  <c r="O171" i="4"/>
  <c r="A39" i="4"/>
  <c r="F38" i="4"/>
  <c r="B39" i="4"/>
  <c r="C38" i="4"/>
  <c r="D38" i="4"/>
  <c r="Q113" i="4"/>
  <c r="P114" i="4"/>
  <c r="R113" i="4"/>
  <c r="S113" i="4"/>
  <c r="P171" i="4"/>
  <c r="T113" i="4"/>
  <c r="V112" i="4"/>
  <c r="W112" i="4"/>
  <c r="F80" i="4"/>
  <c r="B81" i="4"/>
  <c r="A81" i="4"/>
  <c r="C80" i="4"/>
  <c r="B114" i="4"/>
  <c r="C113" i="4"/>
  <c r="D80" i="4"/>
  <c r="H35" i="4" l="1"/>
  <c r="E36" i="4"/>
  <c r="E63" i="4"/>
  <c r="W113" i="4"/>
  <c r="U113" i="4"/>
  <c r="O172" i="4"/>
  <c r="P222" i="4"/>
  <c r="D81" i="4"/>
  <c r="F81" i="4"/>
  <c r="A82" i="4"/>
  <c r="C81" i="4"/>
  <c r="C114" i="4"/>
  <c r="B82" i="4"/>
  <c r="T114" i="4"/>
  <c r="S114" i="4"/>
  <c r="P115" i="4"/>
  <c r="Q114" i="4"/>
  <c r="R114" i="4"/>
  <c r="P172" i="4"/>
  <c r="F64" i="4"/>
  <c r="A65" i="4"/>
  <c r="B65" i="4"/>
  <c r="D64" i="4"/>
  <c r="C64" i="4"/>
  <c r="D39" i="4"/>
  <c r="C39" i="4"/>
  <c r="B40" i="4"/>
  <c r="A40" i="4"/>
  <c r="F39" i="4"/>
  <c r="V113" i="4"/>
  <c r="E64" i="4" l="1"/>
  <c r="H36" i="4"/>
  <c r="E37" i="4"/>
  <c r="U114" i="4"/>
  <c r="V114" i="4"/>
  <c r="A41" i="4"/>
  <c r="D40" i="4"/>
  <c r="B41" i="4"/>
  <c r="B96" i="3" s="1"/>
  <c r="C40" i="4"/>
  <c r="F40" i="4"/>
  <c r="R115" i="4"/>
  <c r="S115" i="4"/>
  <c r="P116" i="4"/>
  <c r="T115" i="4"/>
  <c r="P173" i="4"/>
  <c r="Q115" i="4"/>
  <c r="C82" i="4"/>
  <c r="B83" i="4"/>
  <c r="D82" i="4"/>
  <c r="A83" i="4"/>
  <c r="F82" i="4"/>
  <c r="P223" i="4"/>
  <c r="O173" i="4"/>
  <c r="D65" i="4"/>
  <c r="C65" i="4"/>
  <c r="F65" i="4"/>
  <c r="W114" i="4"/>
  <c r="H37" i="4" l="1"/>
  <c r="E38" i="4"/>
  <c r="E65" i="4"/>
  <c r="E52" i="4"/>
  <c r="C70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S106" i="4"/>
  <c r="E69" i="4"/>
  <c r="W115" i="4"/>
  <c r="U115" i="4"/>
  <c r="V115" i="4"/>
  <c r="C41" i="4"/>
  <c r="E53" i="4" s="1"/>
  <c r="D41" i="4"/>
  <c r="F41" i="4"/>
  <c r="F83" i="4"/>
  <c r="C83" i="4"/>
  <c r="B84" i="4"/>
  <c r="D83" i="4"/>
  <c r="A84" i="4"/>
  <c r="P224" i="4"/>
  <c r="O174" i="4"/>
  <c r="P174" i="4"/>
  <c r="S116" i="4"/>
  <c r="Q116" i="4"/>
  <c r="R116" i="4"/>
  <c r="T116" i="4"/>
  <c r="P117" i="4"/>
  <c r="H38" i="4" l="1"/>
  <c r="E39" i="4"/>
  <c r="E83" i="4"/>
  <c r="Q106" i="4"/>
  <c r="U106" i="4" s="1"/>
  <c r="W106" i="4"/>
  <c r="V106" i="4"/>
  <c r="U116" i="4"/>
  <c r="W116" i="4"/>
  <c r="S117" i="4"/>
  <c r="Q117" i="4"/>
  <c r="R117" i="4"/>
  <c r="T117" i="4"/>
  <c r="P175" i="4"/>
  <c r="P118" i="4"/>
  <c r="V116" i="4"/>
  <c r="O175" i="4"/>
  <c r="P225" i="4"/>
  <c r="B85" i="4"/>
  <c r="F84" i="4"/>
  <c r="A85" i="4"/>
  <c r="C84" i="4"/>
  <c r="D84" i="4"/>
  <c r="E84" i="4" l="1"/>
  <c r="H39" i="4"/>
  <c r="E40" i="4"/>
  <c r="W117" i="4"/>
  <c r="V117" i="4"/>
  <c r="F85" i="4"/>
  <c r="D85" i="4"/>
  <c r="A86" i="4"/>
  <c r="B86" i="4"/>
  <c r="C85" i="4"/>
  <c r="P226" i="4"/>
  <c r="O176" i="4"/>
  <c r="T118" i="4"/>
  <c r="R118" i="4"/>
  <c r="Q118" i="4"/>
  <c r="P119" i="4"/>
  <c r="P176" i="4"/>
  <c r="S118" i="4"/>
  <c r="U117" i="4"/>
  <c r="E85" i="4" l="1"/>
  <c r="H40" i="4"/>
  <c r="E41" i="4"/>
  <c r="H41" i="4" s="1"/>
  <c r="V118" i="4"/>
  <c r="P177" i="4"/>
  <c r="Q119" i="4"/>
  <c r="S119" i="4"/>
  <c r="T119" i="4"/>
  <c r="P120" i="4"/>
  <c r="R119" i="4"/>
  <c r="F86" i="4"/>
  <c r="B87" i="4"/>
  <c r="D86" i="4"/>
  <c r="E86" i="4" s="1"/>
  <c r="A87" i="4"/>
  <c r="C86" i="4"/>
  <c r="U118" i="4"/>
  <c r="W118" i="4"/>
  <c r="P227" i="4"/>
  <c r="O177" i="4"/>
  <c r="V119" i="4" l="1"/>
  <c r="A88" i="4"/>
  <c r="C87" i="4"/>
  <c r="D87" i="4"/>
  <c r="B88" i="4"/>
  <c r="F87" i="4"/>
  <c r="W119" i="4"/>
  <c r="U119" i="4"/>
  <c r="T120" i="4"/>
  <c r="P121" i="4"/>
  <c r="P178" i="4"/>
  <c r="Q120" i="4"/>
  <c r="S120" i="4"/>
  <c r="R120" i="4"/>
  <c r="O178" i="4"/>
  <c r="P228" i="4"/>
  <c r="V120" i="4" l="1"/>
  <c r="E87" i="4"/>
  <c r="W120" i="4"/>
  <c r="U120" i="4"/>
  <c r="A89" i="4"/>
  <c r="C88" i="4"/>
  <c r="F88" i="4"/>
  <c r="D88" i="4"/>
  <c r="B89" i="4"/>
  <c r="P229" i="4"/>
  <c r="O179" i="4"/>
  <c r="T121" i="4"/>
  <c r="Q121" i="4"/>
  <c r="S121" i="4"/>
  <c r="R121" i="4"/>
  <c r="P122" i="4"/>
  <c r="P179" i="4"/>
  <c r="E88" i="4" l="1"/>
  <c r="V121" i="4"/>
  <c r="P230" i="4"/>
  <c r="O180" i="4"/>
  <c r="U121" i="4"/>
  <c r="P180" i="4"/>
  <c r="S122" i="4"/>
  <c r="Q122" i="4"/>
  <c r="T122" i="4"/>
  <c r="R122" i="4"/>
  <c r="P123" i="4"/>
  <c r="W121" i="4"/>
  <c r="C89" i="4"/>
  <c r="F89" i="4"/>
  <c r="D89" i="4"/>
  <c r="E89" i="4" s="1"/>
  <c r="E94" i="4" l="1"/>
  <c r="E95" i="4"/>
  <c r="E98" i="4"/>
  <c r="E100" i="4"/>
  <c r="E99" i="4"/>
  <c r="E93" i="4"/>
  <c r="E101" i="4"/>
  <c r="E97" i="4"/>
  <c r="E91" i="4"/>
  <c r="E92" i="4"/>
  <c r="E96" i="4"/>
  <c r="E102" i="4"/>
  <c r="Q123" i="4"/>
  <c r="R123" i="4"/>
  <c r="T123" i="4"/>
  <c r="S123" i="4"/>
  <c r="P124" i="4"/>
  <c r="P181" i="4"/>
  <c r="W122" i="4"/>
  <c r="O181" i="4"/>
  <c r="P231" i="4"/>
  <c r="U122" i="4"/>
  <c r="V122" i="4"/>
  <c r="W123" i="4" l="1"/>
  <c r="U123" i="4"/>
  <c r="V123" i="4"/>
  <c r="P232" i="4"/>
  <c r="O182" i="4"/>
  <c r="T124" i="4"/>
  <c r="S124" i="4"/>
  <c r="P182" i="4"/>
  <c r="Q124" i="4"/>
  <c r="R124" i="4"/>
  <c r="P125" i="4"/>
  <c r="V124" i="4" l="1"/>
  <c r="U124" i="4"/>
  <c r="P183" i="4"/>
  <c r="P126" i="4"/>
  <c r="Q166" i="4"/>
  <c r="Q168" i="4"/>
  <c r="R170" i="4"/>
  <c r="Q172" i="4"/>
  <c r="R174" i="4"/>
  <c r="Q176" i="4"/>
  <c r="Q174" i="4"/>
  <c r="R176" i="4"/>
  <c r="R125" i="4"/>
  <c r="S125" i="4"/>
  <c r="R166" i="4"/>
  <c r="R168" i="4"/>
  <c r="Q170" i="4"/>
  <c r="R172" i="4"/>
  <c r="Q125" i="4"/>
  <c r="Q165" i="4"/>
  <c r="R167" i="4"/>
  <c r="Q169" i="4"/>
  <c r="Q171" i="4"/>
  <c r="Q173" i="4"/>
  <c r="R175" i="4"/>
  <c r="R171" i="4"/>
  <c r="Q175" i="4"/>
  <c r="T125" i="4"/>
  <c r="R165" i="4"/>
  <c r="Q167" i="4"/>
  <c r="R169" i="4"/>
  <c r="R173" i="4"/>
  <c r="R177" i="4"/>
  <c r="Q177" i="4"/>
  <c r="Q178" i="4"/>
  <c r="R178" i="4"/>
  <c r="W124" i="4"/>
  <c r="O183" i="4"/>
  <c r="P233" i="4"/>
  <c r="U125" i="4" l="1"/>
  <c r="X178" i="4"/>
  <c r="S178" i="4"/>
  <c r="V178" i="4"/>
  <c r="T178" i="4"/>
  <c r="T177" i="4"/>
  <c r="V177" i="4"/>
  <c r="S177" i="4"/>
  <c r="X177" i="4"/>
  <c r="Q224" i="4"/>
  <c r="S224" i="4" s="1"/>
  <c r="Z173" i="4" s="1"/>
  <c r="U173" i="4"/>
  <c r="Y173" i="4"/>
  <c r="R224" i="4"/>
  <c r="W173" i="4"/>
  <c r="W175" i="4"/>
  <c r="Q226" i="4"/>
  <c r="S226" i="4" s="1"/>
  <c r="Z175" i="4" s="1"/>
  <c r="Y175" i="4"/>
  <c r="R226" i="4"/>
  <c r="U175" i="4"/>
  <c r="Y167" i="4"/>
  <c r="U167" i="4"/>
  <c r="Q218" i="4"/>
  <c r="S218" i="4" s="1"/>
  <c r="Z167" i="4" s="1"/>
  <c r="W167" i="4"/>
  <c r="R218" i="4"/>
  <c r="Q217" i="4"/>
  <c r="S217" i="4" s="1"/>
  <c r="Z166" i="4" s="1"/>
  <c r="W166" i="4"/>
  <c r="U166" i="4"/>
  <c r="Y166" i="4"/>
  <c r="R217" i="4"/>
  <c r="T176" i="4"/>
  <c r="X176" i="4"/>
  <c r="S176" i="4"/>
  <c r="V176" i="4"/>
  <c r="C135" i="3" s="1"/>
  <c r="V168" i="4"/>
  <c r="T168" i="4"/>
  <c r="X168" i="4"/>
  <c r="S168" i="4"/>
  <c r="Y177" i="4"/>
  <c r="U177" i="4"/>
  <c r="Q228" i="4"/>
  <c r="S228" i="4" s="1"/>
  <c r="Z177" i="4" s="1"/>
  <c r="R228" i="4"/>
  <c r="W177" i="4"/>
  <c r="X173" i="4"/>
  <c r="T173" i="4"/>
  <c r="V173" i="4"/>
  <c r="S173" i="4"/>
  <c r="V165" i="4"/>
  <c r="T165" i="4"/>
  <c r="X165" i="4"/>
  <c r="S165" i="4"/>
  <c r="Y172" i="4"/>
  <c r="W172" i="4"/>
  <c r="U172" i="4"/>
  <c r="R223" i="4"/>
  <c r="Q223" i="4"/>
  <c r="S223" i="4" s="1"/>
  <c r="Z172" i="4" s="1"/>
  <c r="V125" i="4"/>
  <c r="R225" i="4"/>
  <c r="W174" i="4"/>
  <c r="Q225" i="4"/>
  <c r="S225" i="4" s="1"/>
  <c r="Z174" i="4" s="1"/>
  <c r="U174" i="4"/>
  <c r="Y174" i="4"/>
  <c r="V166" i="4"/>
  <c r="T166" i="4"/>
  <c r="S166" i="4"/>
  <c r="X166" i="4"/>
  <c r="U169" i="4"/>
  <c r="Y169" i="4"/>
  <c r="W169" i="4"/>
  <c r="R220" i="4"/>
  <c r="Q220" i="4"/>
  <c r="S220" i="4" s="1"/>
  <c r="Z169" i="4" s="1"/>
  <c r="U178" i="4"/>
  <c r="Q229" i="4"/>
  <c r="S229" i="4" s="1"/>
  <c r="Z178" i="4" s="1"/>
  <c r="Y178" i="4"/>
  <c r="R229" i="4"/>
  <c r="W178" i="4"/>
  <c r="T167" i="4"/>
  <c r="X167" i="4"/>
  <c r="S167" i="4"/>
  <c r="V167" i="4"/>
  <c r="S175" i="4"/>
  <c r="T175" i="4"/>
  <c r="X175" i="4"/>
  <c r="V175" i="4"/>
  <c r="S171" i="4"/>
  <c r="X171" i="4"/>
  <c r="V171" i="4"/>
  <c r="T171" i="4"/>
  <c r="S170" i="4"/>
  <c r="V170" i="4"/>
  <c r="X170" i="4"/>
  <c r="T170" i="4"/>
  <c r="W125" i="4"/>
  <c r="Y176" i="4"/>
  <c r="W176" i="4"/>
  <c r="Q227" i="4"/>
  <c r="S227" i="4" s="1"/>
  <c r="Z176" i="4" s="1"/>
  <c r="U176" i="4"/>
  <c r="R227" i="4"/>
  <c r="X172" i="4"/>
  <c r="T172" i="4"/>
  <c r="S172" i="4"/>
  <c r="V172" i="4"/>
  <c r="Q126" i="4"/>
  <c r="T126" i="4"/>
  <c r="P184" i="4"/>
  <c r="P127" i="4"/>
  <c r="R126" i="4"/>
  <c r="S126" i="4"/>
  <c r="W165" i="4"/>
  <c r="U165" i="4"/>
  <c r="Y165" i="4"/>
  <c r="Q216" i="4"/>
  <c r="S216" i="4" s="1"/>
  <c r="Z165" i="4" s="1"/>
  <c r="R216" i="4"/>
  <c r="R222" i="4"/>
  <c r="Y171" i="4"/>
  <c r="W171" i="4"/>
  <c r="U171" i="4"/>
  <c r="Q222" i="4"/>
  <c r="S222" i="4" s="1"/>
  <c r="Z171" i="4" s="1"/>
  <c r="V169" i="4"/>
  <c r="S169" i="4"/>
  <c r="T169" i="4"/>
  <c r="X169" i="4"/>
  <c r="U168" i="4"/>
  <c r="W168" i="4"/>
  <c r="Y168" i="4"/>
  <c r="R219" i="4"/>
  <c r="Q219" i="4"/>
  <c r="S219" i="4" s="1"/>
  <c r="Z168" i="4" s="1"/>
  <c r="T174" i="4"/>
  <c r="S174" i="4"/>
  <c r="X174" i="4"/>
  <c r="V174" i="4"/>
  <c r="W170" i="4"/>
  <c r="R221" i="4"/>
  <c r="Q221" i="4"/>
  <c r="S221" i="4" s="1"/>
  <c r="Z170" i="4" s="1"/>
  <c r="U170" i="4"/>
  <c r="Y170" i="4"/>
  <c r="O184" i="4"/>
  <c r="P234" i="4"/>
  <c r="V126" i="4" l="1"/>
  <c r="D135" i="3"/>
  <c r="E135" i="3" s="1"/>
  <c r="W126" i="4"/>
  <c r="U126" i="4"/>
  <c r="B16" i="6"/>
  <c r="P185" i="4"/>
  <c r="S127" i="4"/>
  <c r="Q127" i="4"/>
  <c r="T127" i="4"/>
  <c r="P128" i="4"/>
  <c r="R127" i="4"/>
  <c r="O185" i="4"/>
  <c r="P235" i="4"/>
  <c r="W127" i="4" l="1"/>
  <c r="F135" i="3"/>
  <c r="G135" i="3" s="1"/>
  <c r="H135" i="3" s="1"/>
  <c r="I135" i="3" s="1"/>
  <c r="U127" i="4"/>
  <c r="V127" i="4"/>
  <c r="P186" i="4"/>
  <c r="R128" i="4"/>
  <c r="S128" i="4"/>
  <c r="Q128" i="4"/>
  <c r="T128" i="4"/>
  <c r="P129" i="4"/>
  <c r="O186" i="4"/>
  <c r="P236" i="4"/>
  <c r="V128" i="4" l="1"/>
  <c r="W128" i="4"/>
  <c r="U128" i="4"/>
  <c r="Q129" i="4"/>
  <c r="S129" i="4"/>
  <c r="R129" i="4"/>
  <c r="T129" i="4"/>
  <c r="P187" i="4"/>
  <c r="P130" i="4"/>
  <c r="P237" i="4"/>
  <c r="O187" i="4"/>
  <c r="V129" i="4" l="1"/>
  <c r="U129" i="4"/>
  <c r="P238" i="4"/>
  <c r="O188" i="4"/>
  <c r="W129" i="4"/>
  <c r="T130" i="4"/>
  <c r="R130" i="4"/>
  <c r="Q130" i="4"/>
  <c r="S130" i="4"/>
  <c r="P188" i="4"/>
  <c r="P131" i="4"/>
  <c r="U130" i="4" l="1"/>
  <c r="O189" i="4"/>
  <c r="P239" i="4"/>
  <c r="V130" i="4"/>
  <c r="Q131" i="4"/>
  <c r="S131" i="4"/>
  <c r="P132" i="4"/>
  <c r="P189" i="4"/>
  <c r="T131" i="4"/>
  <c r="R131" i="4"/>
  <c r="W130" i="4"/>
  <c r="W131" i="4" l="1"/>
  <c r="U131" i="4"/>
  <c r="V131" i="4"/>
  <c r="R132" i="4"/>
  <c r="S132" i="4"/>
  <c r="P190" i="4"/>
  <c r="Q132" i="4"/>
  <c r="P133" i="4"/>
  <c r="T132" i="4"/>
  <c r="P240" i="4"/>
  <c r="O190" i="4"/>
  <c r="U132" i="4" l="1"/>
  <c r="O191" i="4"/>
  <c r="P241" i="4"/>
  <c r="V132" i="4"/>
  <c r="P134" i="4"/>
  <c r="P191" i="4"/>
  <c r="Q133" i="4"/>
  <c r="R133" i="4"/>
  <c r="S133" i="4"/>
  <c r="T133" i="4"/>
  <c r="W132" i="4"/>
  <c r="V133" i="4" l="1"/>
  <c r="W133" i="4"/>
  <c r="U133" i="4"/>
  <c r="P242" i="4"/>
  <c r="O192" i="4"/>
  <c r="T134" i="4"/>
  <c r="Q134" i="4"/>
  <c r="S134" i="4"/>
  <c r="R134" i="4"/>
  <c r="P192" i="4"/>
  <c r="P135" i="4"/>
  <c r="V134" i="4" l="1"/>
  <c r="W134" i="4"/>
  <c r="P136" i="4"/>
  <c r="R135" i="4"/>
  <c r="S135" i="4"/>
  <c r="Q135" i="4"/>
  <c r="P193" i="4"/>
  <c r="T135" i="4"/>
  <c r="U134" i="4"/>
  <c r="P243" i="4"/>
  <c r="O193" i="4"/>
  <c r="U135" i="4" l="1"/>
  <c r="W135" i="4"/>
  <c r="V135" i="4"/>
  <c r="O194" i="4"/>
  <c r="P244" i="4"/>
  <c r="Q136" i="4"/>
  <c r="S136" i="4"/>
  <c r="P194" i="4"/>
  <c r="T136" i="4"/>
  <c r="R136" i="4"/>
  <c r="P137" i="4"/>
  <c r="V136" i="4" l="1"/>
  <c r="W136" i="4"/>
  <c r="U136" i="4"/>
  <c r="P245" i="4"/>
  <c r="O195" i="4"/>
  <c r="P138" i="4"/>
  <c r="S137" i="4"/>
  <c r="T137" i="4"/>
  <c r="P195" i="4"/>
  <c r="R137" i="4"/>
  <c r="Q137" i="4"/>
  <c r="U137" i="4" l="1"/>
  <c r="W137" i="4"/>
  <c r="S138" i="4"/>
  <c r="R138" i="4"/>
  <c r="P139" i="4"/>
  <c r="Q138" i="4"/>
  <c r="T138" i="4"/>
  <c r="P196" i="4"/>
  <c r="O196" i="4"/>
  <c r="P246" i="4"/>
  <c r="V137" i="4"/>
  <c r="U138" i="4" l="1"/>
  <c r="O197" i="4"/>
  <c r="P247" i="4"/>
  <c r="W138" i="4"/>
  <c r="V138" i="4"/>
  <c r="S139" i="4"/>
  <c r="T139" i="4"/>
  <c r="P140" i="4"/>
  <c r="P197" i="4"/>
  <c r="Q139" i="4"/>
  <c r="R139" i="4"/>
  <c r="U139" i="4" l="1"/>
  <c r="V139" i="4"/>
  <c r="W139" i="4"/>
  <c r="P248" i="4"/>
  <c r="O198" i="4"/>
  <c r="T140" i="4"/>
  <c r="P198" i="4"/>
  <c r="S140" i="4"/>
  <c r="Q140" i="4"/>
  <c r="P141" i="4"/>
  <c r="R140" i="4"/>
  <c r="V140" i="4" l="1"/>
  <c r="W140" i="4"/>
  <c r="Q141" i="4"/>
  <c r="P199" i="4"/>
  <c r="R141" i="4"/>
  <c r="T141" i="4"/>
  <c r="S141" i="4"/>
  <c r="P142" i="4"/>
  <c r="U140" i="4"/>
  <c r="P249" i="4"/>
  <c r="O199" i="4"/>
  <c r="V141" i="4" l="1"/>
  <c r="U141" i="4"/>
  <c r="W141" i="4"/>
  <c r="P143" i="4"/>
  <c r="R142" i="4"/>
  <c r="T142" i="4"/>
  <c r="Q142" i="4"/>
  <c r="P200" i="4"/>
  <c r="S142" i="4"/>
  <c r="O200" i="4"/>
  <c r="P250" i="4"/>
  <c r="P251" i="4" l="1"/>
  <c r="O201" i="4"/>
  <c r="U142" i="4"/>
  <c r="V142" i="4"/>
  <c r="W142" i="4"/>
  <c r="T143" i="4"/>
  <c r="P144" i="4"/>
  <c r="Q143" i="4"/>
  <c r="R143" i="4"/>
  <c r="S143" i="4"/>
  <c r="V143" i="4" s="1"/>
  <c r="P201" i="4"/>
  <c r="U143" i="4" l="1"/>
  <c r="W143" i="4"/>
  <c r="O202" i="4"/>
  <c r="P252" i="4"/>
  <c r="P202" i="4"/>
  <c r="R144" i="4"/>
  <c r="S144" i="4"/>
  <c r="R196" i="4" s="1"/>
  <c r="T144" i="4"/>
  <c r="V215" i="4" s="1"/>
  <c r="Y215" i="4" s="1"/>
  <c r="Q144" i="4"/>
  <c r="U209" i="4" s="1"/>
  <c r="R194" i="4" l="1"/>
  <c r="Q245" i="4" s="1"/>
  <c r="S245" i="4" s="1"/>
  <c r="Z194" i="4" s="1"/>
  <c r="R199" i="4"/>
  <c r="Q250" i="4" s="1"/>
  <c r="S250" i="4" s="1"/>
  <c r="Z199" i="4" s="1"/>
  <c r="Q201" i="4"/>
  <c r="T201" i="4" s="1"/>
  <c r="B103" i="3"/>
  <c r="A104" i="3" s="1"/>
  <c r="B60" i="3"/>
  <c r="A61" i="3" s="1"/>
  <c r="M3" i="3"/>
  <c r="V3" i="3" s="1"/>
  <c r="DY3" i="3"/>
  <c r="DX4" i="3" s="1"/>
  <c r="EW3" i="3"/>
  <c r="EV4" i="3" s="1"/>
  <c r="U211" i="4"/>
  <c r="Q197" i="4"/>
  <c r="T197" i="4" s="1"/>
  <c r="W144" i="4"/>
  <c r="Q199" i="4"/>
  <c r="V199" i="4" s="1"/>
  <c r="R201" i="4"/>
  <c r="Q247" i="4"/>
  <c r="S247" i="4" s="1"/>
  <c r="Z196" i="4" s="1"/>
  <c r="U196" i="4"/>
  <c r="W196" i="4"/>
  <c r="Y196" i="4"/>
  <c r="R247" i="4"/>
  <c r="Y194" i="4"/>
  <c r="Q200" i="4"/>
  <c r="U144" i="4"/>
  <c r="Q185" i="4"/>
  <c r="Q191" i="4"/>
  <c r="Q186" i="4"/>
  <c r="Q189" i="4"/>
  <c r="U216" i="4"/>
  <c r="Q181" i="4"/>
  <c r="U221" i="4"/>
  <c r="Q183" i="4"/>
  <c r="Q192" i="4"/>
  <c r="Q182" i="4"/>
  <c r="Q195" i="4"/>
  <c r="U215" i="4"/>
  <c r="Q187" i="4"/>
  <c r="Q188" i="4"/>
  <c r="Q196" i="4"/>
  <c r="U219" i="4"/>
  <c r="U212" i="4"/>
  <c r="U220" i="4"/>
  <c r="U222" i="4"/>
  <c r="U218" i="4"/>
  <c r="U207" i="4"/>
  <c r="Q198" i="4"/>
  <c r="Q190" i="4"/>
  <c r="Q193" i="4"/>
  <c r="Q184" i="4"/>
  <c r="U208" i="4"/>
  <c r="U214" i="4"/>
  <c r="Q180" i="4"/>
  <c r="Q179" i="4"/>
  <c r="U213" i="4"/>
  <c r="U217" i="4"/>
  <c r="U210" i="4"/>
  <c r="R202" i="4"/>
  <c r="Q202" i="4"/>
  <c r="P253" i="4"/>
  <c r="Q194" i="4"/>
  <c r="X209" i="4"/>
  <c r="V208" i="4"/>
  <c r="Y208" i="4" s="1"/>
  <c r="V220" i="4"/>
  <c r="Y220" i="4" s="1"/>
  <c r="V218" i="4"/>
  <c r="Y218" i="4" s="1"/>
  <c r="V222" i="4"/>
  <c r="Y222" i="4" s="1"/>
  <c r="V207" i="4"/>
  <c r="Y207" i="4" s="1"/>
  <c r="V209" i="4"/>
  <c r="Y209" i="4" s="1"/>
  <c r="V219" i="4"/>
  <c r="Y219" i="4" s="1"/>
  <c r="V210" i="4"/>
  <c r="Y210" i="4" s="1"/>
  <c r="V221" i="4"/>
  <c r="Y221" i="4" s="1"/>
  <c r="V213" i="4"/>
  <c r="Y213" i="4" s="1"/>
  <c r="V211" i="4"/>
  <c r="Y211" i="4" s="1"/>
  <c r="V212" i="4"/>
  <c r="Y212" i="4" s="1"/>
  <c r="V217" i="4"/>
  <c r="Y217" i="4" s="1"/>
  <c r="V214" i="4"/>
  <c r="Y214" i="4" s="1"/>
  <c r="V197" i="4"/>
  <c r="R197" i="4"/>
  <c r="V144" i="4"/>
  <c r="R184" i="4"/>
  <c r="R186" i="4"/>
  <c r="R187" i="4"/>
  <c r="R193" i="4"/>
  <c r="R180" i="4"/>
  <c r="R185" i="4"/>
  <c r="R190" i="4"/>
  <c r="R195" i="4"/>
  <c r="R181" i="4"/>
  <c r="R192" i="4"/>
  <c r="R183" i="4"/>
  <c r="R191" i="4"/>
  <c r="R198" i="4"/>
  <c r="R188" i="4"/>
  <c r="R182" i="4"/>
  <c r="R189" i="4"/>
  <c r="R179" i="4"/>
  <c r="X201" i="4"/>
  <c r="R200" i="4"/>
  <c r="X211" i="4"/>
  <c r="Q252" i="4"/>
  <c r="S252" i="4" s="1"/>
  <c r="Z201" i="4" s="1"/>
  <c r="R252" i="4"/>
  <c r="U201" i="4"/>
  <c r="Y201" i="4"/>
  <c r="W201" i="4"/>
  <c r="T199" i="4"/>
  <c r="V216" i="4"/>
  <c r="Y216" i="4" s="1"/>
  <c r="EX52" i="3"/>
  <c r="S201" i="4" l="1"/>
  <c r="V201" i="4"/>
  <c r="U194" i="4"/>
  <c r="W194" i="4"/>
  <c r="R245" i="4"/>
  <c r="W199" i="4"/>
  <c r="Y199" i="4"/>
  <c r="R250" i="4"/>
  <c r="X197" i="4"/>
  <c r="U199" i="4"/>
  <c r="W211" i="4"/>
  <c r="S197" i="4"/>
  <c r="X199" i="4"/>
  <c r="S199" i="4"/>
  <c r="R3" i="3"/>
  <c r="X3" i="3"/>
  <c r="U3" i="3"/>
  <c r="W3" i="3"/>
  <c r="DY4" i="3"/>
  <c r="DX5" i="3" s="1"/>
  <c r="EP4" i="3"/>
  <c r="DZ4" i="3"/>
  <c r="EE4" i="3" s="1"/>
  <c r="DW4" i="3"/>
  <c r="P3" i="3"/>
  <c r="O3" i="3"/>
  <c r="L4" i="3"/>
  <c r="Q149" i="4"/>
  <c r="Q157" i="4"/>
  <c r="R157" i="4" s="1"/>
  <c r="C11" i="2" s="1"/>
  <c r="Q160" i="4"/>
  <c r="R160" i="4" s="1"/>
  <c r="C14" i="2" s="1"/>
  <c r="Q150" i="4"/>
  <c r="Q151" i="4"/>
  <c r="Q155" i="4"/>
  <c r="R155" i="4" s="1"/>
  <c r="C9" i="2" s="1"/>
  <c r="Q164" i="4"/>
  <c r="Q147" i="4"/>
  <c r="Q158" i="4"/>
  <c r="R158" i="4" s="1"/>
  <c r="C12" i="2" s="1"/>
  <c r="R164" i="4"/>
  <c r="Q153" i="4"/>
  <c r="R153" i="4" s="1"/>
  <c r="C7" i="2" s="1"/>
  <c r="Q159" i="4"/>
  <c r="R159" i="4" s="1"/>
  <c r="C13" i="2" s="1"/>
  <c r="N28" i="3" s="1"/>
  <c r="U161" i="4"/>
  <c r="Q152" i="4"/>
  <c r="Q154" i="4"/>
  <c r="R154" i="4" s="1"/>
  <c r="C8" i="2" s="1"/>
  <c r="Q156" i="4"/>
  <c r="R156" i="4" s="1"/>
  <c r="C10" i="2" s="1"/>
  <c r="B61" i="3"/>
  <c r="A62" i="3" s="1"/>
  <c r="K61" i="3"/>
  <c r="J61" i="3"/>
  <c r="C61" i="3"/>
  <c r="EX4" i="3"/>
  <c r="FC4" i="3" s="1"/>
  <c r="EW4" i="3"/>
  <c r="EV5" i="3" s="1"/>
  <c r="FN4" i="3"/>
  <c r="EU4" i="3"/>
  <c r="J104" i="3"/>
  <c r="B104" i="3"/>
  <c r="A105" i="3" s="1"/>
  <c r="K104" i="3"/>
  <c r="C104" i="3"/>
  <c r="W209" i="4"/>
  <c r="U200" i="4"/>
  <c r="Q251" i="4"/>
  <c r="S251" i="4" s="1"/>
  <c r="Z200" i="4" s="1"/>
  <c r="R251" i="4"/>
  <c r="Y200" i="4"/>
  <c r="W200" i="4"/>
  <c r="Q239" i="4"/>
  <c r="S239" i="4" s="1"/>
  <c r="Z188" i="4" s="1"/>
  <c r="W188" i="4"/>
  <c r="U188" i="4"/>
  <c r="R239" i="4"/>
  <c r="Y188" i="4"/>
  <c r="U192" i="4"/>
  <c r="W192" i="4"/>
  <c r="Y192" i="4"/>
  <c r="R243" i="4"/>
  <c r="Q243" i="4"/>
  <c r="S243" i="4" s="1"/>
  <c r="Z192" i="4" s="1"/>
  <c r="Y185" i="4"/>
  <c r="U185" i="4"/>
  <c r="W185" i="4"/>
  <c r="R236" i="4"/>
  <c r="Q236" i="4"/>
  <c r="S236" i="4" s="1"/>
  <c r="Z185" i="4" s="1"/>
  <c r="W186" i="4"/>
  <c r="U186" i="4"/>
  <c r="Q237" i="4"/>
  <c r="S237" i="4" s="1"/>
  <c r="Z186" i="4" s="1"/>
  <c r="R237" i="4"/>
  <c r="Y186" i="4"/>
  <c r="X210" i="4"/>
  <c r="W210" i="4"/>
  <c r="X180" i="4"/>
  <c r="V180" i="4"/>
  <c r="S180" i="4"/>
  <c r="T180" i="4"/>
  <c r="X193" i="4"/>
  <c r="S193" i="4"/>
  <c r="V193" i="4"/>
  <c r="T193" i="4"/>
  <c r="X218" i="4"/>
  <c r="W218" i="4"/>
  <c r="X219" i="4"/>
  <c r="W219" i="4"/>
  <c r="X215" i="4"/>
  <c r="W215" i="4"/>
  <c r="T183" i="4"/>
  <c r="S183" i="4"/>
  <c r="V183" i="4"/>
  <c r="X183" i="4"/>
  <c r="T189" i="4"/>
  <c r="X189" i="4"/>
  <c r="V189" i="4"/>
  <c r="S189" i="4"/>
  <c r="W179" i="4"/>
  <c r="U179" i="4"/>
  <c r="R230" i="4"/>
  <c r="Q230" i="4"/>
  <c r="S230" i="4" s="1"/>
  <c r="Z179" i="4" s="1"/>
  <c r="Y179" i="4"/>
  <c r="W198" i="4"/>
  <c r="R249" i="4"/>
  <c r="U198" i="4"/>
  <c r="Y198" i="4"/>
  <c r="Q249" i="4"/>
  <c r="S249" i="4" s="1"/>
  <c r="Z198" i="4" s="1"/>
  <c r="U181" i="4"/>
  <c r="W181" i="4"/>
  <c r="Q232" i="4"/>
  <c r="S232" i="4" s="1"/>
  <c r="Z181" i="4" s="1"/>
  <c r="Y181" i="4"/>
  <c r="R232" i="4"/>
  <c r="Y180" i="4"/>
  <c r="Q231" i="4"/>
  <c r="S231" i="4" s="1"/>
  <c r="Z180" i="4" s="1"/>
  <c r="W180" i="4"/>
  <c r="R231" i="4"/>
  <c r="U180" i="4"/>
  <c r="Q235" i="4"/>
  <c r="S235" i="4" s="1"/>
  <c r="Z184" i="4" s="1"/>
  <c r="U184" i="4"/>
  <c r="W184" i="4"/>
  <c r="R235" i="4"/>
  <c r="Y184" i="4"/>
  <c r="X217" i="4"/>
  <c r="W217" i="4"/>
  <c r="W214" i="4"/>
  <c r="X214" i="4"/>
  <c r="S190" i="4"/>
  <c r="X190" i="4"/>
  <c r="V190" i="4"/>
  <c r="T190" i="4"/>
  <c r="X222" i="4"/>
  <c r="W222" i="4"/>
  <c r="V196" i="4"/>
  <c r="T196" i="4"/>
  <c r="X196" i="4"/>
  <c r="S196" i="4"/>
  <c r="V195" i="4"/>
  <c r="T195" i="4"/>
  <c r="X195" i="4"/>
  <c r="S195" i="4"/>
  <c r="X221" i="4"/>
  <c r="W221" i="4"/>
  <c r="T186" i="4"/>
  <c r="X186" i="4"/>
  <c r="V186" i="4"/>
  <c r="S186" i="4"/>
  <c r="V200" i="4"/>
  <c r="S200" i="4"/>
  <c r="T200" i="4"/>
  <c r="X200" i="4"/>
  <c r="R240" i="4"/>
  <c r="W189" i="4"/>
  <c r="Q240" i="4"/>
  <c r="S240" i="4" s="1"/>
  <c r="Z189" i="4" s="1"/>
  <c r="Y189" i="4"/>
  <c r="U189" i="4"/>
  <c r="U191" i="4"/>
  <c r="W191" i="4"/>
  <c r="Q242" i="4"/>
  <c r="S242" i="4" s="1"/>
  <c r="Z191" i="4" s="1"/>
  <c r="Y191" i="4"/>
  <c r="R242" i="4"/>
  <c r="Q246" i="4"/>
  <c r="S246" i="4" s="1"/>
  <c r="Z195" i="4" s="1"/>
  <c r="W195" i="4"/>
  <c r="U195" i="4"/>
  <c r="R246" i="4"/>
  <c r="Y195" i="4"/>
  <c r="W193" i="4"/>
  <c r="R244" i="4"/>
  <c r="Y193" i="4"/>
  <c r="Q244" i="4"/>
  <c r="S244" i="4" s="1"/>
  <c r="Z193" i="4" s="1"/>
  <c r="U193" i="4"/>
  <c r="V194" i="4"/>
  <c r="T194" i="4"/>
  <c r="S194" i="4"/>
  <c r="X194" i="4"/>
  <c r="T202" i="4"/>
  <c r="S202" i="4"/>
  <c r="V202" i="4"/>
  <c r="X202" i="4"/>
  <c r="X213" i="4"/>
  <c r="W213" i="4"/>
  <c r="W208" i="4"/>
  <c r="X208" i="4"/>
  <c r="X198" i="4"/>
  <c r="V198" i="4"/>
  <c r="S198" i="4"/>
  <c r="T198" i="4"/>
  <c r="W220" i="4"/>
  <c r="X220" i="4"/>
  <c r="T188" i="4"/>
  <c r="V188" i="4"/>
  <c r="X188" i="4"/>
  <c r="S188" i="4"/>
  <c r="S182" i="4"/>
  <c r="T182" i="4"/>
  <c r="V182" i="4"/>
  <c r="X182" i="4"/>
  <c r="X181" i="4"/>
  <c r="V181" i="4"/>
  <c r="T181" i="4"/>
  <c r="S181" i="4"/>
  <c r="V191" i="4"/>
  <c r="T191" i="4"/>
  <c r="S191" i="4"/>
  <c r="X191" i="4"/>
  <c r="Q233" i="4"/>
  <c r="S233" i="4" s="1"/>
  <c r="Z182" i="4" s="1"/>
  <c r="W182" i="4"/>
  <c r="R233" i="4"/>
  <c r="U182" i="4"/>
  <c r="Y182" i="4"/>
  <c r="Q234" i="4"/>
  <c r="S234" i="4" s="1"/>
  <c r="Z183" i="4" s="1"/>
  <c r="Y183" i="4"/>
  <c r="W183" i="4"/>
  <c r="U183" i="4"/>
  <c r="R234" i="4"/>
  <c r="Y190" i="4"/>
  <c r="R241" i="4"/>
  <c r="U190" i="4"/>
  <c r="W190" i="4"/>
  <c r="Q241" i="4"/>
  <c r="S241" i="4" s="1"/>
  <c r="Z190" i="4" s="1"/>
  <c r="W187" i="4"/>
  <c r="Q238" i="4"/>
  <c r="S238" i="4" s="1"/>
  <c r="Z187" i="4" s="1"/>
  <c r="Y187" i="4"/>
  <c r="U187" i="4"/>
  <c r="R238" i="4"/>
  <c r="W197" i="4"/>
  <c r="U197" i="4"/>
  <c r="Y197" i="4"/>
  <c r="Q248" i="4"/>
  <c r="S248" i="4" s="1"/>
  <c r="Z197" i="4" s="1"/>
  <c r="R248" i="4"/>
  <c r="R253" i="4"/>
  <c r="W202" i="4"/>
  <c r="Y202" i="4"/>
  <c r="Q253" i="4"/>
  <c r="S253" i="4" s="1"/>
  <c r="Z202" i="4" s="1"/>
  <c r="U202" i="4"/>
  <c r="V179" i="4"/>
  <c r="S179" i="4"/>
  <c r="T179" i="4"/>
  <c r="X179" i="4"/>
  <c r="T184" i="4"/>
  <c r="X184" i="4"/>
  <c r="S184" i="4"/>
  <c r="V184" i="4"/>
  <c r="W207" i="4"/>
  <c r="X207" i="4"/>
  <c r="W212" i="4"/>
  <c r="X212" i="4"/>
  <c r="S187" i="4"/>
  <c r="T187" i="4"/>
  <c r="X187" i="4"/>
  <c r="V187" i="4"/>
  <c r="V192" i="4"/>
  <c r="T192" i="4"/>
  <c r="S192" i="4"/>
  <c r="X192" i="4"/>
  <c r="X216" i="4"/>
  <c r="W216" i="4"/>
  <c r="S185" i="4"/>
  <c r="X185" i="4"/>
  <c r="T185" i="4"/>
  <c r="V185" i="4"/>
  <c r="FF4" i="3" l="1"/>
  <c r="EI4" i="3"/>
  <c r="ED4" i="3"/>
  <c r="EB4" i="3"/>
  <c r="D104" i="3"/>
  <c r="E104" i="3" s="1"/>
  <c r="FB4" i="3"/>
  <c r="EH4" i="3"/>
  <c r="EZ4" i="3"/>
  <c r="FG4" i="3"/>
  <c r="FH4" i="3"/>
  <c r="EY4" i="3"/>
  <c r="EA4" i="3"/>
  <c r="EL4" i="3" s="1"/>
  <c r="EJ4" i="3"/>
  <c r="D61" i="3"/>
  <c r="EG4" i="3"/>
  <c r="FE4" i="3"/>
  <c r="T3" i="3"/>
  <c r="Q3" i="3"/>
  <c r="Z3" i="3"/>
  <c r="F104" i="3"/>
  <c r="FA4" i="3"/>
  <c r="C105" i="3"/>
  <c r="B105" i="3"/>
  <c r="A106" i="3" s="1"/>
  <c r="K105" i="3"/>
  <c r="J105" i="3"/>
  <c r="V164" i="4"/>
  <c r="C103" i="3" s="1"/>
  <c r="S164" i="4"/>
  <c r="T164" i="4"/>
  <c r="C60" i="3" s="1"/>
  <c r="X164" i="4"/>
  <c r="C92" i="3"/>
  <c r="EW5" i="3"/>
  <c r="EV6" i="3" s="1"/>
  <c r="EU5" i="3"/>
  <c r="FN5" i="3"/>
  <c r="EX5" i="3"/>
  <c r="FC5" i="3" s="1"/>
  <c r="R215" i="4"/>
  <c r="U164" i="4"/>
  <c r="Q215" i="4"/>
  <c r="S215" i="4" s="1"/>
  <c r="Z164" i="4" s="1"/>
  <c r="Y164" i="4"/>
  <c r="W164" i="4"/>
  <c r="DZ52" i="3"/>
  <c r="DZ3" i="3"/>
  <c r="EX3" i="3"/>
  <c r="EX51" i="3"/>
  <c r="EY51" i="3" s="1"/>
  <c r="DZ51" i="3"/>
  <c r="EA51" i="3" s="1"/>
  <c r="J62" i="3"/>
  <c r="B62" i="3"/>
  <c r="A63" i="3" s="1"/>
  <c r="K62" i="3"/>
  <c r="C62" i="3"/>
  <c r="R162" i="4"/>
  <c r="W28" i="3"/>
  <c r="J16" i="6" s="1"/>
  <c r="R28" i="3"/>
  <c r="E16" i="6" s="1"/>
  <c r="P28" i="3"/>
  <c r="C16" i="6" s="1"/>
  <c r="O28" i="3"/>
  <c r="N4" i="3"/>
  <c r="S4" i="3" s="1"/>
  <c r="AD4" i="3"/>
  <c r="K4" i="3"/>
  <c r="M4" i="3"/>
  <c r="L5" i="3" s="1"/>
  <c r="M34" i="3"/>
  <c r="EP5" i="3"/>
  <c r="DZ5" i="3"/>
  <c r="EE5" i="3" s="1"/>
  <c r="DY5" i="3"/>
  <c r="DX6" i="3" s="1"/>
  <c r="DW5" i="3"/>
  <c r="BG51" i="3"/>
  <c r="BG52" i="3"/>
  <c r="AL51" i="3"/>
  <c r="AL52" i="3"/>
  <c r="CF52" i="3"/>
  <c r="DA51" i="3"/>
  <c r="CF51" i="3"/>
  <c r="DA52" i="3"/>
  <c r="EC51" i="3" l="1"/>
  <c r="EB51" i="3"/>
  <c r="EI51" i="3"/>
  <c r="ED51" i="3"/>
  <c r="EZ51" i="3"/>
  <c r="FB51" i="3"/>
  <c r="FA51" i="3"/>
  <c r="FG51" i="3"/>
  <c r="FL4" i="3"/>
  <c r="ED5" i="3"/>
  <c r="EY5" i="3"/>
  <c r="EG5" i="3"/>
  <c r="EJ5" i="3"/>
  <c r="R4" i="3"/>
  <c r="W4" i="3"/>
  <c r="AA3" i="3"/>
  <c r="V4" i="3"/>
  <c r="U4" i="3"/>
  <c r="D62" i="3"/>
  <c r="F62" i="3" s="1"/>
  <c r="FH5" i="3"/>
  <c r="FJ4" i="3"/>
  <c r="FD4" i="3"/>
  <c r="EH5" i="3"/>
  <c r="X4" i="3"/>
  <c r="FB5" i="3"/>
  <c r="EF4" i="3"/>
  <c r="EC4" i="3"/>
  <c r="EN4" i="3" s="1"/>
  <c r="P4" i="3"/>
  <c r="D105" i="3"/>
  <c r="EA5" i="3"/>
  <c r="EF5" i="3" s="1"/>
  <c r="O4" i="3"/>
  <c r="FD5" i="3"/>
  <c r="EZ5" i="3"/>
  <c r="FJ5" i="3"/>
  <c r="G104" i="3"/>
  <c r="H104" i="3" s="1"/>
  <c r="I104" i="3" s="1"/>
  <c r="EB5" i="3"/>
  <c r="EI5" i="3"/>
  <c r="E62" i="3"/>
  <c r="G62" i="3" s="1"/>
  <c r="H62" i="3" s="1"/>
  <c r="I62" i="3" s="1"/>
  <c r="FA5" i="3"/>
  <c r="FF5" i="3"/>
  <c r="FE5" i="3"/>
  <c r="FG5" i="3"/>
  <c r="F61" i="3"/>
  <c r="E61" i="3"/>
  <c r="D103" i="3"/>
  <c r="E103" i="3" s="1"/>
  <c r="DY6" i="3"/>
  <c r="DX7" i="3" s="1"/>
  <c r="DZ6" i="3"/>
  <c r="EE6" i="3" s="1"/>
  <c r="DW6" i="3"/>
  <c r="EP6" i="3"/>
  <c r="EI6" i="3" s="1"/>
  <c r="EJ3" i="3"/>
  <c r="EA3" i="3"/>
  <c r="EF3" i="3" s="1"/>
  <c r="EE3" i="3"/>
  <c r="ED3" i="3"/>
  <c r="EH3" i="3"/>
  <c r="EG3" i="3"/>
  <c r="EI3" i="3"/>
  <c r="EB3" i="3"/>
  <c r="BH61" i="3"/>
  <c r="N5" i="3"/>
  <c r="S5" i="3" s="1"/>
  <c r="M5" i="3"/>
  <c r="L6" i="3" s="1"/>
  <c r="AD5" i="3"/>
  <c r="K5" i="3"/>
  <c r="Q28" i="3"/>
  <c r="D16" i="6" s="1"/>
  <c r="D60" i="3"/>
  <c r="E60" i="3" s="1"/>
  <c r="K106" i="3"/>
  <c r="J106" i="3"/>
  <c r="C106" i="3"/>
  <c r="B106" i="3"/>
  <c r="A107" i="3" s="1"/>
  <c r="EW6" i="3"/>
  <c r="EV7" i="3" s="1"/>
  <c r="EU6" i="3"/>
  <c r="FN6" i="3"/>
  <c r="EX6" i="3"/>
  <c r="J63" i="3"/>
  <c r="C63" i="3"/>
  <c r="B63" i="3"/>
  <c r="A64" i="3" s="1"/>
  <c r="K63" i="3"/>
  <c r="FH3" i="3"/>
  <c r="FF3" i="3"/>
  <c r="FE3" i="3"/>
  <c r="EY3" i="3"/>
  <c r="FA3" i="3" s="1"/>
  <c r="FL3" i="3" s="1"/>
  <c r="FB3" i="3"/>
  <c r="FG3" i="3"/>
  <c r="EZ3" i="3"/>
  <c r="FC3" i="3"/>
  <c r="D92" i="3"/>
  <c r="E92" i="3" s="1"/>
  <c r="AP51" i="3"/>
  <c r="BK52" i="3"/>
  <c r="AP52" i="3"/>
  <c r="BK51" i="3"/>
  <c r="EM51" i="3" l="1"/>
  <c r="FK51" i="3"/>
  <c r="AA28" i="3"/>
  <c r="L16" i="6" s="1"/>
  <c r="N16" i="6" s="1"/>
  <c r="Y16" i="6" s="1"/>
  <c r="FL5" i="3"/>
  <c r="EL3" i="3"/>
  <c r="U5" i="3"/>
  <c r="FJ3" i="3"/>
  <c r="FK3" i="3" s="1"/>
  <c r="FM3" i="3" s="1"/>
  <c r="FD3" i="3"/>
  <c r="EC3" i="3"/>
  <c r="EN3" i="3" s="1"/>
  <c r="O5" i="3"/>
  <c r="Z5" i="3" s="1"/>
  <c r="FF6" i="3"/>
  <c r="EM4" i="3"/>
  <c r="EO4" i="3" s="1"/>
  <c r="D63" i="3"/>
  <c r="E63" i="3" s="1"/>
  <c r="P5" i="3"/>
  <c r="FK4" i="3"/>
  <c r="FM4" i="3" s="1"/>
  <c r="F92" i="3"/>
  <c r="G92" i="3" s="1"/>
  <c r="H92" i="3" s="1"/>
  <c r="I92" i="3" s="1"/>
  <c r="FB6" i="3"/>
  <c r="R5" i="3"/>
  <c r="FC6" i="3"/>
  <c r="FH6" i="3"/>
  <c r="X5" i="3"/>
  <c r="ED6" i="3"/>
  <c r="FK5" i="3"/>
  <c r="FM5" i="3" s="1"/>
  <c r="F103" i="3"/>
  <c r="EY6" i="3"/>
  <c r="FD6" i="3" s="1"/>
  <c r="D106" i="3"/>
  <c r="F106" i="3" s="1"/>
  <c r="EG6" i="3"/>
  <c r="EH6" i="3"/>
  <c r="EL5" i="3"/>
  <c r="FE6" i="3"/>
  <c r="FG6" i="3"/>
  <c r="F60" i="3"/>
  <c r="G60" i="3" s="1"/>
  <c r="H60" i="3" s="1"/>
  <c r="I60" i="3" s="1"/>
  <c r="W5" i="3"/>
  <c r="EA6" i="3"/>
  <c r="EJ6" i="3"/>
  <c r="EZ6" i="3"/>
  <c r="V5" i="3"/>
  <c r="EB6" i="3"/>
  <c r="G61" i="3"/>
  <c r="H61" i="3" s="1"/>
  <c r="I61" i="3" s="1"/>
  <c r="Z4" i="3"/>
  <c r="T4" i="3"/>
  <c r="Q4" i="3"/>
  <c r="E105" i="3"/>
  <c r="F105" i="3"/>
  <c r="EC5" i="3"/>
  <c r="EN5" i="3" s="1"/>
  <c r="B64" i="3"/>
  <c r="A65" i="3" s="1"/>
  <c r="J64" i="3"/>
  <c r="C64" i="3"/>
  <c r="K64" i="3"/>
  <c r="DZ7" i="3"/>
  <c r="EE7" i="3" s="1"/>
  <c r="DY7" i="3"/>
  <c r="DX8" i="3" s="1"/>
  <c r="DW7" i="3"/>
  <c r="EP7" i="3"/>
  <c r="G103" i="3"/>
  <c r="H103" i="3" s="1"/>
  <c r="I103" i="3" s="1"/>
  <c r="EX7" i="3"/>
  <c r="FC7" i="3" s="1"/>
  <c r="FN7" i="3"/>
  <c r="EW7" i="3"/>
  <c r="EV8" i="3" s="1"/>
  <c r="EU7" i="3"/>
  <c r="B107" i="3"/>
  <c r="A108" i="3" s="1"/>
  <c r="K107" i="3"/>
  <c r="C107" i="3"/>
  <c r="J107" i="3"/>
  <c r="N6" i="3"/>
  <c r="S6" i="3" s="1"/>
  <c r="M6" i="3"/>
  <c r="L7" i="3" s="1"/>
  <c r="K6" i="3"/>
  <c r="AD6" i="3"/>
  <c r="EF6" i="3"/>
  <c r="AP54" i="3"/>
  <c r="BK54" i="3"/>
  <c r="T5" i="3" l="1"/>
  <c r="EM3" i="3"/>
  <c r="EO3" i="3" s="1"/>
  <c r="EH7" i="3"/>
  <c r="FF7" i="3"/>
  <c r="X16" i="6"/>
  <c r="EA7" i="3"/>
  <c r="EL7" i="3" s="1"/>
  <c r="EG7" i="3"/>
  <c r="EY7" i="3"/>
  <c r="FD7" i="3" s="1"/>
  <c r="FB7" i="3"/>
  <c r="FG7" i="3"/>
  <c r="FE7" i="3"/>
  <c r="EZ7" i="3"/>
  <c r="EJ7" i="3"/>
  <c r="U6" i="3"/>
  <c r="FH7" i="3"/>
  <c r="EB7" i="3"/>
  <c r="ED7" i="3"/>
  <c r="EI7" i="3"/>
  <c r="Q5" i="3"/>
  <c r="AA5" i="3" s="1"/>
  <c r="FJ6" i="3"/>
  <c r="F63" i="3"/>
  <c r="X6" i="3"/>
  <c r="V6" i="3"/>
  <c r="D107" i="3"/>
  <c r="F107" i="3" s="1"/>
  <c r="G63" i="3"/>
  <c r="H63" i="3" s="1"/>
  <c r="I63" i="3" s="1"/>
  <c r="W6" i="3"/>
  <c r="D64" i="3"/>
  <c r="F64" i="3" s="1"/>
  <c r="EM5" i="3"/>
  <c r="EO5" i="3" s="1"/>
  <c r="O6" i="3"/>
  <c r="T6" i="3" s="1"/>
  <c r="G105" i="3"/>
  <c r="H105" i="3" s="1"/>
  <c r="I105" i="3" s="1"/>
  <c r="FA6" i="3"/>
  <c r="FL6" i="3" s="1"/>
  <c r="E106" i="3"/>
  <c r="G106" i="3" s="1"/>
  <c r="H106" i="3" s="1"/>
  <c r="I106" i="3" s="1"/>
  <c r="P6" i="3"/>
  <c r="R6" i="3"/>
  <c r="AA4" i="3"/>
  <c r="EL6" i="3"/>
  <c r="EC6" i="3"/>
  <c r="EN6" i="3" s="1"/>
  <c r="B108" i="3"/>
  <c r="A109" i="3" s="1"/>
  <c r="C108" i="3"/>
  <c r="K108" i="3"/>
  <c r="J108" i="3"/>
  <c r="EP8" i="3"/>
  <c r="EG8" i="3" s="1"/>
  <c r="EN8" i="3"/>
  <c r="DW8" i="3"/>
  <c r="DZ8" i="3"/>
  <c r="DY8" i="3"/>
  <c r="DX9" i="3" s="1"/>
  <c r="M7" i="3"/>
  <c r="L8" i="3" s="1"/>
  <c r="K7" i="3"/>
  <c r="N7" i="3"/>
  <c r="S7" i="3" s="1"/>
  <c r="AD7" i="3"/>
  <c r="EU8" i="3"/>
  <c r="FL8" i="3"/>
  <c r="EW8" i="3"/>
  <c r="EV9" i="3" s="1"/>
  <c r="EX8" i="3"/>
  <c r="FC8" i="3" s="1"/>
  <c r="FN8" i="3"/>
  <c r="K65" i="3"/>
  <c r="B65" i="3"/>
  <c r="A66" i="3" s="1"/>
  <c r="C65" i="3"/>
  <c r="J65" i="3"/>
  <c r="AP55" i="3"/>
  <c r="E17" i="6" s="1"/>
  <c r="FH8" i="3" l="1"/>
  <c r="EJ8" i="3"/>
  <c r="EI8" i="3"/>
  <c r="EE8" i="3"/>
  <c r="ED8" i="3"/>
  <c r="EZ8" i="3"/>
  <c r="EH8" i="3"/>
  <c r="FB8" i="3"/>
  <c r="EB8" i="3"/>
  <c r="FG8" i="3"/>
  <c r="FE8" i="3"/>
  <c r="FF8" i="3"/>
  <c r="EY8" i="3"/>
  <c r="EA8" i="3"/>
  <c r="EF8" i="3" s="1"/>
  <c r="E64" i="3"/>
  <c r="G64" i="3" s="1"/>
  <c r="H64" i="3" s="1"/>
  <c r="I64" i="3" s="1"/>
  <c r="D65" i="3"/>
  <c r="E65" i="3" s="1"/>
  <c r="FJ7" i="3"/>
  <c r="FA7" i="3"/>
  <c r="FL7" i="3" s="1"/>
  <c r="E107" i="3"/>
  <c r="G107" i="3" s="1"/>
  <c r="H107" i="3" s="1"/>
  <c r="I107" i="3" s="1"/>
  <c r="FK6" i="3"/>
  <c r="FM6" i="3" s="1"/>
  <c r="EF7" i="3"/>
  <c r="EC7" i="3"/>
  <c r="EN7" i="3" s="1"/>
  <c r="P7" i="3"/>
  <c r="X7" i="3"/>
  <c r="W7" i="3"/>
  <c r="V7" i="3"/>
  <c r="Z6" i="3"/>
  <c r="Q6" i="3"/>
  <c r="O7" i="3"/>
  <c r="Z7" i="3" s="1"/>
  <c r="D108" i="3"/>
  <c r="EM6" i="3"/>
  <c r="EO6" i="3" s="1"/>
  <c r="R7" i="3"/>
  <c r="U7" i="3"/>
  <c r="N8" i="3"/>
  <c r="S8" i="3" s="1"/>
  <c r="AD8" i="3"/>
  <c r="K8" i="3"/>
  <c r="M8" i="3"/>
  <c r="L9" i="3" s="1"/>
  <c r="K66" i="3"/>
  <c r="B66" i="3"/>
  <c r="A67" i="3" s="1"/>
  <c r="C66" i="3"/>
  <c r="J66" i="3"/>
  <c r="EX9" i="3"/>
  <c r="FC9" i="3" s="1"/>
  <c r="FN9" i="3"/>
  <c r="FH9" i="3" s="1"/>
  <c r="EU9" i="3"/>
  <c r="EW9" i="3"/>
  <c r="EV10" i="3" s="1"/>
  <c r="FL9" i="3"/>
  <c r="DZ9" i="3"/>
  <c r="EP9" i="3"/>
  <c r="DY9" i="3"/>
  <c r="DX10" i="3" s="1"/>
  <c r="EN9" i="3"/>
  <c r="EG9" i="3"/>
  <c r="DW9" i="3"/>
  <c r="B109" i="3"/>
  <c r="A110" i="3" s="1"/>
  <c r="C109" i="3"/>
  <c r="K109" i="3"/>
  <c r="J109" i="3"/>
  <c r="EH9" i="3" l="1"/>
  <c r="ED9" i="3"/>
  <c r="EI9" i="3"/>
  <c r="EA9" i="3"/>
  <c r="EC9" i="3" s="1"/>
  <c r="FE9" i="3"/>
  <c r="EC8" i="3"/>
  <c r="AA6" i="3"/>
  <c r="EJ9" i="3"/>
  <c r="EB9" i="3"/>
  <c r="EE9" i="3"/>
  <c r="EZ9" i="3"/>
  <c r="FG9" i="3"/>
  <c r="EL8" i="3"/>
  <c r="FB9" i="3"/>
  <c r="EY9" i="3"/>
  <c r="FJ9" i="3" s="1"/>
  <c r="FA8" i="3"/>
  <c r="FD8" i="3"/>
  <c r="EF9" i="3"/>
  <c r="FF9" i="3"/>
  <c r="FJ8" i="3"/>
  <c r="F65" i="3"/>
  <c r="G65" i="3" s="1"/>
  <c r="H65" i="3" s="1"/>
  <c r="I65" i="3" s="1"/>
  <c r="P8" i="3"/>
  <c r="FK7" i="3"/>
  <c r="FM7" i="3" s="1"/>
  <c r="EM7" i="3"/>
  <c r="EO7" i="3" s="1"/>
  <c r="D109" i="3"/>
  <c r="F109" i="3" s="1"/>
  <c r="D66" i="3"/>
  <c r="E66" i="3" s="1"/>
  <c r="X8" i="3"/>
  <c r="W8" i="3"/>
  <c r="T7" i="3"/>
  <c r="Q7" i="3"/>
  <c r="R8" i="3"/>
  <c r="V8" i="3"/>
  <c r="O8" i="3"/>
  <c r="F108" i="3"/>
  <c r="E108" i="3"/>
  <c r="U8" i="3"/>
  <c r="C110" i="3"/>
  <c r="K110" i="3"/>
  <c r="J110" i="3"/>
  <c r="B110" i="3"/>
  <c r="A111" i="3" s="1"/>
  <c r="DW10" i="3"/>
  <c r="DZ10" i="3"/>
  <c r="EE10" i="3" s="1"/>
  <c r="EN10" i="3"/>
  <c r="EP10" i="3"/>
  <c r="DY10" i="3"/>
  <c r="DX11" i="3" s="1"/>
  <c r="EX10" i="3"/>
  <c r="FC10" i="3" s="1"/>
  <c r="EW10" i="3"/>
  <c r="EV11" i="3" s="1"/>
  <c r="EU10" i="3"/>
  <c r="FH10" i="3" s="1"/>
  <c r="FL10" i="3"/>
  <c r="FN10" i="3"/>
  <c r="FF10" i="3" s="1"/>
  <c r="C67" i="3"/>
  <c r="J67" i="3"/>
  <c r="K67" i="3"/>
  <c r="B67" i="3"/>
  <c r="A68" i="3" s="1"/>
  <c r="M9" i="3"/>
  <c r="L10" i="3" s="1"/>
  <c r="N9" i="3"/>
  <c r="S9" i="3" s="1"/>
  <c r="AD9" i="3"/>
  <c r="K9" i="3"/>
  <c r="EM8" i="3" l="1"/>
  <c r="EO8" i="3" s="1"/>
  <c r="ED10" i="3"/>
  <c r="EI10" i="3"/>
  <c r="EJ10" i="3"/>
  <c r="EL9" i="3"/>
  <c r="EM9" i="3" s="1"/>
  <c r="EO9" i="3" s="1"/>
  <c r="FB10" i="3"/>
  <c r="FG10" i="3"/>
  <c r="EH10" i="3"/>
  <c r="EY10" i="3"/>
  <c r="FD10" i="3" s="1"/>
  <c r="EZ10" i="3"/>
  <c r="FE10" i="3"/>
  <c r="EA10" i="3"/>
  <c r="EG10" i="3"/>
  <c r="EB10" i="3"/>
  <c r="FK8" i="3"/>
  <c r="FM8" i="3" s="1"/>
  <c r="FA9" i="3"/>
  <c r="FD9" i="3"/>
  <c r="P9" i="3"/>
  <c r="F66" i="3"/>
  <c r="G66" i="3" s="1"/>
  <c r="H66" i="3" s="1"/>
  <c r="I66" i="3" s="1"/>
  <c r="D67" i="3"/>
  <c r="F67" i="3" s="1"/>
  <c r="E109" i="3"/>
  <c r="G109" i="3" s="1"/>
  <c r="H109" i="3" s="1"/>
  <c r="I109" i="3" s="1"/>
  <c r="AA7" i="3"/>
  <c r="W9" i="3"/>
  <c r="U9" i="3"/>
  <c r="V9" i="3"/>
  <c r="X9" i="3"/>
  <c r="R9" i="3"/>
  <c r="D110" i="3"/>
  <c r="Q8" i="3"/>
  <c r="T8" i="3"/>
  <c r="Z8" i="3"/>
  <c r="O9" i="3"/>
  <c r="Z9" i="3" s="1"/>
  <c r="G108" i="3"/>
  <c r="H108" i="3" s="1"/>
  <c r="I108" i="3" s="1"/>
  <c r="B111" i="3"/>
  <c r="A112" i="3" s="1"/>
  <c r="C111" i="3"/>
  <c r="K111" i="3"/>
  <c r="J111" i="3"/>
  <c r="B68" i="3"/>
  <c r="A69" i="3" s="1"/>
  <c r="J68" i="3"/>
  <c r="C68" i="3"/>
  <c r="K68" i="3"/>
  <c r="DY11" i="3"/>
  <c r="EN11" i="3"/>
  <c r="DZ11" i="3"/>
  <c r="EE11" i="3" s="1"/>
  <c r="EP11" i="3"/>
  <c r="DW11" i="3"/>
  <c r="EJ11" i="3" s="1"/>
  <c r="DX12" i="3"/>
  <c r="EW11" i="3"/>
  <c r="EV12" i="3" s="1"/>
  <c r="EX11" i="3"/>
  <c r="FL11" i="3"/>
  <c r="FN11" i="3"/>
  <c r="EU11" i="3"/>
  <c r="AD10" i="3"/>
  <c r="M10" i="3"/>
  <c r="L11" i="3" s="1"/>
  <c r="K10" i="3"/>
  <c r="N10" i="3"/>
  <c r="S10" i="3" s="1"/>
  <c r="EI11" i="3" l="1"/>
  <c r="ED11" i="3"/>
  <c r="EH11" i="3"/>
  <c r="FG11" i="3"/>
  <c r="FH11" i="3"/>
  <c r="FE11" i="3"/>
  <c r="EG11" i="3"/>
  <c r="EC10" i="3"/>
  <c r="EF10" i="3"/>
  <c r="FF11" i="3"/>
  <c r="EB11" i="3"/>
  <c r="FB11" i="3"/>
  <c r="FC11" i="3"/>
  <c r="EY11" i="3"/>
  <c r="FJ11" i="3" s="1"/>
  <c r="EZ11" i="3"/>
  <c r="EA11" i="3"/>
  <c r="EC11" i="3" s="1"/>
  <c r="FJ10" i="3"/>
  <c r="FA10" i="3"/>
  <c r="EL10" i="3"/>
  <c r="FK9" i="3"/>
  <c r="FM9" i="3" s="1"/>
  <c r="O10" i="3"/>
  <c r="Z10" i="3" s="1"/>
  <c r="E67" i="3"/>
  <c r="G67" i="3" s="1"/>
  <c r="H67" i="3" s="1"/>
  <c r="I67" i="3" s="1"/>
  <c r="D68" i="3"/>
  <c r="E68" i="3" s="1"/>
  <c r="AA8" i="3"/>
  <c r="R10" i="3"/>
  <c r="W10" i="3"/>
  <c r="T9" i="3"/>
  <c r="Q9" i="3"/>
  <c r="X10" i="3"/>
  <c r="P10" i="3"/>
  <c r="D111" i="3"/>
  <c r="U10" i="3"/>
  <c r="V10" i="3"/>
  <c r="F110" i="3"/>
  <c r="E110" i="3"/>
  <c r="FL12" i="3"/>
  <c r="FC12" i="3"/>
  <c r="FN12" i="3"/>
  <c r="EW12" i="3"/>
  <c r="EV13" i="3" s="1"/>
  <c r="EU12" i="3"/>
  <c r="EX12" i="3"/>
  <c r="N11" i="3"/>
  <c r="S11" i="3" s="1"/>
  <c r="K11" i="3"/>
  <c r="M11" i="3"/>
  <c r="L12" i="3" s="1"/>
  <c r="AD11" i="3"/>
  <c r="B69" i="3"/>
  <c r="A70" i="3" s="1"/>
  <c r="K69" i="3"/>
  <c r="C69" i="3"/>
  <c r="J69" i="3"/>
  <c r="DY12" i="3"/>
  <c r="DX13" i="3" s="1"/>
  <c r="DZ12" i="3"/>
  <c r="EP12" i="3"/>
  <c r="EN12" i="3"/>
  <c r="DW12" i="3"/>
  <c r="C112" i="3"/>
  <c r="B112" i="3"/>
  <c r="A113" i="3" s="1"/>
  <c r="J112" i="3"/>
  <c r="K112" i="3"/>
  <c r="FG12" i="3" l="1"/>
  <c r="FA11" i="3"/>
  <c r="EG12" i="3"/>
  <c r="EJ12" i="3"/>
  <c r="FF12" i="3"/>
  <c r="FB12" i="3"/>
  <c r="ED12" i="3"/>
  <c r="EA12" i="3"/>
  <c r="EF12" i="3" s="1"/>
  <c r="EB12" i="3"/>
  <c r="EI12" i="3"/>
  <c r="FH12" i="3"/>
  <c r="EH12" i="3"/>
  <c r="EL12" i="3"/>
  <c r="EY12" i="3"/>
  <c r="FA12" i="3" s="1"/>
  <c r="EE12" i="3"/>
  <c r="EZ12" i="3"/>
  <c r="FE12" i="3"/>
  <c r="FK10" i="3"/>
  <c r="FM10" i="3" s="1"/>
  <c r="FD11" i="3"/>
  <c r="EF11" i="3"/>
  <c r="EL11" i="3"/>
  <c r="EM10" i="3"/>
  <c r="EO10" i="3" s="1"/>
  <c r="D112" i="3"/>
  <c r="F112" i="3" s="1"/>
  <c r="F68" i="3"/>
  <c r="G68" i="3" s="1"/>
  <c r="H68" i="3" s="1"/>
  <c r="I68" i="3" s="1"/>
  <c r="Q10" i="3"/>
  <c r="T10" i="3"/>
  <c r="V11" i="3"/>
  <c r="G110" i="3"/>
  <c r="H110" i="3" s="1"/>
  <c r="I110" i="3" s="1"/>
  <c r="AA9" i="3"/>
  <c r="U11" i="3"/>
  <c r="O11" i="3"/>
  <c r="Q11" i="3" s="1"/>
  <c r="F111" i="3"/>
  <c r="E111" i="3"/>
  <c r="P11" i="3"/>
  <c r="R11" i="3"/>
  <c r="W11" i="3"/>
  <c r="D69" i="3"/>
  <c r="X11" i="3"/>
  <c r="M12" i="3"/>
  <c r="L13" i="3" s="1"/>
  <c r="AD12" i="3"/>
  <c r="K12" i="3"/>
  <c r="N12" i="3"/>
  <c r="S12" i="3" s="1"/>
  <c r="B113" i="3"/>
  <c r="A114" i="3" s="1"/>
  <c r="C113" i="3"/>
  <c r="K113" i="3"/>
  <c r="J113" i="3"/>
  <c r="EP13" i="3"/>
  <c r="EA13" i="3" s="1"/>
  <c r="DW13" i="3"/>
  <c r="DZ13" i="3"/>
  <c r="EN13" i="3"/>
  <c r="DY13" i="3"/>
  <c r="DX14" i="3" s="1"/>
  <c r="C70" i="3"/>
  <c r="B70" i="3"/>
  <c r="A71" i="3" s="1"/>
  <c r="K70" i="3"/>
  <c r="J70" i="3"/>
  <c r="EU13" i="3"/>
  <c r="EW13" i="3"/>
  <c r="FE13" i="3"/>
  <c r="FN13" i="3"/>
  <c r="EZ13" i="3" s="1"/>
  <c r="FH13" i="3"/>
  <c r="FF13" i="3"/>
  <c r="EX13" i="3"/>
  <c r="FL13" i="3"/>
  <c r="EV14" i="3"/>
  <c r="FK11" i="3" l="1"/>
  <c r="FM11" i="3" s="1"/>
  <c r="D113" i="3"/>
  <c r="F113" i="3" s="1"/>
  <c r="FG13" i="3"/>
  <c r="EY13" i="3"/>
  <c r="FD13" i="3" s="1"/>
  <c r="EC13" i="3"/>
  <c r="EE13" i="3"/>
  <c r="FC13" i="3"/>
  <c r="FB13" i="3"/>
  <c r="EI13" i="3"/>
  <c r="EF13" i="3"/>
  <c r="ED13" i="3"/>
  <c r="E112" i="3"/>
  <c r="FJ13" i="3"/>
  <c r="EB13" i="3"/>
  <c r="EH13" i="3"/>
  <c r="EL13" i="3"/>
  <c r="EG13" i="3"/>
  <c r="EJ13" i="3"/>
  <c r="EM11" i="3"/>
  <c r="EO11" i="3" s="1"/>
  <c r="EC12" i="3"/>
  <c r="EM12" i="3" s="1"/>
  <c r="EO12" i="3" s="1"/>
  <c r="FJ12" i="3"/>
  <c r="FD12" i="3"/>
  <c r="AA10" i="3"/>
  <c r="G112" i="3"/>
  <c r="H112" i="3" s="1"/>
  <c r="I112" i="3" s="1"/>
  <c r="O12" i="3"/>
  <c r="Q12" i="3" s="1"/>
  <c r="V12" i="3"/>
  <c r="U12" i="3"/>
  <c r="G111" i="3"/>
  <c r="H111" i="3" s="1"/>
  <c r="BZ6" i="3" s="1"/>
  <c r="Z11" i="3"/>
  <c r="T11" i="3"/>
  <c r="E69" i="3"/>
  <c r="F69" i="3"/>
  <c r="T12" i="3"/>
  <c r="D70" i="3"/>
  <c r="P12" i="3"/>
  <c r="W12" i="3"/>
  <c r="R12" i="3"/>
  <c r="X12" i="3"/>
  <c r="B71" i="3"/>
  <c r="A72" i="3" s="1"/>
  <c r="K71" i="3"/>
  <c r="C71" i="3"/>
  <c r="J71" i="3"/>
  <c r="EN14" i="3"/>
  <c r="EF14" i="3"/>
  <c r="EE14" i="3"/>
  <c r="EP14" i="3"/>
  <c r="DX15" i="3"/>
  <c r="EA14" i="3"/>
  <c r="EH14" i="3"/>
  <c r="DW14" i="3"/>
  <c r="EO14" i="3" s="1"/>
  <c r="ED14" i="3"/>
  <c r="EC14" i="3"/>
  <c r="EG14" i="3"/>
  <c r="EI14" i="3"/>
  <c r="EB14" i="3"/>
  <c r="EL14" i="3"/>
  <c r="DY14" i="3"/>
  <c r="EJ14" i="3"/>
  <c r="DZ14" i="3"/>
  <c r="FA14" i="3"/>
  <c r="FB14" i="3"/>
  <c r="FD14" i="3"/>
  <c r="FF14" i="3"/>
  <c r="EV15" i="3"/>
  <c r="EX14" i="3"/>
  <c r="EW14" i="3"/>
  <c r="FH14" i="3"/>
  <c r="EU14" i="3"/>
  <c r="FM14" i="3" s="1"/>
  <c r="FN14" i="3"/>
  <c r="FC14" i="3"/>
  <c r="FE14" i="3"/>
  <c r="FG14" i="3"/>
  <c r="EY14" i="3"/>
  <c r="FJ14" i="3"/>
  <c r="EZ14" i="3"/>
  <c r="FL14" i="3"/>
  <c r="M13" i="3"/>
  <c r="L14" i="3" s="1"/>
  <c r="K13" i="3"/>
  <c r="AD13" i="3"/>
  <c r="N13" i="3"/>
  <c r="S13" i="3" s="1"/>
  <c r="J114" i="3"/>
  <c r="C114" i="3"/>
  <c r="K114" i="3"/>
  <c r="B114" i="3"/>
  <c r="A115" i="3" s="1"/>
  <c r="E113" i="3" l="1"/>
  <c r="G113" i="3" s="1"/>
  <c r="H113" i="3" s="1"/>
  <c r="I113" i="3" s="1"/>
  <c r="EM13" i="3"/>
  <c r="EO13" i="3" s="1"/>
  <c r="FA13" i="3"/>
  <c r="FK13" i="3" s="1"/>
  <c r="FM13" i="3" s="1"/>
  <c r="D114" i="3"/>
  <c r="FK12" i="3"/>
  <c r="FM12" i="3" s="1"/>
  <c r="Z12" i="3"/>
  <c r="AA12" i="3" s="1"/>
  <c r="R13" i="3"/>
  <c r="DT6" i="3"/>
  <c r="ER6" i="3"/>
  <c r="AF6" i="3"/>
  <c r="BJ52" i="3" s="1"/>
  <c r="BT52" i="3" s="1"/>
  <c r="I111" i="3"/>
  <c r="AA11" i="3"/>
  <c r="W13" i="3"/>
  <c r="V13" i="3"/>
  <c r="P13" i="3"/>
  <c r="O13" i="3"/>
  <c r="EM14" i="3"/>
  <c r="X13" i="3"/>
  <c r="U13" i="3"/>
  <c r="G69" i="3"/>
  <c r="H69" i="3" s="1"/>
  <c r="I69" i="3" s="1"/>
  <c r="D71" i="3"/>
  <c r="E71" i="3" s="1"/>
  <c r="CI52" i="3"/>
  <c r="DD52" i="3"/>
  <c r="FK14" i="3"/>
  <c r="E70" i="3"/>
  <c r="F70" i="3"/>
  <c r="BJ51" i="3"/>
  <c r="N14" i="3"/>
  <c r="S14" i="3" s="1"/>
  <c r="K14" i="3"/>
  <c r="AD14" i="3"/>
  <c r="M14" i="3"/>
  <c r="L15" i="3" s="1"/>
  <c r="EX15" i="3"/>
  <c r="FJ15" i="3"/>
  <c r="EV16" i="3"/>
  <c r="FE15" i="3"/>
  <c r="FG15" i="3"/>
  <c r="FD15" i="3"/>
  <c r="EW15" i="3"/>
  <c r="FH15" i="3"/>
  <c r="EY15" i="3"/>
  <c r="EU15" i="3"/>
  <c r="FM15" i="3" s="1"/>
  <c r="FL15" i="3"/>
  <c r="FC15" i="3"/>
  <c r="FN15" i="3"/>
  <c r="EZ15" i="3"/>
  <c r="FA15" i="3"/>
  <c r="FB15" i="3"/>
  <c r="FF15" i="3"/>
  <c r="EN15" i="3"/>
  <c r="EE15" i="3"/>
  <c r="DZ15" i="3"/>
  <c r="EB15" i="3"/>
  <c r="EH15" i="3"/>
  <c r="EL15" i="3"/>
  <c r="ED15" i="3"/>
  <c r="EC15" i="3"/>
  <c r="EG15" i="3"/>
  <c r="EP15" i="3"/>
  <c r="DY15" i="3"/>
  <c r="DX16" i="3"/>
  <c r="EI15" i="3"/>
  <c r="EA15" i="3"/>
  <c r="DW15" i="3"/>
  <c r="EO15" i="3" s="1"/>
  <c r="EF15" i="3"/>
  <c r="EJ15" i="3"/>
  <c r="B72" i="3"/>
  <c r="A73" i="3" s="1"/>
  <c r="C72" i="3"/>
  <c r="J72" i="3"/>
  <c r="K72" i="3"/>
  <c r="K115" i="3"/>
  <c r="J115" i="3"/>
  <c r="B115" i="3"/>
  <c r="A116" i="3" s="1"/>
  <c r="C115" i="3"/>
  <c r="D115" i="3" s="1"/>
  <c r="F115" i="3" l="1"/>
  <c r="E115" i="3"/>
  <c r="G115" i="3" s="1"/>
  <c r="H115" i="3" s="1"/>
  <c r="I115" i="3" s="1"/>
  <c r="E114" i="3"/>
  <c r="G114" i="3" s="1"/>
  <c r="H114" i="3" s="1"/>
  <c r="I114" i="3" s="1"/>
  <c r="F114" i="3"/>
  <c r="AO51" i="3"/>
  <c r="AY51" i="3" s="1"/>
  <c r="AO52" i="3"/>
  <c r="AY52" i="3" s="1"/>
  <c r="BX52" i="3" s="1"/>
  <c r="V14" i="3"/>
  <c r="D72" i="3"/>
  <c r="E72" i="3" s="1"/>
  <c r="G70" i="3"/>
  <c r="H70" i="3" s="1"/>
  <c r="I70" i="3" s="1"/>
  <c r="FK15" i="3"/>
  <c r="X14" i="3"/>
  <c r="BK61" i="3"/>
  <c r="CI54" i="3"/>
  <c r="CS52" i="3"/>
  <c r="O14" i="3"/>
  <c r="Z14" i="3" s="1"/>
  <c r="R14" i="3"/>
  <c r="F71" i="3"/>
  <c r="G71" i="3" s="1"/>
  <c r="H71" i="3" s="1"/>
  <c r="I71" i="3" s="1"/>
  <c r="EM15" i="3"/>
  <c r="P14" i="3"/>
  <c r="BJ54" i="3"/>
  <c r="BT51" i="3"/>
  <c r="BT54" i="3" s="1"/>
  <c r="T13" i="3"/>
  <c r="Q13" i="3"/>
  <c r="Z13" i="3"/>
  <c r="W14" i="3"/>
  <c r="U14" i="3"/>
  <c r="DD54" i="3"/>
  <c r="DN52" i="3"/>
  <c r="DN54" i="3" s="1"/>
  <c r="E116" i="3"/>
  <c r="C116" i="3"/>
  <c r="D116" i="3" s="1"/>
  <c r="J116" i="3"/>
  <c r="K116" i="3"/>
  <c r="I116" i="3"/>
  <c r="G116" i="3"/>
  <c r="H116" i="3"/>
  <c r="B116" i="3"/>
  <c r="A117" i="3" s="1"/>
  <c r="F116" i="3"/>
  <c r="EV17" i="3"/>
  <c r="FA16" i="3"/>
  <c r="FG16" i="3"/>
  <c r="FE16" i="3"/>
  <c r="FN16" i="3"/>
  <c r="FF16" i="3"/>
  <c r="FJ16" i="3"/>
  <c r="FB16" i="3"/>
  <c r="FL16" i="3"/>
  <c r="EX16" i="3"/>
  <c r="FC16" i="3"/>
  <c r="EW16" i="3"/>
  <c r="EY16" i="3"/>
  <c r="EU16" i="3"/>
  <c r="FM16" i="3" s="1"/>
  <c r="FD16" i="3"/>
  <c r="FH16" i="3"/>
  <c r="EZ16" i="3"/>
  <c r="C73" i="3"/>
  <c r="B73" i="3"/>
  <c r="A74" i="3" s="1"/>
  <c r="DY16" i="3"/>
  <c r="EI16" i="3"/>
  <c r="EF16" i="3"/>
  <c r="DZ16" i="3"/>
  <c r="ED16" i="3"/>
  <c r="EC16" i="3"/>
  <c r="EB16" i="3"/>
  <c r="EA16" i="3"/>
  <c r="DX17" i="3"/>
  <c r="EN16" i="3"/>
  <c r="EP16" i="3"/>
  <c r="EE16" i="3"/>
  <c r="EJ16" i="3"/>
  <c r="EH16" i="3"/>
  <c r="EG16" i="3"/>
  <c r="EL16" i="3"/>
  <c r="DW16" i="3"/>
  <c r="EO16" i="3" s="1"/>
  <c r="AD15" i="3"/>
  <c r="K15" i="3"/>
  <c r="M15" i="3"/>
  <c r="L16" i="3" s="1"/>
  <c r="N15" i="3"/>
  <c r="AO54" i="3" l="1"/>
  <c r="AO55" i="3" s="1"/>
  <c r="D17" i="6" s="1"/>
  <c r="N17" i="6" s="1"/>
  <c r="Y17" i="6" s="1"/>
  <c r="V15" i="3"/>
  <c r="F72" i="3"/>
  <c r="G72" i="3" s="1"/>
  <c r="H72" i="3" s="1"/>
  <c r="I72" i="3" s="1"/>
  <c r="D73" i="3"/>
  <c r="E73" i="3" s="1"/>
  <c r="R15" i="3"/>
  <c r="X15" i="3"/>
  <c r="S15" i="3"/>
  <c r="W15" i="3"/>
  <c r="O15" i="3"/>
  <c r="Q15" i="3" s="1"/>
  <c r="U15" i="3"/>
  <c r="P15" i="3"/>
  <c r="AY54" i="3"/>
  <c r="AY55" i="3" s="1"/>
  <c r="AZ56" i="3" s="1"/>
  <c r="O17" i="6" s="1"/>
  <c r="W17" i="6" s="1"/>
  <c r="BX51" i="3"/>
  <c r="BX54" i="3" s="1"/>
  <c r="CS54" i="3"/>
  <c r="CS55" i="3" s="1"/>
  <c r="DR52" i="3"/>
  <c r="DR54" i="3" s="1"/>
  <c r="BU61" i="3"/>
  <c r="FK16" i="3"/>
  <c r="AA13" i="3"/>
  <c r="CI55" i="3"/>
  <c r="BJ62" i="3" s="1"/>
  <c r="D18" i="6" s="1"/>
  <c r="N18" i="6" s="1"/>
  <c r="Y18" i="6" s="1"/>
  <c r="F73" i="3"/>
  <c r="G73" i="3" s="1"/>
  <c r="T14" i="3"/>
  <c r="Q14" i="3"/>
  <c r="EM16" i="3"/>
  <c r="FL17" i="3"/>
  <c r="FD17" i="3"/>
  <c r="EU17" i="3"/>
  <c r="FM17" i="3" s="1"/>
  <c r="FG17" i="3"/>
  <c r="EY17" i="3"/>
  <c r="FJ17" i="3"/>
  <c r="FN17" i="3"/>
  <c r="FB17" i="3"/>
  <c r="EZ17" i="3"/>
  <c r="EW17" i="3"/>
  <c r="FE17" i="3"/>
  <c r="EV18" i="3"/>
  <c r="FF17" i="3"/>
  <c r="FA17" i="3"/>
  <c r="EX17" i="3"/>
  <c r="FC17" i="3"/>
  <c r="FH17" i="3"/>
  <c r="F117" i="3"/>
  <c r="C117" i="3"/>
  <c r="D117" i="3" s="1"/>
  <c r="E117" i="3"/>
  <c r="K117" i="3"/>
  <c r="H117" i="3"/>
  <c r="G117" i="3"/>
  <c r="J117" i="3"/>
  <c r="B117" i="3"/>
  <c r="A118" i="3" s="1"/>
  <c r="I117" i="3"/>
  <c r="DZ17" i="3"/>
  <c r="DY17" i="3"/>
  <c r="EA17" i="3"/>
  <c r="EH17" i="3"/>
  <c r="EG17" i="3"/>
  <c r="EC17" i="3"/>
  <c r="EE17" i="3"/>
  <c r="EJ17" i="3"/>
  <c r="EN17" i="3"/>
  <c r="EP17" i="3"/>
  <c r="ED17" i="3"/>
  <c r="EL17" i="3"/>
  <c r="DW17" i="3"/>
  <c r="EO17" i="3" s="1"/>
  <c r="EF17" i="3"/>
  <c r="EI17" i="3"/>
  <c r="EB17" i="3"/>
  <c r="DX18" i="3"/>
  <c r="B74" i="3"/>
  <c r="A75" i="3" s="1"/>
  <c r="C74" i="3"/>
  <c r="N16" i="3"/>
  <c r="S16" i="3" s="1"/>
  <c r="M16" i="3"/>
  <c r="L17" i="3" s="1"/>
  <c r="K16" i="3"/>
  <c r="AD16" i="3"/>
  <c r="H73" i="3" l="1"/>
  <c r="K73" i="3" s="1"/>
  <c r="J73" i="3"/>
  <c r="X16" i="3"/>
  <c r="P16" i="3"/>
  <c r="V16" i="3"/>
  <c r="R16" i="3"/>
  <c r="U16" i="3"/>
  <c r="O16" i="3"/>
  <c r="W16" i="3"/>
  <c r="AA14" i="3"/>
  <c r="T15" i="3"/>
  <c r="Z15" i="3"/>
  <c r="D74" i="3"/>
  <c r="F74" i="3" s="1"/>
  <c r="X17" i="6"/>
  <c r="EM17" i="3"/>
  <c r="FK17" i="3"/>
  <c r="BT62" i="3"/>
  <c r="CT56" i="3"/>
  <c r="BU63" i="3" s="1"/>
  <c r="X18" i="6"/>
  <c r="AY58" i="3"/>
  <c r="B118" i="3"/>
  <c r="A119" i="3" s="1"/>
  <c r="H118" i="3"/>
  <c r="G118" i="3"/>
  <c r="J118" i="3"/>
  <c r="I118" i="3"/>
  <c r="E118" i="3"/>
  <c r="K118" i="3"/>
  <c r="C118" i="3"/>
  <c r="D118" i="3" s="1"/>
  <c r="F118" i="3"/>
  <c r="K17" i="3"/>
  <c r="M17" i="3"/>
  <c r="L18" i="3" s="1"/>
  <c r="AD17" i="3"/>
  <c r="W17" i="3" s="1"/>
  <c r="N17" i="3"/>
  <c r="S17" i="3" s="1"/>
  <c r="DY18" i="3"/>
  <c r="EI18" i="3"/>
  <c r="EC18" i="3"/>
  <c r="EH18" i="3"/>
  <c r="EN18" i="3"/>
  <c r="EE18" i="3"/>
  <c r="EL18" i="3"/>
  <c r="EF18" i="3"/>
  <c r="DX19" i="3"/>
  <c r="DZ18" i="3"/>
  <c r="ED18" i="3"/>
  <c r="EB18" i="3"/>
  <c r="EG18" i="3"/>
  <c r="EJ18" i="3"/>
  <c r="EA18" i="3"/>
  <c r="EP18" i="3"/>
  <c r="DW18" i="3"/>
  <c r="EO18" i="3" s="1"/>
  <c r="B75" i="3"/>
  <c r="A76" i="3" s="1"/>
  <c r="C75" i="3"/>
  <c r="EW18" i="3"/>
  <c r="FA18" i="3"/>
  <c r="EZ18" i="3"/>
  <c r="EX18" i="3"/>
  <c r="EV19" i="3"/>
  <c r="FN18" i="3"/>
  <c r="FH18" i="3"/>
  <c r="FD18" i="3"/>
  <c r="FF18" i="3"/>
  <c r="FL18" i="3"/>
  <c r="FE18" i="3"/>
  <c r="FG18" i="3"/>
  <c r="EY18" i="3"/>
  <c r="EU18" i="3"/>
  <c r="FM18" i="3" s="1"/>
  <c r="FC18" i="3"/>
  <c r="FJ18" i="3"/>
  <c r="FB18" i="3"/>
  <c r="I73" i="3" l="1"/>
  <c r="X17" i="3"/>
  <c r="P17" i="3"/>
  <c r="O17" i="3"/>
  <c r="T17" i="3" s="1"/>
  <c r="V17" i="3"/>
  <c r="D75" i="3"/>
  <c r="F75" i="3" s="1"/>
  <c r="R17" i="3"/>
  <c r="U17" i="3"/>
  <c r="AA15" i="3"/>
  <c r="Z16" i="3"/>
  <c r="Q16" i="3"/>
  <c r="T16" i="3"/>
  <c r="E74" i="3"/>
  <c r="G74" i="3" s="1"/>
  <c r="H74" i="3" s="1"/>
  <c r="EM18" i="3"/>
  <c r="FK18" i="3"/>
  <c r="EA19" i="3"/>
  <c r="EL19" i="3"/>
  <c r="EE19" i="3"/>
  <c r="EJ19" i="3"/>
  <c r="DY19" i="3"/>
  <c r="EG19" i="3"/>
  <c r="EB19" i="3"/>
  <c r="DW19" i="3"/>
  <c r="EO19" i="3" s="1"/>
  <c r="EN19" i="3"/>
  <c r="DX20" i="3"/>
  <c r="ED19" i="3"/>
  <c r="EI19" i="3"/>
  <c r="EP19" i="3"/>
  <c r="EF19" i="3"/>
  <c r="EH19" i="3"/>
  <c r="DZ19" i="3"/>
  <c r="EC19" i="3"/>
  <c r="C76" i="3"/>
  <c r="K76" i="3"/>
  <c r="B76" i="3"/>
  <c r="A77" i="3" s="1"/>
  <c r="J76" i="3"/>
  <c r="N18" i="3"/>
  <c r="M18" i="3"/>
  <c r="L19" i="3" s="1"/>
  <c r="S18" i="3"/>
  <c r="K18" i="3"/>
  <c r="AD18" i="3"/>
  <c r="I119" i="3"/>
  <c r="J119" i="3"/>
  <c r="H119" i="3"/>
  <c r="B119" i="3"/>
  <c r="A120" i="3" s="1"/>
  <c r="C119" i="3"/>
  <c r="D119" i="3" s="1"/>
  <c r="G119" i="3"/>
  <c r="E119" i="3"/>
  <c r="K119" i="3"/>
  <c r="F119" i="3"/>
  <c r="FG19" i="3"/>
  <c r="FD19" i="3"/>
  <c r="EW19" i="3"/>
  <c r="FB19" i="3"/>
  <c r="FN19" i="3"/>
  <c r="EY19" i="3"/>
  <c r="FF19" i="3"/>
  <c r="FE19" i="3"/>
  <c r="EZ19" i="3"/>
  <c r="FA19" i="3"/>
  <c r="FJ19" i="3"/>
  <c r="EU19" i="3"/>
  <c r="FM19" i="3" s="1"/>
  <c r="EV20" i="3"/>
  <c r="FH19" i="3"/>
  <c r="FC19" i="3"/>
  <c r="FL19" i="3"/>
  <c r="EX19" i="3"/>
  <c r="R18" i="3" l="1"/>
  <c r="W18" i="3"/>
  <c r="X18" i="3"/>
  <c r="E75" i="3"/>
  <c r="P18" i="3"/>
  <c r="U18" i="3"/>
  <c r="O18" i="3"/>
  <c r="T18" i="3" s="1"/>
  <c r="V18" i="3"/>
  <c r="D76" i="3"/>
  <c r="Z17" i="3"/>
  <c r="Q17" i="3"/>
  <c r="K74" i="3"/>
  <c r="I74" i="3"/>
  <c r="AA16" i="3"/>
  <c r="G75" i="3"/>
  <c r="H75" i="3" s="1"/>
  <c r="J74" i="3"/>
  <c r="FK19" i="3"/>
  <c r="EM19" i="3"/>
  <c r="FD20" i="3"/>
  <c r="FN20" i="3"/>
  <c r="FC20" i="3"/>
  <c r="EV21" i="3"/>
  <c r="EZ20" i="3"/>
  <c r="FG20" i="3"/>
  <c r="FJ20" i="3"/>
  <c r="FB20" i="3"/>
  <c r="FL20" i="3"/>
  <c r="EX20" i="3"/>
  <c r="FA20" i="3"/>
  <c r="EY20" i="3"/>
  <c r="FH20" i="3"/>
  <c r="EW20" i="3"/>
  <c r="EU20" i="3"/>
  <c r="FM20" i="3" s="1"/>
  <c r="FE20" i="3"/>
  <c r="FF20" i="3"/>
  <c r="N19" i="3"/>
  <c r="K19" i="3"/>
  <c r="L20" i="3"/>
  <c r="M19" i="3"/>
  <c r="S19" i="3"/>
  <c r="AD19" i="3"/>
  <c r="J120" i="3"/>
  <c r="E120" i="3"/>
  <c r="F120" i="3"/>
  <c r="K120" i="3"/>
  <c r="B120" i="3"/>
  <c r="A121" i="3" s="1"/>
  <c r="G120" i="3"/>
  <c r="I120" i="3"/>
  <c r="H120" i="3"/>
  <c r="C120" i="3"/>
  <c r="D120" i="3" s="1"/>
  <c r="DX21" i="3"/>
  <c r="EN20" i="3"/>
  <c r="EP20" i="3"/>
  <c r="EG20" i="3"/>
  <c r="EL20" i="3"/>
  <c r="EH20" i="3"/>
  <c r="EA20" i="3"/>
  <c r="EE20" i="3"/>
  <c r="DZ20" i="3"/>
  <c r="EC20" i="3"/>
  <c r="EF20" i="3"/>
  <c r="ED20" i="3"/>
  <c r="DW20" i="3"/>
  <c r="EO20" i="3" s="1"/>
  <c r="EB20" i="3"/>
  <c r="EI20" i="3"/>
  <c r="DY20" i="3"/>
  <c r="EJ20" i="3"/>
  <c r="B77" i="3"/>
  <c r="A78" i="3" s="1"/>
  <c r="J77" i="3"/>
  <c r="K77" i="3"/>
  <c r="C77" i="3"/>
  <c r="D77" i="3" s="1"/>
  <c r="E77" i="3" s="1"/>
  <c r="F77" i="3" l="1"/>
  <c r="G77" i="3" s="1"/>
  <c r="H77" i="3" s="1"/>
  <c r="I77" i="3" s="1"/>
  <c r="W19" i="3"/>
  <c r="O19" i="3"/>
  <c r="U19" i="3"/>
  <c r="R19" i="3"/>
  <c r="V19" i="3"/>
  <c r="P19" i="3"/>
  <c r="X19" i="3"/>
  <c r="Z18" i="3"/>
  <c r="Q18" i="3"/>
  <c r="F76" i="3"/>
  <c r="E76" i="3"/>
  <c r="K75" i="3"/>
  <c r="I75" i="3"/>
  <c r="AA17" i="3"/>
  <c r="J75" i="3"/>
  <c r="EM20" i="3"/>
  <c r="FK20" i="3"/>
  <c r="EZ21" i="3"/>
  <c r="EV22" i="3"/>
  <c r="FJ21" i="3"/>
  <c r="FA21" i="3"/>
  <c r="EY21" i="3"/>
  <c r="FF21" i="3"/>
  <c r="FB21" i="3"/>
  <c r="EU21" i="3"/>
  <c r="FM21" i="3" s="1"/>
  <c r="FC21" i="3"/>
  <c r="FN21" i="3"/>
  <c r="EW21" i="3"/>
  <c r="FL21" i="3"/>
  <c r="FD21" i="3"/>
  <c r="EX21" i="3"/>
  <c r="FH21" i="3"/>
  <c r="FE21" i="3"/>
  <c r="FG21" i="3"/>
  <c r="EN21" i="3"/>
  <c r="EH21" i="3"/>
  <c r="EJ21" i="3"/>
  <c r="DZ21" i="3"/>
  <c r="EC21" i="3"/>
  <c r="EG21" i="3"/>
  <c r="EF21" i="3"/>
  <c r="DX22" i="3"/>
  <c r="EI21" i="3"/>
  <c r="EA21" i="3"/>
  <c r="DW21" i="3"/>
  <c r="EO21" i="3" s="1"/>
  <c r="ED21" i="3"/>
  <c r="EB21" i="3"/>
  <c r="EE21" i="3"/>
  <c r="EL21" i="3"/>
  <c r="EP21" i="3"/>
  <c r="DY21" i="3"/>
  <c r="M20" i="3"/>
  <c r="L21" i="3" s="1"/>
  <c r="N20" i="3"/>
  <c r="S20" i="3" s="1"/>
  <c r="AD20" i="3"/>
  <c r="K20" i="3"/>
  <c r="I121" i="3"/>
  <c r="F121" i="3"/>
  <c r="G121" i="3"/>
  <c r="H121" i="3"/>
  <c r="B121" i="3"/>
  <c r="A122" i="3" s="1"/>
  <c r="K121" i="3"/>
  <c r="J121" i="3"/>
  <c r="E121" i="3"/>
  <c r="C121" i="3"/>
  <c r="D121" i="3" s="1"/>
  <c r="C78" i="3"/>
  <c r="D78" i="3" s="1"/>
  <c r="F78" i="3" s="1"/>
  <c r="B78" i="3"/>
  <c r="A79" i="3" s="1"/>
  <c r="I79" i="3" s="1"/>
  <c r="K78" i="3"/>
  <c r="J78" i="3"/>
  <c r="X20" i="3" l="1"/>
  <c r="V20" i="3"/>
  <c r="R20" i="3"/>
  <c r="E78" i="3"/>
  <c r="G78" i="3" s="1"/>
  <c r="H78" i="3" s="1"/>
  <c r="I78" i="3" s="1"/>
  <c r="O20" i="3"/>
  <c r="W20" i="3"/>
  <c r="U20" i="3"/>
  <c r="P20" i="3"/>
  <c r="T19" i="3"/>
  <c r="Q19" i="3"/>
  <c r="Z19" i="3"/>
  <c r="G76" i="3"/>
  <c r="H76" i="3" s="1"/>
  <c r="I76" i="3" s="1"/>
  <c r="AA18" i="3"/>
  <c r="FK21" i="3"/>
  <c r="EM21" i="3"/>
  <c r="J79" i="3"/>
  <c r="B79" i="3"/>
  <c r="A80" i="3" s="1"/>
  <c r="I80" i="3" s="1"/>
  <c r="H79" i="3"/>
  <c r="F79" i="3"/>
  <c r="C79" i="3"/>
  <c r="D79" i="3" s="1"/>
  <c r="K79" i="3"/>
  <c r="E79" i="3"/>
  <c r="G79" i="3"/>
  <c r="G122" i="3"/>
  <c r="E122" i="3"/>
  <c r="C122" i="3"/>
  <c r="D122" i="3" s="1"/>
  <c r="I122" i="3"/>
  <c r="H122" i="3"/>
  <c r="J122" i="3"/>
  <c r="K122" i="3"/>
  <c r="B122" i="3"/>
  <c r="A123" i="3" s="1"/>
  <c r="F122" i="3"/>
  <c r="V21" i="3"/>
  <c r="U21" i="3"/>
  <c r="K21" i="3"/>
  <c r="Z21" i="3"/>
  <c r="X21" i="3"/>
  <c r="R21" i="3"/>
  <c r="W21" i="3"/>
  <c r="AD21" i="3"/>
  <c r="Q21" i="3"/>
  <c r="P21" i="3"/>
  <c r="N21" i="3"/>
  <c r="T21" i="3"/>
  <c r="S21" i="3"/>
  <c r="L22" i="3"/>
  <c r="O21" i="3"/>
  <c r="M21" i="3"/>
  <c r="FF22" i="3"/>
  <c r="FC22" i="3"/>
  <c r="EZ22" i="3"/>
  <c r="FJ22" i="3"/>
  <c r="FB22" i="3"/>
  <c r="EW22" i="3"/>
  <c r="FL22" i="3"/>
  <c r="EX22" i="3"/>
  <c r="FA22" i="3"/>
  <c r="EY22" i="3"/>
  <c r="EU22" i="3"/>
  <c r="FM22" i="3" s="1"/>
  <c r="FN22" i="3"/>
  <c r="EV23" i="3"/>
  <c r="FG22" i="3"/>
  <c r="FD22" i="3"/>
  <c r="FH22" i="3"/>
  <c r="FE22" i="3"/>
  <c r="EJ22" i="3"/>
  <c r="EN22" i="3"/>
  <c r="EI22" i="3"/>
  <c r="EG22" i="3"/>
  <c r="EE22" i="3"/>
  <c r="DW22" i="3"/>
  <c r="EO22" i="3" s="1"/>
  <c r="DX23" i="3"/>
  <c r="DY22" i="3"/>
  <c r="EH22" i="3"/>
  <c r="DZ22" i="3"/>
  <c r="EP22" i="3"/>
  <c r="ED22" i="3"/>
  <c r="EL22" i="3"/>
  <c r="EF22" i="3"/>
  <c r="EB22" i="3"/>
  <c r="EA22" i="3"/>
  <c r="EC22" i="3"/>
  <c r="AA19" i="3" l="1"/>
  <c r="T20" i="3"/>
  <c r="Z20" i="3"/>
  <c r="Q20" i="3"/>
  <c r="AA21" i="3"/>
  <c r="FK22" i="3"/>
  <c r="EM22" i="3"/>
  <c r="Z22" i="3"/>
  <c r="X22" i="3"/>
  <c r="K22" i="3"/>
  <c r="M22" i="3"/>
  <c r="T22" i="3"/>
  <c r="U22" i="3"/>
  <c r="W22" i="3"/>
  <c r="N22" i="3"/>
  <c r="AD22" i="3"/>
  <c r="V22" i="3"/>
  <c r="S22" i="3"/>
  <c r="Q22" i="3"/>
  <c r="R22" i="3"/>
  <c r="L23" i="3"/>
  <c r="O22" i="3"/>
  <c r="P22" i="3"/>
  <c r="FA23" i="3"/>
  <c r="EX23" i="3"/>
  <c r="EY23" i="3"/>
  <c r="FC23" i="3"/>
  <c r="FB23" i="3"/>
  <c r="FF23" i="3"/>
  <c r="FL23" i="3"/>
  <c r="EU23" i="3"/>
  <c r="FM23" i="3" s="1"/>
  <c r="EW23" i="3"/>
  <c r="EZ23" i="3"/>
  <c r="FH23" i="3"/>
  <c r="FG23" i="3"/>
  <c r="EV24" i="3"/>
  <c r="FD23" i="3"/>
  <c r="FN23" i="3"/>
  <c r="FE23" i="3"/>
  <c r="FJ23" i="3"/>
  <c r="EL23" i="3"/>
  <c r="EI23" i="3"/>
  <c r="EA23" i="3"/>
  <c r="EB23" i="3"/>
  <c r="EG23" i="3"/>
  <c r="EP23" i="3"/>
  <c r="EJ23" i="3"/>
  <c r="EH23" i="3"/>
  <c r="EN23" i="3"/>
  <c r="ED23" i="3"/>
  <c r="EC23" i="3"/>
  <c r="DZ23" i="3"/>
  <c r="DY23" i="3"/>
  <c r="EE23" i="3"/>
  <c r="DX24" i="3"/>
  <c r="DW23" i="3"/>
  <c r="EO23" i="3" s="1"/>
  <c r="EF23" i="3"/>
  <c r="J80" i="3"/>
  <c r="E80" i="3"/>
  <c r="C80" i="3"/>
  <c r="D80" i="3" s="1"/>
  <c r="G80" i="3"/>
  <c r="K80" i="3"/>
  <c r="B80" i="3"/>
  <c r="A81" i="3" s="1"/>
  <c r="I81" i="3" s="1"/>
  <c r="F80" i="3"/>
  <c r="H80" i="3"/>
  <c r="J123" i="3"/>
  <c r="B123" i="3"/>
  <c r="A124" i="3" s="1"/>
  <c r="G123" i="3"/>
  <c r="K123" i="3"/>
  <c r="H123" i="3"/>
  <c r="C123" i="3"/>
  <c r="D123" i="3" s="1"/>
  <c r="E123" i="3"/>
  <c r="F123" i="3"/>
  <c r="I123" i="3"/>
  <c r="AA20" i="3" l="1"/>
  <c r="EM23" i="3"/>
  <c r="FK23" i="3"/>
  <c r="AA22" i="3"/>
  <c r="DX25" i="3"/>
  <c r="EG24" i="3"/>
  <c r="EB24" i="3"/>
  <c r="EE24" i="3"/>
  <c r="EL24" i="3"/>
  <c r="DZ24" i="3"/>
  <c r="EP24" i="3"/>
  <c r="EN24" i="3"/>
  <c r="EJ24" i="3"/>
  <c r="EI24" i="3"/>
  <c r="EF24" i="3"/>
  <c r="EC24" i="3"/>
  <c r="EH24" i="3"/>
  <c r="DW24" i="3"/>
  <c r="EO24" i="3" s="1"/>
  <c r="DY24" i="3"/>
  <c r="ED24" i="3"/>
  <c r="EA24" i="3"/>
  <c r="V23" i="3"/>
  <c r="K23" i="3"/>
  <c r="T23" i="3"/>
  <c r="W23" i="3"/>
  <c r="O23" i="3"/>
  <c r="X23" i="3"/>
  <c r="S23" i="3"/>
  <c r="Q23" i="3"/>
  <c r="Z23" i="3"/>
  <c r="N23" i="3"/>
  <c r="P23" i="3"/>
  <c r="U23" i="3"/>
  <c r="R23" i="3"/>
  <c r="AD23" i="3"/>
  <c r="M23" i="3"/>
  <c r="L24" i="3"/>
  <c r="H124" i="3"/>
  <c r="F124" i="3"/>
  <c r="I124" i="3"/>
  <c r="C124" i="3"/>
  <c r="D124" i="3" s="1"/>
  <c r="J124" i="3"/>
  <c r="E124" i="3"/>
  <c r="K124" i="3"/>
  <c r="G124" i="3"/>
  <c r="B124" i="3"/>
  <c r="A125" i="3" s="1"/>
  <c r="H81" i="3"/>
  <c r="B81" i="3"/>
  <c r="A82" i="3" s="1"/>
  <c r="I82" i="3" s="1"/>
  <c r="E81" i="3"/>
  <c r="K81" i="3"/>
  <c r="C81" i="3"/>
  <c r="D81" i="3" s="1"/>
  <c r="G81" i="3"/>
  <c r="F81" i="3"/>
  <c r="J81" i="3"/>
  <c r="FE24" i="3"/>
  <c r="FH24" i="3"/>
  <c r="EW24" i="3"/>
  <c r="FJ24" i="3"/>
  <c r="FC24" i="3"/>
  <c r="FB24" i="3"/>
  <c r="FN24" i="3"/>
  <c r="FL24" i="3"/>
  <c r="FA24" i="3"/>
  <c r="EZ24" i="3"/>
  <c r="EX24" i="3"/>
  <c r="EY24" i="3"/>
  <c r="EU24" i="3"/>
  <c r="FM24" i="3" s="1"/>
  <c r="FF24" i="3"/>
  <c r="FD24" i="3"/>
  <c r="FG24" i="3"/>
  <c r="EV25" i="3"/>
  <c r="FK24" i="3" l="1"/>
  <c r="EM24" i="3"/>
  <c r="AA23" i="3"/>
  <c r="FE25" i="3"/>
  <c r="EW25" i="3"/>
  <c r="FC25" i="3"/>
  <c r="FG25" i="3"/>
  <c r="FJ25" i="3"/>
  <c r="FF25" i="3"/>
  <c r="EZ25" i="3"/>
  <c r="FN25" i="3"/>
  <c r="FA25" i="3"/>
  <c r="FD25" i="3"/>
  <c r="FB25" i="3"/>
  <c r="FL25" i="3"/>
  <c r="EY25" i="3"/>
  <c r="FH25" i="3"/>
  <c r="EU25" i="3"/>
  <c r="FM25" i="3" s="1"/>
  <c r="EX25" i="3"/>
  <c r="EV26" i="3"/>
  <c r="K82" i="3"/>
  <c r="G82" i="3"/>
  <c r="E82" i="3"/>
  <c r="F82" i="3"/>
  <c r="J82" i="3"/>
  <c r="H82" i="3"/>
  <c r="B82" i="3"/>
  <c r="A83" i="3" s="1"/>
  <c r="I83" i="3" s="1"/>
  <c r="C82" i="3"/>
  <c r="D82" i="3" s="1"/>
  <c r="I125" i="3"/>
  <c r="C125" i="3"/>
  <c r="D125" i="3" s="1"/>
  <c r="H125" i="3"/>
  <c r="J125" i="3"/>
  <c r="E125" i="3"/>
  <c r="F125" i="3"/>
  <c r="K125" i="3"/>
  <c r="G125" i="3"/>
  <c r="B125" i="3"/>
  <c r="A126" i="3" s="1"/>
  <c r="S24" i="3"/>
  <c r="N24" i="3"/>
  <c r="M24" i="3"/>
  <c r="W24" i="3"/>
  <c r="T24" i="3"/>
  <c r="O24" i="3"/>
  <c r="U24" i="3"/>
  <c r="R24" i="3"/>
  <c r="Q24" i="3"/>
  <c r="X24" i="3"/>
  <c r="P24" i="3"/>
  <c r="L25" i="3"/>
  <c r="AD24" i="3"/>
  <c r="Z24" i="3"/>
  <c r="K24" i="3"/>
  <c r="V24" i="3"/>
  <c r="EL25" i="3"/>
  <c r="EG25" i="3"/>
  <c r="EJ25" i="3"/>
  <c r="EN25" i="3"/>
  <c r="EH25" i="3"/>
  <c r="EB25" i="3"/>
  <c r="DZ25" i="3"/>
  <c r="EA25" i="3"/>
  <c r="EE25" i="3"/>
  <c r="EF25" i="3"/>
  <c r="DX26" i="3"/>
  <c r="EI25" i="3"/>
  <c r="ED25" i="3"/>
  <c r="DY25" i="3"/>
  <c r="EP25" i="3"/>
  <c r="EC25" i="3"/>
  <c r="DW25" i="3"/>
  <c r="EO25" i="3" s="1"/>
  <c r="FK25" i="3" l="1"/>
  <c r="AA24" i="3"/>
  <c r="EM25" i="3"/>
  <c r="L26" i="3"/>
  <c r="Q25" i="3"/>
  <c r="T25" i="3"/>
  <c r="N25" i="3"/>
  <c r="U25" i="3"/>
  <c r="R25" i="3"/>
  <c r="P25" i="3"/>
  <c r="S25" i="3"/>
  <c r="M25" i="3"/>
  <c r="O25" i="3"/>
  <c r="K25" i="3"/>
  <c r="X25" i="3"/>
  <c r="AD25" i="3"/>
  <c r="Z25" i="3"/>
  <c r="V25" i="3"/>
  <c r="W25" i="3"/>
  <c r="E126" i="3"/>
  <c r="J126" i="3"/>
  <c r="G126" i="3"/>
  <c r="I126" i="3"/>
  <c r="K126" i="3"/>
  <c r="B126" i="3"/>
  <c r="A127" i="3" s="1"/>
  <c r="C126" i="3"/>
  <c r="D126" i="3" s="1"/>
  <c r="H126" i="3"/>
  <c r="F126" i="3"/>
  <c r="EA26" i="3"/>
  <c r="EH26" i="3"/>
  <c r="DX27" i="3"/>
  <c r="EL26" i="3"/>
  <c r="DZ26" i="3"/>
  <c r="EN26" i="3"/>
  <c r="DW26" i="3"/>
  <c r="EO26" i="3" s="1"/>
  <c r="EE26" i="3"/>
  <c r="EI26" i="3"/>
  <c r="EJ26" i="3"/>
  <c r="DY26" i="3"/>
  <c r="EP26" i="3"/>
  <c r="EB26" i="3"/>
  <c r="EF26" i="3"/>
  <c r="EC26" i="3"/>
  <c r="EG26" i="3"/>
  <c r="ED26" i="3"/>
  <c r="C83" i="3"/>
  <c r="D83" i="3" s="1"/>
  <c r="G83" i="3"/>
  <c r="E83" i="3"/>
  <c r="F83" i="3"/>
  <c r="K83" i="3"/>
  <c r="J83" i="3"/>
  <c r="B83" i="3"/>
  <c r="A84" i="3" s="1"/>
  <c r="I84" i="3" s="1"/>
  <c r="H83" i="3"/>
  <c r="EY26" i="3"/>
  <c r="FC26" i="3"/>
  <c r="EW26" i="3"/>
  <c r="FG26" i="3"/>
  <c r="EU26" i="3"/>
  <c r="FM26" i="3" s="1"/>
  <c r="FE26" i="3"/>
  <c r="FD26" i="3"/>
  <c r="EV27" i="3"/>
  <c r="FA26" i="3"/>
  <c r="FF26" i="3"/>
  <c r="FB26" i="3"/>
  <c r="FJ26" i="3"/>
  <c r="EX26" i="3"/>
  <c r="EZ26" i="3"/>
  <c r="FL26" i="3"/>
  <c r="FH26" i="3"/>
  <c r="FN26" i="3"/>
  <c r="EM26" i="3" l="1"/>
  <c r="AA25" i="3"/>
  <c r="FK26" i="3"/>
  <c r="ED27" i="3"/>
  <c r="EH27" i="3"/>
  <c r="DX28" i="3"/>
  <c r="EJ27" i="3"/>
  <c r="EF27" i="3"/>
  <c r="EG27" i="3"/>
  <c r="EP27" i="3"/>
  <c r="DY27" i="3"/>
  <c r="DW27" i="3"/>
  <c r="EO27" i="3" s="1"/>
  <c r="EL27" i="3"/>
  <c r="EI27" i="3"/>
  <c r="EA27" i="3"/>
  <c r="EN27" i="3"/>
  <c r="EC27" i="3"/>
  <c r="EB27" i="3"/>
  <c r="DZ27" i="3"/>
  <c r="EE27" i="3"/>
  <c r="FL27" i="3"/>
  <c r="FN27" i="3"/>
  <c r="FH27" i="3"/>
  <c r="EV28" i="3"/>
  <c r="FA27" i="3"/>
  <c r="EY27" i="3"/>
  <c r="FG27" i="3"/>
  <c r="EU27" i="3"/>
  <c r="FM27" i="3" s="1"/>
  <c r="FJ27" i="3"/>
  <c r="FB27" i="3"/>
  <c r="FC27" i="3"/>
  <c r="FE27" i="3"/>
  <c r="FF27" i="3"/>
  <c r="EX27" i="3"/>
  <c r="EZ27" i="3"/>
  <c r="FD27" i="3"/>
  <c r="EW27" i="3"/>
  <c r="K84" i="3"/>
  <c r="J84" i="3"/>
  <c r="E84" i="3"/>
  <c r="B84" i="3"/>
  <c r="A85" i="3" s="1"/>
  <c r="I85" i="3" s="1"/>
  <c r="C84" i="3"/>
  <c r="D84" i="3" s="1"/>
  <c r="G84" i="3"/>
  <c r="H84" i="3"/>
  <c r="F84" i="3"/>
  <c r="E127" i="3"/>
  <c r="G127" i="3"/>
  <c r="H127" i="3"/>
  <c r="C127" i="3"/>
  <c r="D127" i="3" s="1"/>
  <c r="I127" i="3"/>
  <c r="B127" i="3"/>
  <c r="A128" i="3" s="1"/>
  <c r="K127" i="3"/>
  <c r="J127" i="3"/>
  <c r="F127" i="3"/>
  <c r="AD26" i="3"/>
  <c r="Q26" i="3"/>
  <c r="L27" i="3"/>
  <c r="S26" i="3"/>
  <c r="O26" i="3"/>
  <c r="W26" i="3"/>
  <c r="U26" i="3"/>
  <c r="R26" i="3"/>
  <c r="K26" i="3"/>
  <c r="M26" i="3"/>
  <c r="V26" i="3"/>
  <c r="Z26" i="3"/>
  <c r="T26" i="3"/>
  <c r="P26" i="3"/>
  <c r="X26" i="3"/>
  <c r="N26" i="3"/>
  <c r="EM27" i="3" l="1"/>
  <c r="AA26" i="3"/>
  <c r="FK27" i="3"/>
  <c r="V27" i="3"/>
  <c r="AD27" i="3"/>
  <c r="T27" i="3"/>
  <c r="W27" i="3"/>
  <c r="U27" i="3"/>
  <c r="O27" i="3"/>
  <c r="P27" i="3"/>
  <c r="X27" i="3"/>
  <c r="N27" i="3"/>
  <c r="K27" i="3"/>
  <c r="Q27" i="3"/>
  <c r="S27" i="3"/>
  <c r="R27" i="3"/>
  <c r="Z27" i="3"/>
  <c r="M27" i="3"/>
  <c r="K85" i="3"/>
  <c r="C85" i="3"/>
  <c r="D85" i="3" s="1"/>
  <c r="G85" i="3"/>
  <c r="E85" i="3"/>
  <c r="J85" i="3"/>
  <c r="H85" i="3"/>
  <c r="F85" i="3"/>
  <c r="B85" i="3"/>
  <c r="A86" i="3" s="1"/>
  <c r="I86" i="3" s="1"/>
  <c r="EJ28" i="3"/>
  <c r="EA28" i="3"/>
  <c r="EL28" i="3"/>
  <c r="ED28" i="3"/>
  <c r="EC28" i="3"/>
  <c r="EG28" i="3"/>
  <c r="DZ28" i="3"/>
  <c r="EE28" i="3"/>
  <c r="DY28" i="3"/>
  <c r="DW28" i="3"/>
  <c r="EO28" i="3" s="1"/>
  <c r="EI28" i="3"/>
  <c r="EF28" i="3"/>
  <c r="EP28" i="3"/>
  <c r="DX29" i="3"/>
  <c r="EB28" i="3"/>
  <c r="EH28" i="3"/>
  <c r="EN28" i="3"/>
  <c r="G128" i="3"/>
  <c r="I128" i="3"/>
  <c r="B128" i="3"/>
  <c r="A129" i="3" s="1"/>
  <c r="F128" i="3"/>
  <c r="E128" i="3"/>
  <c r="C128" i="3"/>
  <c r="D128" i="3" s="1"/>
  <c r="H128" i="3"/>
  <c r="K128" i="3"/>
  <c r="J128" i="3"/>
  <c r="EU28" i="3"/>
  <c r="FM28" i="3" s="1"/>
  <c r="EW28" i="3"/>
  <c r="FA28" i="3"/>
  <c r="FG28" i="3"/>
  <c r="FD28" i="3"/>
  <c r="FL28" i="3"/>
  <c r="FN28" i="3"/>
  <c r="FE28" i="3"/>
  <c r="FF28" i="3"/>
  <c r="EZ28" i="3"/>
  <c r="FB28" i="3"/>
  <c r="EV29" i="3"/>
  <c r="EX28" i="3"/>
  <c r="FC28" i="3"/>
  <c r="EY28" i="3"/>
  <c r="FH28" i="3"/>
  <c r="FJ28" i="3"/>
  <c r="FK28" i="3" l="1"/>
  <c r="EM28" i="3"/>
  <c r="B4" i="6"/>
  <c r="K4" i="6"/>
  <c r="E4" i="6"/>
  <c r="F4" i="6"/>
  <c r="M4" i="6"/>
  <c r="I4" i="6"/>
  <c r="J4" i="6"/>
  <c r="H4" i="6"/>
  <c r="G4" i="6"/>
  <c r="C4" i="6"/>
  <c r="AA27" i="3"/>
  <c r="E129" i="3"/>
  <c r="H129" i="3"/>
  <c r="G129" i="3"/>
  <c r="C129" i="3"/>
  <c r="D129" i="3" s="1"/>
  <c r="B129" i="3"/>
  <c r="A130" i="3" s="1"/>
  <c r="K129" i="3"/>
  <c r="J129" i="3"/>
  <c r="I129" i="3"/>
  <c r="F129" i="3"/>
  <c r="H86" i="3"/>
  <c r="E86" i="3"/>
  <c r="C86" i="3"/>
  <c r="D86" i="3" s="1"/>
  <c r="F86" i="3"/>
  <c r="J86" i="3"/>
  <c r="K86" i="3"/>
  <c r="B86" i="3"/>
  <c r="A87" i="3" s="1"/>
  <c r="I87" i="3" s="1"/>
  <c r="G86" i="3"/>
  <c r="FJ29" i="3"/>
  <c r="EV30" i="3"/>
  <c r="EX29" i="3"/>
  <c r="FG29" i="3"/>
  <c r="EW29" i="3"/>
  <c r="EU29" i="3"/>
  <c r="FM29" i="3" s="1"/>
  <c r="EY29" i="3"/>
  <c r="EZ29" i="3"/>
  <c r="FL29" i="3"/>
  <c r="FD29" i="3"/>
  <c r="FC29" i="3"/>
  <c r="FF29" i="3"/>
  <c r="FA29" i="3"/>
  <c r="FE29" i="3"/>
  <c r="FB29" i="3"/>
  <c r="FN29" i="3"/>
  <c r="FH29" i="3"/>
  <c r="EB29" i="3"/>
  <c r="EE29" i="3"/>
  <c r="DX30" i="3"/>
  <c r="EF29" i="3"/>
  <c r="DW29" i="3"/>
  <c r="EO29" i="3" s="1"/>
  <c r="EN29" i="3"/>
  <c r="EP29" i="3"/>
  <c r="DZ29" i="3"/>
  <c r="DY29" i="3"/>
  <c r="EI29" i="3"/>
  <c r="EG29" i="3"/>
  <c r="EA29" i="3"/>
  <c r="EH29" i="3"/>
  <c r="ED29" i="3"/>
  <c r="EL29" i="3"/>
  <c r="EJ29" i="3"/>
  <c r="EC29" i="3"/>
  <c r="M10" i="6"/>
  <c r="I9" i="6"/>
  <c r="I13" i="6"/>
  <c r="L6" i="6"/>
  <c r="B5" i="6"/>
  <c r="M13" i="6"/>
  <c r="J9" i="6"/>
  <c r="M12" i="6"/>
  <c r="I6" i="6"/>
  <c r="L9" i="6"/>
  <c r="K9" i="6"/>
  <c r="L8" i="6"/>
  <c r="E14" i="6"/>
  <c r="G13" i="6"/>
  <c r="C12" i="6"/>
  <c r="B6" i="6"/>
  <c r="J12" i="6"/>
  <c r="B11" i="6"/>
  <c r="D11" i="6" s="1"/>
  <c r="F10" i="6"/>
  <c r="F5" i="6"/>
  <c r="F11" i="6"/>
  <c r="E12" i="6"/>
  <c r="C14" i="6"/>
  <c r="E7" i="6"/>
  <c r="F7" i="6"/>
  <c r="B12" i="6"/>
  <c r="D12" i="6" s="1"/>
  <c r="G15" i="6"/>
  <c r="K13" i="6"/>
  <c r="J8" i="6"/>
  <c r="F8" i="6"/>
  <c r="H15" i="6"/>
  <c r="I10" i="6"/>
  <c r="H9" i="6"/>
  <c r="J14" i="6"/>
  <c r="M6" i="6"/>
  <c r="K8" i="6"/>
  <c r="K6" i="6"/>
  <c r="C11" i="6"/>
  <c r="M8" i="6"/>
  <c r="J5" i="6"/>
  <c r="G11" i="6"/>
  <c r="G7" i="6"/>
  <c r="H6" i="6"/>
  <c r="J10" i="6"/>
  <c r="C7" i="6"/>
  <c r="C8" i="6"/>
  <c r="G12" i="6"/>
  <c r="E10" i="6"/>
  <c r="L14" i="6"/>
  <c r="E11" i="6"/>
  <c r="H13" i="6"/>
  <c r="G9" i="6"/>
  <c r="G8" i="6"/>
  <c r="I7" i="6"/>
  <c r="B15" i="6"/>
  <c r="M7" i="6"/>
  <c r="L15" i="6"/>
  <c r="H12" i="6"/>
  <c r="M14" i="6"/>
  <c r="L5" i="6"/>
  <c r="I8" i="6"/>
  <c r="J13" i="6"/>
  <c r="L11" i="6"/>
  <c r="K15" i="6"/>
  <c r="J6" i="6"/>
  <c r="M9" i="6"/>
  <c r="L13" i="6"/>
  <c r="I12" i="6"/>
  <c r="H8" i="6"/>
  <c r="C10" i="6"/>
  <c r="F14" i="6"/>
  <c r="K12" i="6"/>
  <c r="B14" i="6"/>
  <c r="J11" i="6"/>
  <c r="L10" i="6"/>
  <c r="K5" i="6"/>
  <c r="M15" i="6"/>
  <c r="L4" i="6"/>
  <c r="C15" i="6"/>
  <c r="B13" i="6"/>
  <c r="D13" i="6" s="1"/>
  <c r="K14" i="6"/>
  <c r="B7" i="6"/>
  <c r="D7" i="6" s="1"/>
  <c r="G14" i="6"/>
  <c r="K10" i="6"/>
  <c r="H11" i="6"/>
  <c r="H7" i="6"/>
  <c r="M5" i="6"/>
  <c r="I11" i="6"/>
  <c r="H5" i="6"/>
  <c r="K7" i="6"/>
  <c r="F6" i="6"/>
  <c r="E15" i="6"/>
  <c r="K11" i="6"/>
  <c r="E5" i="6"/>
  <c r="I14" i="6"/>
  <c r="G10" i="6"/>
  <c r="C5" i="6"/>
  <c r="C6" i="6"/>
  <c r="E8" i="6"/>
  <c r="I5" i="6"/>
  <c r="L12" i="6"/>
  <c r="F15" i="6"/>
  <c r="J15" i="6"/>
  <c r="G5" i="6"/>
  <c r="E9" i="6"/>
  <c r="B8" i="6"/>
  <c r="D8" i="6" s="1"/>
  <c r="H10" i="6"/>
  <c r="B10" i="6"/>
  <c r="L7" i="6"/>
  <c r="E13" i="6"/>
  <c r="J7" i="6"/>
  <c r="G6" i="6"/>
  <c r="M11" i="6"/>
  <c r="H14" i="6"/>
  <c r="E6" i="6"/>
  <c r="B9" i="6"/>
  <c r="D9" i="6" s="1"/>
  <c r="I15" i="6"/>
  <c r="F12" i="6"/>
  <c r="C9" i="6"/>
  <c r="F13" i="6"/>
  <c r="F9" i="6"/>
  <c r="C13" i="6"/>
  <c r="B66" i="7"/>
  <c r="G28" i="6" l="1"/>
  <c r="D4" i="6"/>
  <c r="N4" i="6" s="1"/>
  <c r="L28" i="6"/>
  <c r="N8" i="6"/>
  <c r="S8" i="6" s="1"/>
  <c r="N9" i="6"/>
  <c r="Y9" i="6" s="1"/>
  <c r="EM29" i="3"/>
  <c r="FK29" i="3"/>
  <c r="T15" i="6"/>
  <c r="D15" i="6"/>
  <c r="N15" i="6" s="1"/>
  <c r="N7" i="6"/>
  <c r="N12" i="6"/>
  <c r="N11" i="6"/>
  <c r="EG30" i="3"/>
  <c r="EL30" i="3"/>
  <c r="EH30" i="3"/>
  <c r="ED30" i="3"/>
  <c r="EC30" i="3"/>
  <c r="DW30" i="3"/>
  <c r="EO30" i="3" s="1"/>
  <c r="EN30" i="3"/>
  <c r="EJ30" i="3"/>
  <c r="DY30" i="3"/>
  <c r="DX31" i="3"/>
  <c r="EF30" i="3"/>
  <c r="DZ30" i="3"/>
  <c r="EE30" i="3"/>
  <c r="EP30" i="3"/>
  <c r="EB30" i="3"/>
  <c r="EA30" i="3"/>
  <c r="EI30" i="3"/>
  <c r="D14" i="6"/>
  <c r="N14" i="6" s="1"/>
  <c r="T5" i="6"/>
  <c r="D5" i="6"/>
  <c r="N5" i="6" s="1"/>
  <c r="H87" i="3"/>
  <c r="B87" i="3"/>
  <c r="A88" i="3" s="1"/>
  <c r="I88" i="3" s="1"/>
  <c r="K87" i="3"/>
  <c r="F87" i="3"/>
  <c r="G87" i="3"/>
  <c r="J87" i="3"/>
  <c r="C87" i="3"/>
  <c r="D87" i="3" s="1"/>
  <c r="E87" i="3"/>
  <c r="C130" i="3"/>
  <c r="D130" i="3" s="1"/>
  <c r="J130" i="3"/>
  <c r="I130" i="3"/>
  <c r="K130" i="3"/>
  <c r="F130" i="3"/>
  <c r="B130" i="3"/>
  <c r="A131" i="3" s="1"/>
  <c r="G130" i="3"/>
  <c r="E130" i="3"/>
  <c r="H130" i="3"/>
  <c r="D10" i="6"/>
  <c r="N10" i="6" s="1"/>
  <c r="N13" i="6"/>
  <c r="T6" i="6"/>
  <c r="D6" i="6"/>
  <c r="N6" i="6" s="1"/>
  <c r="FG30" i="3"/>
  <c r="EX30" i="3"/>
  <c r="FJ30" i="3"/>
  <c r="FA30" i="3"/>
  <c r="FC30" i="3"/>
  <c r="FN30" i="3"/>
  <c r="EV31" i="3"/>
  <c r="FL30" i="3"/>
  <c r="EW30" i="3"/>
  <c r="EZ30" i="3"/>
  <c r="FB30" i="3"/>
  <c r="EU30" i="3"/>
  <c r="FM30" i="3" s="1"/>
  <c r="FE30" i="3"/>
  <c r="FD30" i="3"/>
  <c r="FF30" i="3"/>
  <c r="FH30" i="3"/>
  <c r="EY30" i="3"/>
  <c r="U9" i="6" l="1"/>
  <c r="Q9" i="6"/>
  <c r="O8" i="6"/>
  <c r="U8" i="6"/>
  <c r="T28" i="6"/>
  <c r="G42" i="5" s="1"/>
  <c r="R13" i="6"/>
  <c r="S13" i="6"/>
  <c r="R14" i="6"/>
  <c r="S14" i="6"/>
  <c r="R7" i="6"/>
  <c r="S7" i="6"/>
  <c r="R10" i="6"/>
  <c r="S10" i="6"/>
  <c r="R9" i="6"/>
  <c r="S9" i="6"/>
  <c r="R6" i="6"/>
  <c r="S6" i="6"/>
  <c r="R5" i="6"/>
  <c r="S5" i="6"/>
  <c r="R11" i="6"/>
  <c r="S11" i="6"/>
  <c r="R4" i="6"/>
  <c r="Q4" i="6"/>
  <c r="S4" i="6"/>
  <c r="R12" i="6"/>
  <c r="S12" i="6"/>
  <c r="R15" i="6"/>
  <c r="S15" i="6"/>
  <c r="O9" i="6"/>
  <c r="V9" i="6"/>
  <c r="P9" i="6"/>
  <c r="P8" i="6"/>
  <c r="R8" i="6"/>
  <c r="Y8" i="6"/>
  <c r="V8" i="6"/>
  <c r="Q8" i="6"/>
  <c r="FK30" i="3"/>
  <c r="Y4" i="6"/>
  <c r="V4" i="6"/>
  <c r="U4" i="6"/>
  <c r="O4" i="6"/>
  <c r="P4" i="6"/>
  <c r="F15" i="7"/>
  <c r="EM30" i="3"/>
  <c r="P14" i="6"/>
  <c r="O14" i="6"/>
  <c r="Y14" i="6"/>
  <c r="V14" i="6"/>
  <c r="U14" i="6"/>
  <c r="Q14" i="6"/>
  <c r="Y10" i="6"/>
  <c r="O10" i="6"/>
  <c r="Q10" i="6"/>
  <c r="U10" i="6"/>
  <c r="V10" i="6"/>
  <c r="F17" i="7"/>
  <c r="P10" i="6"/>
  <c r="Q11" i="6"/>
  <c r="P11" i="6"/>
  <c r="Y11" i="6"/>
  <c r="U11" i="6"/>
  <c r="O11" i="6"/>
  <c r="V11" i="6"/>
  <c r="Y6" i="6"/>
  <c r="V6" i="6"/>
  <c r="P6" i="6"/>
  <c r="Q6" i="6"/>
  <c r="O6" i="6"/>
  <c r="U6" i="6"/>
  <c r="B88" i="3"/>
  <c r="A89" i="3" s="1"/>
  <c r="I89" i="3" s="1"/>
  <c r="E88" i="3"/>
  <c r="F88" i="3"/>
  <c r="H88" i="3"/>
  <c r="K88" i="3"/>
  <c r="C88" i="3"/>
  <c r="D88" i="3" s="1"/>
  <c r="J88" i="3"/>
  <c r="G88" i="3"/>
  <c r="Q12" i="6"/>
  <c r="V12" i="6"/>
  <c r="P12" i="6"/>
  <c r="U12" i="6"/>
  <c r="Y12" i="6"/>
  <c r="O12" i="6"/>
  <c r="EX31" i="3"/>
  <c r="FD31" i="3"/>
  <c r="FB31" i="3"/>
  <c r="FJ31" i="3"/>
  <c r="EU31" i="3"/>
  <c r="FM31" i="3" s="1"/>
  <c r="EV32" i="3"/>
  <c r="EW31" i="3"/>
  <c r="FF31" i="3"/>
  <c r="FN31" i="3"/>
  <c r="FC31" i="3"/>
  <c r="EZ31" i="3"/>
  <c r="FA31" i="3"/>
  <c r="EY31" i="3"/>
  <c r="FL31" i="3"/>
  <c r="FG31" i="3"/>
  <c r="FH31" i="3"/>
  <c r="FE31" i="3"/>
  <c r="EA31" i="3"/>
  <c r="EH31" i="3"/>
  <c r="EP31" i="3"/>
  <c r="EN31" i="3"/>
  <c r="DZ31" i="3"/>
  <c r="EC31" i="3"/>
  <c r="EF31" i="3"/>
  <c r="ED31" i="3"/>
  <c r="EI31" i="3"/>
  <c r="EE31" i="3"/>
  <c r="EL31" i="3"/>
  <c r="EB31" i="3"/>
  <c r="EJ31" i="3"/>
  <c r="DX32" i="3"/>
  <c r="DW31" i="3"/>
  <c r="EO31" i="3" s="1"/>
  <c r="EG31" i="3"/>
  <c r="DY31" i="3"/>
  <c r="F16" i="7"/>
  <c r="Q7" i="6"/>
  <c r="P7" i="6"/>
  <c r="Y7" i="6"/>
  <c r="U7" i="6"/>
  <c r="O7" i="6"/>
  <c r="V7" i="6"/>
  <c r="Y15" i="6"/>
  <c r="U15" i="6"/>
  <c r="P15" i="6"/>
  <c r="Q15" i="6"/>
  <c r="O15" i="6"/>
  <c r="I131" i="3"/>
  <c r="C131" i="3"/>
  <c r="D131" i="3" s="1"/>
  <c r="K131" i="3"/>
  <c r="H131" i="3"/>
  <c r="J131" i="3"/>
  <c r="F131" i="3"/>
  <c r="E131" i="3"/>
  <c r="G131" i="3"/>
  <c r="B131" i="3"/>
  <c r="A132" i="3" s="1"/>
  <c r="O13" i="6"/>
  <c r="P13" i="6"/>
  <c r="Y13" i="6"/>
  <c r="U13" i="6"/>
  <c r="Q13" i="6"/>
  <c r="V13" i="6"/>
  <c r="F18" i="7"/>
  <c r="U5" i="6"/>
  <c r="V5" i="6"/>
  <c r="Y5" i="6"/>
  <c r="O5" i="6"/>
  <c r="P5" i="6"/>
  <c r="Q5" i="6"/>
  <c r="P28" i="6" l="1"/>
  <c r="G54" i="5" s="1"/>
  <c r="U28" i="6"/>
  <c r="S28" i="6"/>
  <c r="J133" i="1" s="1"/>
  <c r="G43" i="5" s="1"/>
  <c r="Q28" i="6"/>
  <c r="G55" i="5" s="1"/>
  <c r="W9" i="6"/>
  <c r="X9" i="6" s="1"/>
  <c r="W8" i="6"/>
  <c r="X8" i="6" s="1"/>
  <c r="W12" i="6"/>
  <c r="X12" i="6" s="1"/>
  <c r="F19" i="7"/>
  <c r="EM31" i="3"/>
  <c r="FK31" i="3"/>
  <c r="W4" i="6"/>
  <c r="X4" i="6" s="1"/>
  <c r="W10" i="6"/>
  <c r="X10" i="6" s="1"/>
  <c r="G56" i="5"/>
  <c r="W5" i="6"/>
  <c r="X5" i="6" s="1"/>
  <c r="W7" i="6"/>
  <c r="X7" i="6" s="1"/>
  <c r="B89" i="3"/>
  <c r="A90" i="3" s="1"/>
  <c r="I90" i="3" s="1"/>
  <c r="J89" i="3"/>
  <c r="K89" i="3"/>
  <c r="H89" i="3"/>
  <c r="F89" i="3"/>
  <c r="G89" i="3"/>
  <c r="E89" i="3"/>
  <c r="C89" i="3"/>
  <c r="D89" i="3" s="1"/>
  <c r="W6" i="6"/>
  <c r="X6" i="6" s="1"/>
  <c r="I68" i="7"/>
  <c r="C42" i="5"/>
  <c r="I42" i="5"/>
  <c r="K68" i="7" s="1"/>
  <c r="J68" i="7" s="1"/>
  <c r="F42" i="5"/>
  <c r="W13" i="6"/>
  <c r="X13" i="6" s="1"/>
  <c r="EN32" i="3"/>
  <c r="EE32" i="3"/>
  <c r="DW32" i="3"/>
  <c r="EO32" i="3" s="1"/>
  <c r="EC32" i="3"/>
  <c r="EI32" i="3"/>
  <c r="DX33" i="3"/>
  <c r="EF32" i="3"/>
  <c r="EA32" i="3"/>
  <c r="DY32" i="3"/>
  <c r="EG32" i="3"/>
  <c r="EJ32" i="3"/>
  <c r="EB32" i="3"/>
  <c r="DZ32" i="3"/>
  <c r="ED32" i="3"/>
  <c r="EH32" i="3"/>
  <c r="EP32" i="3"/>
  <c r="EL32" i="3"/>
  <c r="W11" i="6"/>
  <c r="X11" i="6" s="1"/>
  <c r="W14" i="6"/>
  <c r="X14" i="6" s="1"/>
  <c r="C132" i="3"/>
  <c r="D132" i="3" s="1"/>
  <c r="I132" i="3"/>
  <c r="K132" i="3"/>
  <c r="J132" i="3"/>
  <c r="B132" i="3"/>
  <c r="A133" i="3" s="1"/>
  <c r="H132" i="3"/>
  <c r="F132" i="3"/>
  <c r="E132" i="3"/>
  <c r="G132" i="3"/>
  <c r="FE32" i="3"/>
  <c r="EU32" i="3"/>
  <c r="FM32" i="3" s="1"/>
  <c r="EY32" i="3"/>
  <c r="EW32" i="3"/>
  <c r="FC32" i="3"/>
  <c r="FL32" i="3"/>
  <c r="FN32" i="3"/>
  <c r="FG32" i="3"/>
  <c r="FB32" i="3"/>
  <c r="EX32" i="3"/>
  <c r="FD32" i="3"/>
  <c r="FA32" i="3"/>
  <c r="FF32" i="3"/>
  <c r="EV33" i="3"/>
  <c r="FH32" i="3"/>
  <c r="FJ32" i="3"/>
  <c r="EZ32" i="3"/>
  <c r="L43" i="5" l="1"/>
  <c r="F43" i="5"/>
  <c r="I69" i="7"/>
  <c r="I43" i="5"/>
  <c r="K69" i="7" s="1"/>
  <c r="J69" i="7" s="1"/>
  <c r="G48" i="5"/>
  <c r="F48" i="5" s="1"/>
  <c r="FK32" i="3"/>
  <c r="I52" i="7"/>
  <c r="C56" i="5"/>
  <c r="D56" i="5"/>
  <c r="D52" i="7" s="1"/>
  <c r="L56" i="5"/>
  <c r="F56" i="5"/>
  <c r="F55" i="5"/>
  <c r="I51" i="7"/>
  <c r="L55" i="5"/>
  <c r="F54" i="5"/>
  <c r="I50" i="7"/>
  <c r="L54" i="5"/>
  <c r="EM32" i="3"/>
  <c r="FA33" i="3"/>
  <c r="EX33" i="3"/>
  <c r="EU33" i="3"/>
  <c r="FM33" i="3" s="1"/>
  <c r="FG33" i="3"/>
  <c r="EW33" i="3"/>
  <c r="FE33" i="3"/>
  <c r="FC33" i="3"/>
  <c r="EY33" i="3"/>
  <c r="FD33" i="3"/>
  <c r="FJ33" i="3"/>
  <c r="FB33" i="3"/>
  <c r="EZ33" i="3"/>
  <c r="FL33" i="3"/>
  <c r="FN33" i="3"/>
  <c r="FH33" i="3"/>
  <c r="EV34" i="3"/>
  <c r="FF33" i="3"/>
  <c r="ED33" i="3"/>
  <c r="DY33" i="3"/>
  <c r="DX34" i="3"/>
  <c r="EE33" i="3"/>
  <c r="EL33" i="3"/>
  <c r="EG33" i="3"/>
  <c r="EJ33" i="3"/>
  <c r="EB33" i="3"/>
  <c r="EF33" i="3"/>
  <c r="EC33" i="3"/>
  <c r="DW33" i="3"/>
  <c r="EO33" i="3" s="1"/>
  <c r="EA33" i="3"/>
  <c r="EN33" i="3"/>
  <c r="EP33" i="3"/>
  <c r="EI33" i="3"/>
  <c r="DZ33" i="3"/>
  <c r="EH33" i="3"/>
  <c r="K90" i="3"/>
  <c r="J90" i="3"/>
  <c r="G90" i="3"/>
  <c r="F90" i="3"/>
  <c r="H90" i="3"/>
  <c r="B90" i="3"/>
  <c r="A91" i="3" s="1"/>
  <c r="I91" i="3" s="1"/>
  <c r="C90" i="3"/>
  <c r="D90" i="3" s="1"/>
  <c r="E90" i="3"/>
  <c r="K133" i="3"/>
  <c r="C133" i="3"/>
  <c r="D133" i="3" s="1"/>
  <c r="H133" i="3"/>
  <c r="B133" i="3"/>
  <c r="A134" i="3" s="1"/>
  <c r="E133" i="3"/>
  <c r="J133" i="3"/>
  <c r="G133" i="3"/>
  <c r="I133" i="3"/>
  <c r="F133" i="3"/>
  <c r="N68" i="7"/>
  <c r="H68" i="7"/>
  <c r="C69" i="7" l="1"/>
  <c r="H69" i="7"/>
  <c r="E69" i="7"/>
  <c r="N69" i="7"/>
  <c r="M43" i="5"/>
  <c r="C43" i="5" s="1"/>
  <c r="M46" i="5"/>
  <c r="C46" i="5" s="1"/>
  <c r="M47" i="5"/>
  <c r="C48" i="5" s="1"/>
  <c r="M44" i="5"/>
  <c r="C44" i="5" s="1"/>
  <c r="M45" i="5"/>
  <c r="C45" i="5" s="1"/>
  <c r="N51" i="7"/>
  <c r="H51" i="7"/>
  <c r="H50" i="7"/>
  <c r="N50" i="7"/>
  <c r="C55" i="7" s="1"/>
  <c r="EM33" i="3"/>
  <c r="H52" i="7"/>
  <c r="N52" i="7"/>
  <c r="C52" i="7"/>
  <c r="FK33" i="3"/>
  <c r="H134" i="3"/>
  <c r="C134" i="3"/>
  <c r="D134" i="3" s="1"/>
  <c r="B134" i="3"/>
  <c r="K134" i="3"/>
  <c r="F134" i="3"/>
  <c r="G134" i="3"/>
  <c r="I134" i="3"/>
  <c r="E134" i="3"/>
  <c r="J134" i="3"/>
  <c r="B71" i="7"/>
  <c r="ED34" i="3"/>
  <c r="EN34" i="3"/>
  <c r="EJ34" i="3"/>
  <c r="DY34" i="3"/>
  <c r="DW34" i="3"/>
  <c r="EO34" i="3" s="1"/>
  <c r="EC34" i="3"/>
  <c r="EP34" i="3"/>
  <c r="DZ34" i="3"/>
  <c r="EL34" i="3"/>
  <c r="EB34" i="3"/>
  <c r="EF34" i="3"/>
  <c r="DX35" i="3"/>
  <c r="EA34" i="3"/>
  <c r="EE34" i="3"/>
  <c r="EG34" i="3"/>
  <c r="EH34" i="3"/>
  <c r="EI34" i="3"/>
  <c r="EW34" i="3"/>
  <c r="FJ34" i="3"/>
  <c r="FC34" i="3"/>
  <c r="EZ34" i="3"/>
  <c r="FB34" i="3"/>
  <c r="FL34" i="3"/>
  <c r="EY34" i="3"/>
  <c r="EU34" i="3"/>
  <c r="FM34" i="3" s="1"/>
  <c r="EX34" i="3"/>
  <c r="FN34" i="3"/>
  <c r="EV35" i="3"/>
  <c r="FG34" i="3"/>
  <c r="FF34" i="3"/>
  <c r="FE34" i="3"/>
  <c r="FH34" i="3"/>
  <c r="FA34" i="3"/>
  <c r="FD34" i="3"/>
  <c r="C91" i="3"/>
  <c r="D91" i="3" s="1"/>
  <c r="F91" i="3"/>
  <c r="G91" i="3"/>
  <c r="C58" i="3" s="1"/>
  <c r="Q29" i="3" s="1"/>
  <c r="J91" i="3"/>
  <c r="G57" i="3" s="1"/>
  <c r="H91" i="3"/>
  <c r="F58" i="3" s="1"/>
  <c r="O26" i="6" s="1"/>
  <c r="W26" i="6" s="1"/>
  <c r="E91" i="3"/>
  <c r="K91" i="3"/>
  <c r="B91" i="3"/>
  <c r="C58" i="7" l="1"/>
  <c r="C56" i="7"/>
  <c r="EM34" i="3"/>
  <c r="FK34" i="3"/>
  <c r="C51" i="7"/>
  <c r="C50" i="7"/>
  <c r="FD35" i="3"/>
  <c r="EU35" i="3"/>
  <c r="FM35" i="3" s="1"/>
  <c r="FN35" i="3"/>
  <c r="FC35" i="3"/>
  <c r="EX35" i="3"/>
  <c r="EW35" i="3"/>
  <c r="FG35" i="3"/>
  <c r="FA35" i="3"/>
  <c r="FB35" i="3"/>
  <c r="FH35" i="3"/>
  <c r="FJ35" i="3"/>
  <c r="EV36" i="3"/>
  <c r="EY35" i="3"/>
  <c r="FE35" i="3"/>
  <c r="FL35" i="3"/>
  <c r="FF35" i="3"/>
  <c r="EZ35" i="3"/>
  <c r="EB35" i="3"/>
  <c r="EH35" i="3"/>
  <c r="EN35" i="3"/>
  <c r="DZ35" i="3"/>
  <c r="EE35" i="3"/>
  <c r="ED35" i="3"/>
  <c r="EI35" i="3"/>
  <c r="EC35" i="3"/>
  <c r="DY35" i="3"/>
  <c r="DW35" i="3"/>
  <c r="EO35" i="3" s="1"/>
  <c r="EL35" i="3"/>
  <c r="EA35" i="3"/>
  <c r="EJ35" i="3"/>
  <c r="EG35" i="3"/>
  <c r="EP35" i="3"/>
  <c r="EF35" i="3"/>
  <c r="DX36" i="3"/>
  <c r="D26" i="6"/>
  <c r="A26" i="6" s="1"/>
  <c r="AA29" i="3"/>
  <c r="EM35" i="3" l="1"/>
  <c r="FK35" i="3"/>
  <c r="FN36" i="3"/>
  <c r="FF36" i="3"/>
  <c r="FH36" i="3"/>
  <c r="EY36" i="3"/>
  <c r="EZ36" i="3"/>
  <c r="FB36" i="3"/>
  <c r="EW36" i="3"/>
  <c r="EX36" i="3"/>
  <c r="EV37" i="3"/>
  <c r="FD36" i="3"/>
  <c r="FG36" i="3"/>
  <c r="FC36" i="3"/>
  <c r="FA36" i="3"/>
  <c r="FL36" i="3"/>
  <c r="EU36" i="3"/>
  <c r="FM36" i="3" s="1"/>
  <c r="FJ36" i="3"/>
  <c r="FE36" i="3"/>
  <c r="N26" i="6"/>
  <c r="EI36" i="3"/>
  <c r="EC36" i="3"/>
  <c r="EG36" i="3"/>
  <c r="EE36" i="3"/>
  <c r="EN36" i="3"/>
  <c r="ED36" i="3"/>
  <c r="DX37" i="3"/>
  <c r="DY36" i="3"/>
  <c r="EB36" i="3"/>
  <c r="DW36" i="3"/>
  <c r="EO36" i="3" s="1"/>
  <c r="EJ36" i="3"/>
  <c r="EA36" i="3"/>
  <c r="DZ36" i="3"/>
  <c r="EP36" i="3"/>
  <c r="EH36" i="3"/>
  <c r="EF36" i="3"/>
  <c r="EL36" i="3"/>
  <c r="FK36" i="3" l="1"/>
  <c r="EM36" i="3"/>
  <c r="Y26" i="6"/>
  <c r="X26" i="6"/>
  <c r="EH37" i="3"/>
  <c r="EA37" i="3"/>
  <c r="DZ37" i="3"/>
  <c r="DX38" i="3"/>
  <c r="EC37" i="3"/>
  <c r="EN37" i="3"/>
  <c r="EI37" i="3"/>
  <c r="EJ37" i="3"/>
  <c r="EB37" i="3"/>
  <c r="EL37" i="3"/>
  <c r="DY37" i="3"/>
  <c r="ED37" i="3"/>
  <c r="EP37" i="3"/>
  <c r="DW37" i="3"/>
  <c r="EO37" i="3" s="1"/>
  <c r="EF37" i="3"/>
  <c r="EE37" i="3"/>
  <c r="EG37" i="3"/>
  <c r="EX37" i="3"/>
  <c r="EU37" i="3"/>
  <c r="FM37" i="3" s="1"/>
  <c r="FC37" i="3"/>
  <c r="FJ37" i="3"/>
  <c r="FG37" i="3"/>
  <c r="FF37" i="3"/>
  <c r="EW37" i="3"/>
  <c r="FL37" i="3"/>
  <c r="FA37" i="3"/>
  <c r="FB37" i="3"/>
  <c r="FE37" i="3"/>
  <c r="EY37" i="3"/>
  <c r="EV38" i="3"/>
  <c r="FH37" i="3"/>
  <c r="FN37" i="3"/>
  <c r="EZ37" i="3"/>
  <c r="FD37" i="3"/>
  <c r="EM37" i="3" l="1"/>
  <c r="FK37" i="3"/>
  <c r="FG38" i="3"/>
  <c r="EY38" i="3"/>
  <c r="FB38" i="3"/>
  <c r="FE38" i="3"/>
  <c r="FL38" i="3"/>
  <c r="FH38" i="3"/>
  <c r="FF38" i="3"/>
  <c r="FJ38" i="3"/>
  <c r="FA38" i="3"/>
  <c r="EX38" i="3"/>
  <c r="EU38" i="3"/>
  <c r="FM38" i="3" s="1"/>
  <c r="FN38" i="3"/>
  <c r="EW38" i="3"/>
  <c r="EZ38" i="3"/>
  <c r="EV39" i="3"/>
  <c r="FC38" i="3"/>
  <c r="FD38" i="3"/>
  <c r="EG38" i="3"/>
  <c r="EN38" i="3"/>
  <c r="DW38" i="3"/>
  <c r="EO38" i="3" s="1"/>
  <c r="EE38" i="3"/>
  <c r="EJ38" i="3"/>
  <c r="EF38" i="3"/>
  <c r="EC38" i="3"/>
  <c r="EB38" i="3"/>
  <c r="DY38" i="3"/>
  <c r="EI38" i="3"/>
  <c r="EP38" i="3"/>
  <c r="EL38" i="3"/>
  <c r="EA38" i="3"/>
  <c r="DX39" i="3"/>
  <c r="ED38" i="3"/>
  <c r="DZ38" i="3"/>
  <c r="EH38" i="3"/>
  <c r="EM38" i="3" l="1"/>
  <c r="FK38" i="3"/>
  <c r="EE39" i="3"/>
  <c r="EH39" i="3"/>
  <c r="DY39" i="3"/>
  <c r="DZ39" i="3"/>
  <c r="EB39" i="3"/>
  <c r="EJ39" i="3"/>
  <c r="ED39" i="3"/>
  <c r="DW39" i="3"/>
  <c r="EO39" i="3" s="1"/>
  <c r="EP39" i="3"/>
  <c r="EA39" i="3"/>
  <c r="EI39" i="3"/>
  <c r="EG39" i="3"/>
  <c r="EN39" i="3"/>
  <c r="EF39" i="3"/>
  <c r="EL39" i="3"/>
  <c r="DX40" i="3"/>
  <c r="EC39" i="3"/>
  <c r="FF39" i="3"/>
  <c r="EU39" i="3"/>
  <c r="FM39" i="3" s="1"/>
  <c r="FE39" i="3"/>
  <c r="FH39" i="3"/>
  <c r="FD39" i="3"/>
  <c r="FC39" i="3"/>
  <c r="FB39" i="3"/>
  <c r="EX39" i="3"/>
  <c r="FL39" i="3"/>
  <c r="FJ39" i="3"/>
  <c r="FG39" i="3"/>
  <c r="FN39" i="3"/>
  <c r="EW39" i="3"/>
  <c r="FA39" i="3"/>
  <c r="EV40" i="3"/>
  <c r="EZ39" i="3"/>
  <c r="EY39" i="3"/>
  <c r="FK39" i="3" l="1"/>
  <c r="EM39" i="3"/>
  <c r="FA40" i="3"/>
  <c r="FF40" i="3"/>
  <c r="EU40" i="3"/>
  <c r="FM40" i="3" s="1"/>
  <c r="FL40" i="3"/>
  <c r="EX40" i="3"/>
  <c r="EY40" i="3"/>
  <c r="FD40" i="3"/>
  <c r="EZ40" i="3"/>
  <c r="FJ40" i="3"/>
  <c r="EV41" i="3"/>
  <c r="FN40" i="3"/>
  <c r="FG40" i="3"/>
  <c r="FH40" i="3"/>
  <c r="FB40" i="3"/>
  <c r="FC40" i="3"/>
  <c r="EW40" i="3"/>
  <c r="FE40" i="3"/>
  <c r="EH40" i="3"/>
  <c r="EI40" i="3"/>
  <c r="EF40" i="3"/>
  <c r="EP40" i="3"/>
  <c r="DW40" i="3"/>
  <c r="EO40" i="3" s="1"/>
  <c r="EC40" i="3"/>
  <c r="EE40" i="3"/>
  <c r="EA40" i="3"/>
  <c r="DX41" i="3"/>
  <c r="EG40" i="3"/>
  <c r="DZ40" i="3"/>
  <c r="EJ40" i="3"/>
  <c r="ED40" i="3"/>
  <c r="EL40" i="3"/>
  <c r="DY40" i="3"/>
  <c r="EB40" i="3"/>
  <c r="EN40" i="3"/>
  <c r="FK40" i="3" l="1"/>
  <c r="EM40" i="3"/>
  <c r="EP41" i="3"/>
  <c r="EC41" i="3"/>
  <c r="EA41" i="3"/>
  <c r="EL41" i="3"/>
  <c r="DY41" i="3"/>
  <c r="EI41" i="3"/>
  <c r="EB41" i="3"/>
  <c r="DZ41" i="3"/>
  <c r="EE41" i="3"/>
  <c r="DX42" i="3"/>
  <c r="EN41" i="3"/>
  <c r="EH41" i="3"/>
  <c r="EJ41" i="3"/>
  <c r="EF41" i="3"/>
  <c r="ED41" i="3"/>
  <c r="EG41" i="3"/>
  <c r="DW41" i="3"/>
  <c r="EO41" i="3" s="1"/>
  <c r="FC41" i="3"/>
  <c r="FG41" i="3"/>
  <c r="EW41" i="3"/>
  <c r="FL41" i="3"/>
  <c r="FJ41" i="3"/>
  <c r="EY41" i="3"/>
  <c r="FB41" i="3"/>
  <c r="FE41" i="3"/>
  <c r="FH41" i="3"/>
  <c r="EU41" i="3"/>
  <c r="FM41" i="3" s="1"/>
  <c r="FN41" i="3"/>
  <c r="EX41" i="3"/>
  <c r="FA41" i="3"/>
  <c r="EZ41" i="3"/>
  <c r="EV42" i="3"/>
  <c r="FF41" i="3"/>
  <c r="FD41" i="3"/>
  <c r="FK41" i="3" l="1"/>
  <c r="EM41" i="3"/>
  <c r="EY42" i="3"/>
  <c r="EU42" i="3"/>
  <c r="FM42" i="3" s="1"/>
  <c r="EZ42" i="3"/>
  <c r="FA42" i="3"/>
  <c r="EV43" i="3"/>
  <c r="FL42" i="3"/>
  <c r="FB42" i="3"/>
  <c r="FD42" i="3"/>
  <c r="FE42" i="3"/>
  <c r="FH42" i="3"/>
  <c r="EX42" i="3"/>
  <c r="FG42" i="3"/>
  <c r="FJ42" i="3"/>
  <c r="FF42" i="3"/>
  <c r="FC42" i="3"/>
  <c r="EW42" i="3"/>
  <c r="FN42" i="3"/>
  <c r="EG42" i="3"/>
  <c r="DY42" i="3"/>
  <c r="EN42" i="3"/>
  <c r="EL42" i="3"/>
  <c r="DZ42" i="3"/>
  <c r="ED42" i="3"/>
  <c r="EC42" i="3"/>
  <c r="DX43" i="3"/>
  <c r="EA42" i="3"/>
  <c r="EJ42" i="3"/>
  <c r="EP42" i="3"/>
  <c r="EF42" i="3"/>
  <c r="EI42" i="3"/>
  <c r="EB42" i="3"/>
  <c r="DW42" i="3"/>
  <c r="EO42" i="3" s="1"/>
  <c r="EH42" i="3"/>
  <c r="EE42" i="3"/>
  <c r="FK42" i="3" l="1"/>
  <c r="EM42" i="3"/>
  <c r="FN43" i="3"/>
  <c r="EV44" i="3"/>
  <c r="FE43" i="3"/>
  <c r="FF43" i="3"/>
  <c r="EW43" i="3"/>
  <c r="EY43" i="3"/>
  <c r="FJ43" i="3"/>
  <c r="EU43" i="3"/>
  <c r="FM43" i="3" s="1"/>
  <c r="FA43" i="3"/>
  <c r="FL43" i="3"/>
  <c r="FG43" i="3"/>
  <c r="EZ43" i="3"/>
  <c r="EX43" i="3"/>
  <c r="FH43" i="3"/>
  <c r="FD43" i="3"/>
  <c r="FC43" i="3"/>
  <c r="FB43" i="3"/>
  <c r="EE43" i="3"/>
  <c r="EA43" i="3"/>
  <c r="DZ43" i="3"/>
  <c r="EJ43" i="3"/>
  <c r="ED43" i="3"/>
  <c r="EF43" i="3"/>
  <c r="EC43" i="3"/>
  <c r="EL43" i="3"/>
  <c r="EP43" i="3"/>
  <c r="EN43" i="3"/>
  <c r="EG43" i="3"/>
  <c r="EB43" i="3"/>
  <c r="DX44" i="3"/>
  <c r="DW43" i="3"/>
  <c r="EO43" i="3" s="1"/>
  <c r="DY43" i="3"/>
  <c r="EH43" i="3"/>
  <c r="EI43" i="3"/>
  <c r="FK43" i="3" l="1"/>
  <c r="EM43" i="3"/>
  <c r="EA44" i="3"/>
  <c r="DZ44" i="3"/>
  <c r="EE44" i="3"/>
  <c r="EI44" i="3"/>
  <c r="EB44" i="3"/>
  <c r="DX45" i="3"/>
  <c r="DW44" i="3"/>
  <c r="EO44" i="3" s="1"/>
  <c r="EC44" i="3"/>
  <c r="DY44" i="3"/>
  <c r="EJ44" i="3"/>
  <c r="EL44" i="3"/>
  <c r="EH44" i="3"/>
  <c r="ED44" i="3"/>
  <c r="EP44" i="3"/>
  <c r="EN44" i="3"/>
  <c r="EF44" i="3"/>
  <c r="EG44" i="3"/>
  <c r="EY44" i="3"/>
  <c r="FD44" i="3"/>
  <c r="FB44" i="3"/>
  <c r="FL44" i="3"/>
  <c r="FN44" i="3"/>
  <c r="FH44" i="3"/>
  <c r="FA44" i="3"/>
  <c r="EX44" i="3"/>
  <c r="FC44" i="3"/>
  <c r="FJ44" i="3"/>
  <c r="FG44" i="3"/>
  <c r="FF44" i="3"/>
  <c r="EW44" i="3"/>
  <c r="EZ44" i="3"/>
  <c r="EV45" i="3"/>
  <c r="FE44" i="3"/>
  <c r="EU44" i="3"/>
  <c r="FM44" i="3" s="1"/>
  <c r="FK44" i="3" l="1"/>
  <c r="EM44" i="3"/>
  <c r="FG45" i="3"/>
  <c r="FJ45" i="3"/>
  <c r="FC45" i="3"/>
  <c r="FE45" i="3"/>
  <c r="EZ45" i="3"/>
  <c r="FF45" i="3"/>
  <c r="EY45" i="3"/>
  <c r="EU45" i="3"/>
  <c r="FM45" i="3" s="1"/>
  <c r="FN45" i="3"/>
  <c r="FD45" i="3"/>
  <c r="FA45" i="3"/>
  <c r="FB45" i="3"/>
  <c r="EW45" i="3"/>
  <c r="EX45" i="3"/>
  <c r="EV46" i="3"/>
  <c r="FH45" i="3"/>
  <c r="FL45" i="3"/>
  <c r="EP45" i="3"/>
  <c r="EC45" i="3"/>
  <c r="EG45" i="3"/>
  <c r="DY45" i="3"/>
  <c r="DZ45" i="3"/>
  <c r="EF45" i="3"/>
  <c r="EJ45" i="3"/>
  <c r="DX46" i="3"/>
  <c r="EA45" i="3"/>
  <c r="EL45" i="3"/>
  <c r="EE45" i="3"/>
  <c r="EH45" i="3"/>
  <c r="EI45" i="3"/>
  <c r="EN45" i="3"/>
  <c r="DW45" i="3"/>
  <c r="EO45" i="3" s="1"/>
  <c r="EB45" i="3"/>
  <c r="ED45" i="3"/>
  <c r="EM45" i="3" l="1"/>
  <c r="FK45" i="3"/>
  <c r="EB46" i="3"/>
  <c r="EG46" i="3"/>
  <c r="DX47" i="3"/>
  <c r="ED46" i="3"/>
  <c r="DW46" i="3"/>
  <c r="EO46" i="3" s="1"/>
  <c r="EC46" i="3"/>
  <c r="DZ46" i="3"/>
  <c r="EP46" i="3"/>
  <c r="EA46" i="3"/>
  <c r="EN46" i="3"/>
  <c r="DY46" i="3"/>
  <c r="EJ46" i="3"/>
  <c r="EL46" i="3"/>
  <c r="EI46" i="3"/>
  <c r="EF46" i="3"/>
  <c r="EE46" i="3"/>
  <c r="EH46" i="3"/>
  <c r="EY46" i="3"/>
  <c r="FB46" i="3"/>
  <c r="FL46" i="3"/>
  <c r="EU46" i="3"/>
  <c r="FM46" i="3" s="1"/>
  <c r="EX46" i="3"/>
  <c r="EZ46" i="3"/>
  <c r="FE46" i="3"/>
  <c r="FH46" i="3"/>
  <c r="EV47" i="3"/>
  <c r="FN46" i="3"/>
  <c r="FG46" i="3"/>
  <c r="FC46" i="3"/>
  <c r="EW46" i="3"/>
  <c r="FJ46" i="3"/>
  <c r="FD46" i="3"/>
  <c r="FA46" i="3"/>
  <c r="FF46" i="3"/>
  <c r="FK46" i="3" l="1"/>
  <c r="EM46" i="3"/>
  <c r="EJ47" i="3"/>
  <c r="EH47" i="3"/>
  <c r="DZ47" i="3"/>
  <c r="DY47" i="3"/>
  <c r="EA47" i="3"/>
  <c r="EP47" i="3"/>
  <c r="DX48" i="3"/>
  <c r="EG47" i="3"/>
  <c r="EB47" i="3"/>
  <c r="EE47" i="3"/>
  <c r="EI47" i="3"/>
  <c r="EF47" i="3"/>
  <c r="EC47" i="3"/>
  <c r="ED47" i="3"/>
  <c r="EL47" i="3"/>
  <c r="EN47" i="3"/>
  <c r="DW47" i="3"/>
  <c r="EO47" i="3" s="1"/>
  <c r="FH47" i="3"/>
  <c r="EY47" i="3"/>
  <c r="FA47" i="3"/>
  <c r="EU47" i="3"/>
  <c r="FM47" i="3" s="1"/>
  <c r="FB47" i="3"/>
  <c r="FF47" i="3"/>
  <c r="FE47" i="3"/>
  <c r="EW47" i="3"/>
  <c r="EV48" i="3"/>
  <c r="EZ47" i="3"/>
  <c r="FC47" i="3"/>
  <c r="FD47" i="3"/>
  <c r="FL47" i="3"/>
  <c r="EX47" i="3"/>
  <c r="FG47" i="3"/>
  <c r="FJ47" i="3"/>
  <c r="FN47" i="3"/>
  <c r="FK47" i="3" l="1"/>
  <c r="EM47" i="3"/>
  <c r="EP48" i="3"/>
  <c r="EN48" i="3"/>
  <c r="EL48" i="3"/>
  <c r="DW48" i="3"/>
  <c r="EO48" i="3" s="1"/>
  <c r="DX49" i="3"/>
  <c r="EE48" i="3"/>
  <c r="EB48" i="3"/>
  <c r="EH48" i="3"/>
  <c r="DY48" i="3"/>
  <c r="DZ48" i="3"/>
  <c r="EI48" i="3"/>
  <c r="EC48" i="3"/>
  <c r="ED48" i="3"/>
  <c r="EF48" i="3"/>
  <c r="EJ48" i="3"/>
  <c r="EA48" i="3"/>
  <c r="EG48" i="3"/>
  <c r="FJ48" i="3"/>
  <c r="FL48" i="3"/>
  <c r="EU48" i="3"/>
  <c r="FM48" i="3" s="1"/>
  <c r="EZ48" i="3"/>
  <c r="FD48" i="3"/>
  <c r="FH48" i="3"/>
  <c r="EW48" i="3"/>
  <c r="FC48" i="3"/>
  <c r="EY48" i="3"/>
  <c r="FG48" i="3"/>
  <c r="FB48" i="3"/>
  <c r="EX48" i="3"/>
  <c r="FE48" i="3"/>
  <c r="FA48" i="3"/>
  <c r="FF48" i="3"/>
  <c r="EV49" i="3"/>
  <c r="FN48" i="3"/>
  <c r="FK48" i="3" l="1"/>
  <c r="EM48" i="3"/>
  <c r="FH49" i="3"/>
  <c r="EZ49" i="3"/>
  <c r="FG49" i="3"/>
  <c r="FA49" i="3"/>
  <c r="FC49" i="3"/>
  <c r="FN49" i="3"/>
  <c r="FJ49" i="3"/>
  <c r="EU49" i="3"/>
  <c r="FM49" i="3" s="1"/>
  <c r="EV50" i="3"/>
  <c r="EW49" i="3"/>
  <c r="FE49" i="3"/>
  <c r="FF49" i="3"/>
  <c r="EX49" i="3"/>
  <c r="FB49" i="3"/>
  <c r="FD49" i="3"/>
  <c r="EY49" i="3"/>
  <c r="FL49" i="3"/>
  <c r="EC49" i="3"/>
  <c r="EJ49" i="3"/>
  <c r="EN49" i="3"/>
  <c r="DX50" i="3"/>
  <c r="EA49" i="3"/>
  <c r="DW49" i="3"/>
  <c r="EO49" i="3" s="1"/>
  <c r="EF49" i="3"/>
  <c r="EP49" i="3"/>
  <c r="EI49" i="3"/>
  <c r="EB49" i="3"/>
  <c r="DZ49" i="3"/>
  <c r="EE49" i="3"/>
  <c r="EH49" i="3"/>
  <c r="EG49" i="3"/>
  <c r="ED49" i="3"/>
  <c r="EL49" i="3"/>
  <c r="DY49" i="3"/>
  <c r="EM49" i="3" l="1"/>
  <c r="FK49" i="3"/>
  <c r="DZ50" i="3"/>
  <c r="EE50" i="3"/>
  <c r="EE54" i="3" s="1"/>
  <c r="EG50" i="3"/>
  <c r="EG54" i="3" s="1"/>
  <c r="EF50" i="3"/>
  <c r="EF54" i="3" s="1"/>
  <c r="EL50" i="3"/>
  <c r="EL54" i="3" s="1"/>
  <c r="EN50" i="3"/>
  <c r="EN54" i="3" s="1"/>
  <c r="EP50" i="3"/>
  <c r="DY50" i="3"/>
  <c r="EA50" i="3"/>
  <c r="EB50" i="3"/>
  <c r="EB54" i="3" s="1"/>
  <c r="EI50" i="3"/>
  <c r="EI54" i="3" s="1"/>
  <c r="EC50" i="3"/>
  <c r="EC54" i="3" s="1"/>
  <c r="EC56" i="3" s="1"/>
  <c r="D19" i="6" s="1"/>
  <c r="EH50" i="3"/>
  <c r="EH54" i="3" s="1"/>
  <c r="DW50" i="3"/>
  <c r="EO50" i="3" s="1"/>
  <c r="EO54" i="3" s="1"/>
  <c r="ED50" i="3"/>
  <c r="ED54" i="3" s="1"/>
  <c r="EJ50" i="3"/>
  <c r="EJ54" i="3" s="1"/>
  <c r="FH50" i="3"/>
  <c r="FH54" i="3" s="1"/>
  <c r="EJ55" i="3" s="1"/>
  <c r="FA50" i="3"/>
  <c r="FA54" i="3" s="1"/>
  <c r="EC55" i="3" s="1"/>
  <c r="FJ50" i="3"/>
  <c r="FJ54" i="3" s="1"/>
  <c r="EL55" i="3" s="1"/>
  <c r="EU50" i="3"/>
  <c r="FM50" i="3" s="1"/>
  <c r="FM54" i="3" s="1"/>
  <c r="EO55" i="3" s="1"/>
  <c r="FB50" i="3"/>
  <c r="FB54" i="3" s="1"/>
  <c r="ED55" i="3" s="1"/>
  <c r="FG50" i="3"/>
  <c r="FG54" i="3" s="1"/>
  <c r="EI55" i="3" s="1"/>
  <c r="FL50" i="3"/>
  <c r="FL54" i="3" s="1"/>
  <c r="EN55" i="3" s="1"/>
  <c r="EY50" i="3"/>
  <c r="FC50" i="3"/>
  <c r="FC54" i="3" s="1"/>
  <c r="EE55" i="3" s="1"/>
  <c r="EW50" i="3"/>
  <c r="EZ50" i="3"/>
  <c r="EZ54" i="3" s="1"/>
  <c r="EB55" i="3" s="1"/>
  <c r="FD50" i="3"/>
  <c r="FD54" i="3" s="1"/>
  <c r="EF55" i="3" s="1"/>
  <c r="FE50" i="3"/>
  <c r="FE54" i="3" s="1"/>
  <c r="EG55" i="3" s="1"/>
  <c r="FN50" i="3"/>
  <c r="EX50" i="3"/>
  <c r="FF50" i="3"/>
  <c r="FF54" i="3" s="1"/>
  <c r="EH55" i="3" s="1"/>
  <c r="D28" i="6" l="1"/>
  <c r="G13" i="5" s="1"/>
  <c r="ED56" i="3"/>
  <c r="E19" i="6" s="1"/>
  <c r="EM50" i="3"/>
  <c r="EM54" i="3" s="1"/>
  <c r="EA54" i="3"/>
  <c r="FK50" i="3"/>
  <c r="FK54" i="3" s="1"/>
  <c r="EM55" i="3" s="1"/>
  <c r="EY54" i="3"/>
  <c r="EA55" i="3" s="1"/>
  <c r="EI56" i="3"/>
  <c r="J19" i="6" s="1"/>
  <c r="J28" i="6" s="1"/>
  <c r="EJ56" i="3"/>
  <c r="K19" i="6" s="1"/>
  <c r="K28" i="6" s="1"/>
  <c r="EG56" i="3"/>
  <c r="H19" i="6" s="1"/>
  <c r="H28" i="6" s="1"/>
  <c r="EO56" i="3"/>
  <c r="EB56" i="3"/>
  <c r="C19" i="6" s="1"/>
  <c r="C28" i="6" s="1"/>
  <c r="EN56" i="3"/>
  <c r="O19" i="6" s="1"/>
  <c r="O28" i="6" s="1"/>
  <c r="EE56" i="3"/>
  <c r="F19" i="6" s="1"/>
  <c r="F28" i="6" s="1"/>
  <c r="EH56" i="3"/>
  <c r="I19" i="6" s="1"/>
  <c r="I28" i="6" s="1"/>
  <c r="EL56" i="3"/>
  <c r="M19" i="6" s="1"/>
  <c r="M28" i="6" s="1"/>
  <c r="F13" i="5" l="1"/>
  <c r="L13" i="5"/>
  <c r="E28" i="6"/>
  <c r="G14" i="5" s="1"/>
  <c r="EA56" i="3"/>
  <c r="B19" i="6" s="1"/>
  <c r="B28" i="6" s="1"/>
  <c r="G16" i="5"/>
  <c r="G29" i="5"/>
  <c r="I29" i="5" s="1"/>
  <c r="P122" i="1"/>
  <c r="O122" i="1"/>
  <c r="G15" i="5"/>
  <c r="R19" i="6"/>
  <c r="EO63" i="3"/>
  <c r="H29" i="5" l="1"/>
  <c r="I33" i="7"/>
  <c r="H33" i="7" s="1"/>
  <c r="L14" i="5"/>
  <c r="I20" i="5"/>
  <c r="G20" i="5"/>
  <c r="F14" i="5"/>
  <c r="R28" i="6"/>
  <c r="G33" i="5" s="1"/>
  <c r="I37" i="7" s="1"/>
  <c r="EM56" i="3"/>
  <c r="EM59" i="3" s="1"/>
  <c r="G53" i="5"/>
  <c r="F53" i="5" s="1"/>
  <c r="I65" i="5"/>
  <c r="L65" i="5" s="1"/>
  <c r="L14" i="1"/>
  <c r="W19" i="6"/>
  <c r="L16" i="5"/>
  <c r="F16" i="5"/>
  <c r="N19" i="6"/>
  <c r="L15" i="5"/>
  <c r="F15" i="5"/>
  <c r="D15" i="5"/>
  <c r="G33" i="7"/>
  <c r="F29" i="5"/>
  <c r="L29" i="5"/>
  <c r="M29" i="5" s="1"/>
  <c r="B29" i="5" s="1"/>
  <c r="C29" i="5"/>
  <c r="C33" i="7" s="1"/>
  <c r="B33" i="7" l="1"/>
  <c r="K38" i="7"/>
  <c r="J38" i="7" s="1"/>
  <c r="H37" i="7"/>
  <c r="F20" i="5"/>
  <c r="P14" i="1"/>
  <c r="Y19" i="6"/>
  <c r="N28" i="6"/>
  <c r="L53" i="5"/>
  <c r="M63" i="5" s="1"/>
  <c r="C63" i="5" s="1"/>
  <c r="I49" i="7"/>
  <c r="H49" i="7" s="1"/>
  <c r="EN63" i="3"/>
  <c r="I63" i="5"/>
  <c r="H63" i="5" s="1"/>
  <c r="I67" i="5"/>
  <c r="I37" i="5"/>
  <c r="I62" i="7"/>
  <c r="H65" i="5"/>
  <c r="C65" i="5"/>
  <c r="C62" i="7" s="1"/>
  <c r="X19" i="6"/>
  <c r="G11" i="5"/>
  <c r="Y28" i="6"/>
  <c r="M62" i="5" l="1"/>
  <c r="C62" i="5" s="1"/>
  <c r="M61" i="5"/>
  <c r="M59" i="5"/>
  <c r="C59" i="5" s="1"/>
  <c r="M54" i="5"/>
  <c r="C54" i="5" s="1"/>
  <c r="M56" i="5"/>
  <c r="M57" i="5"/>
  <c r="M60" i="5"/>
  <c r="C60" i="5" s="1"/>
  <c r="M53" i="5"/>
  <c r="C53" i="5" s="1"/>
  <c r="M55" i="5"/>
  <c r="C55" i="5" s="1"/>
  <c r="M58" i="5"/>
  <c r="K63" i="5"/>
  <c r="J63" i="5" s="1"/>
  <c r="I60" i="7"/>
  <c r="I63" i="7" s="1"/>
  <c r="C49" i="7"/>
  <c r="I66" i="5"/>
  <c r="L37" i="5"/>
  <c r="G43" i="7"/>
  <c r="I39" i="5"/>
  <c r="M37" i="5"/>
  <c r="B37" i="5" s="1"/>
  <c r="C37" i="5" s="1"/>
  <c r="C43" i="7" s="1"/>
  <c r="H22" i="5"/>
  <c r="P17" i="1" s="1"/>
  <c r="C13" i="1"/>
  <c r="A67" i="5"/>
  <c r="C67" i="5"/>
  <c r="K67" i="5"/>
  <c r="I65" i="7"/>
  <c r="H67" i="5"/>
  <c r="J67" i="5" s="1"/>
  <c r="J65" i="5"/>
  <c r="J62" i="7"/>
  <c r="N34" i="6"/>
  <c r="L11" i="5"/>
  <c r="F11" i="5"/>
  <c r="K17" i="5"/>
  <c r="G23" i="5"/>
  <c r="K64" i="5" l="1"/>
  <c r="K65" i="5" s="1"/>
  <c r="K60" i="7"/>
  <c r="J60" i="7" s="1"/>
  <c r="E22" i="5"/>
  <c r="P15" i="1" s="1"/>
  <c r="O25" i="5"/>
  <c r="H60" i="7"/>
  <c r="H66" i="5"/>
  <c r="J63" i="7" s="1"/>
  <c r="H35" i="5"/>
  <c r="H39" i="5"/>
  <c r="B39" i="5"/>
  <c r="N65" i="7"/>
  <c r="N43" i="7"/>
  <c r="B43" i="7" s="1"/>
  <c r="K44" i="7"/>
  <c r="J44" i="7" s="1"/>
  <c r="L67" i="5"/>
  <c r="K65" i="7"/>
  <c r="H37" i="5"/>
  <c r="L39" i="5"/>
  <c r="M16" i="5"/>
  <c r="M14" i="5"/>
  <c r="C14" i="5" s="1"/>
  <c r="M13" i="5"/>
  <c r="C13" i="5" s="1"/>
  <c r="M15" i="5"/>
  <c r="C15" i="5" s="1"/>
  <c r="M11" i="5"/>
  <c r="C11" i="5" s="1"/>
  <c r="M12" i="5"/>
  <c r="F23" i="5"/>
  <c r="F33" i="5" s="1"/>
  <c r="K68" i="5"/>
  <c r="K66" i="7" s="1"/>
  <c r="I23" i="7"/>
  <c r="P19" i="1"/>
  <c r="K62" i="7" l="1"/>
  <c r="M14" i="1"/>
  <c r="I69" i="5" s="1"/>
  <c r="K61" i="7"/>
  <c r="L64" i="5"/>
  <c r="M64" i="5" s="1"/>
  <c r="F22" i="5"/>
  <c r="J11" i="8" s="1"/>
  <c r="M61" i="7"/>
  <c r="S285" i="1"/>
  <c r="V285" i="1" s="1"/>
  <c r="W285" i="1" s="1"/>
  <c r="C64" i="5"/>
  <c r="B64" i="5"/>
  <c r="K66" i="5"/>
  <c r="J66" i="5" s="1"/>
  <c r="L63" i="7" s="1"/>
  <c r="B70" i="7"/>
  <c r="E65" i="7"/>
  <c r="C65" i="7"/>
  <c r="B65" i="7"/>
  <c r="H23" i="7"/>
  <c r="I26" i="7"/>
  <c r="B17" i="5"/>
  <c r="C16" i="5"/>
  <c r="K22" i="5" l="1"/>
  <c r="P18" i="1" s="1"/>
  <c r="K63" i="7"/>
  <c r="M63" i="7" s="1"/>
  <c r="P23" i="1" s="1"/>
  <c r="C69" i="5"/>
  <c r="I67" i="7"/>
  <c r="H69" i="5"/>
  <c r="K69" i="5"/>
  <c r="K67" i="7" s="1"/>
  <c r="A69" i="5"/>
  <c r="L69" i="5" s="1"/>
  <c r="I70" i="5"/>
  <c r="U285" i="1"/>
  <c r="X285" i="1" s="1"/>
  <c r="Y285" i="1" s="1"/>
  <c r="Z285" i="1" s="1"/>
  <c r="P16" i="1"/>
  <c r="L66" i="5"/>
  <c r="S284" i="1"/>
  <c r="U284" i="1" s="1"/>
  <c r="X284" i="1" s="1"/>
  <c r="Y284" i="1" s="1"/>
  <c r="Z284" i="1" s="1"/>
  <c r="M65" i="5"/>
  <c r="H26" i="7"/>
  <c r="K26" i="7"/>
  <c r="M68" i="5" l="1"/>
  <c r="C66" i="5"/>
  <c r="I24" i="5"/>
  <c r="K30" i="5" s="1"/>
  <c r="A92" i="5"/>
  <c r="G24" i="5"/>
  <c r="G30" i="5" s="1"/>
  <c r="AA285" i="1"/>
  <c r="AB285" i="1" s="1"/>
  <c r="AC285" i="1" s="1"/>
  <c r="K70" i="5"/>
  <c r="J69" i="5"/>
  <c r="H67" i="7"/>
  <c r="A51" i="5"/>
  <c r="H70" i="5"/>
  <c r="B50" i="5"/>
  <c r="C51" i="5"/>
  <c r="L51" i="5"/>
  <c r="N67" i="7"/>
  <c r="B69" i="7" s="1"/>
  <c r="I74" i="7"/>
  <c r="H74" i="7" s="1"/>
  <c r="V284" i="1"/>
  <c r="W284" i="1" s="1"/>
  <c r="M66" i="5"/>
  <c r="M69" i="5"/>
  <c r="B70" i="5" s="1"/>
  <c r="L70" i="5" s="1"/>
  <c r="M67" i="5"/>
  <c r="AD285" i="1"/>
  <c r="AE285" i="1" s="1"/>
  <c r="AF285" i="1" s="1"/>
  <c r="I30" i="5"/>
  <c r="H30" i="5" s="1"/>
  <c r="AA284" i="1"/>
  <c r="AB284" i="1" s="1"/>
  <c r="AC284" i="1" s="1"/>
  <c r="F24" i="5"/>
  <c r="M26" i="7"/>
  <c r="J26" i="7"/>
  <c r="G28" i="7" l="1"/>
  <c r="B30" i="5"/>
  <c r="J24" i="5" s="1"/>
  <c r="K24" i="5" s="1"/>
  <c r="L30" i="5" s="1"/>
  <c r="I28" i="7"/>
  <c r="H28" i="7" s="1"/>
  <c r="E67" i="7"/>
  <c r="C67" i="7"/>
  <c r="B68" i="7"/>
  <c r="B67" i="7"/>
  <c r="AG285" i="1"/>
  <c r="AH285" i="1" s="1"/>
  <c r="AD284" i="1"/>
  <c r="AE284" i="1" s="1"/>
  <c r="AF284" i="1" s="1"/>
  <c r="N28" i="7"/>
  <c r="K33" i="7"/>
  <c r="J33" i="7" s="1"/>
  <c r="P20" i="1"/>
  <c r="K31" i="5"/>
  <c r="K34" i="5" s="1"/>
  <c r="K40" i="5" s="1"/>
  <c r="L132" i="1" s="1"/>
  <c r="I47" i="5" s="1"/>
  <c r="L26" i="7"/>
  <c r="T285" i="1" l="1"/>
  <c r="I48" i="5"/>
  <c r="H47" i="5"/>
  <c r="K48" i="5"/>
  <c r="K49" i="5" s="1"/>
  <c r="K71" i="5" s="1"/>
  <c r="K73" i="7"/>
  <c r="K34" i="7"/>
  <c r="J34" i="7" s="1"/>
  <c r="AG284" i="1"/>
  <c r="M39" i="7" l="1"/>
  <c r="P21" i="1" s="1"/>
  <c r="J73" i="7"/>
  <c r="K74" i="7"/>
  <c r="E79" i="5"/>
  <c r="C79" i="5"/>
  <c r="AW79" i="5"/>
  <c r="AX74" i="5"/>
  <c r="B80" i="5"/>
  <c r="B79" i="5"/>
  <c r="B82" i="5"/>
  <c r="AW80" i="5"/>
  <c r="AX73" i="5"/>
  <c r="AV80" i="5"/>
  <c r="AT79" i="5" s="1"/>
  <c r="AW81" i="5"/>
  <c r="AX81" i="5"/>
  <c r="B81" i="5"/>
  <c r="L79" i="5"/>
  <c r="AX75" i="5"/>
  <c r="AH284" i="1"/>
  <c r="T284" i="1" s="1"/>
  <c r="A3" i="8" l="1"/>
  <c r="A93" i="5"/>
  <c r="M45" i="7"/>
  <c r="L39" i="7"/>
  <c r="AU81" i="5"/>
  <c r="AY73" i="5"/>
  <c r="AU73" i="5"/>
  <c r="E74" i="5" s="1"/>
  <c r="AT81" i="5"/>
  <c r="AT80" i="5"/>
  <c r="AY74" i="5"/>
  <c r="G75" i="5" s="1"/>
  <c r="AU74" i="5"/>
  <c r="E75" i="5" s="1"/>
  <c r="M74" i="7"/>
  <c r="J74" i="7"/>
  <c r="AU75" i="5"/>
  <c r="E76" i="5" s="1"/>
  <c r="AY75" i="5"/>
  <c r="G76" i="5" s="1"/>
  <c r="AY81" i="5"/>
  <c r="AX79" i="5"/>
  <c r="AX80" i="5"/>
  <c r="L45" i="7"/>
  <c r="AU79" i="5" l="1"/>
  <c r="AY79" i="5"/>
  <c r="L74" i="7"/>
  <c r="P24" i="1"/>
  <c r="M75" i="7"/>
  <c r="AU80" i="5"/>
  <c r="AY80" i="5"/>
  <c r="BB71" i="5"/>
  <c r="G74" i="5"/>
  <c r="G77" i="5" s="1"/>
  <c r="G78" i="5" s="1"/>
  <c r="G79" i="5" s="1"/>
  <c r="L75" i="7" l="1"/>
  <c r="M76" i="7"/>
  <c r="M77" i="7"/>
  <c r="P26" i="1" s="1"/>
  <c r="BB72" i="5"/>
  <c r="BB73" i="5"/>
  <c r="I78" i="5"/>
  <c r="G80" i="5" s="1"/>
  <c r="BB78" i="5"/>
  <c r="M78" i="7"/>
  <c r="E81" i="5" l="1"/>
  <c r="E80" i="5"/>
  <c r="G81" i="5"/>
  <c r="I81" i="5" s="1"/>
  <c r="I82" i="5" s="1"/>
  <c r="K82" i="5" s="1"/>
  <c r="L77" i="7"/>
  <c r="BB74" i="5"/>
  <c r="BB79" i="5"/>
  <c r="BB80" i="5"/>
  <c r="P76" i="7"/>
  <c r="P25" i="1"/>
  <c r="L76" i="7"/>
  <c r="M79" i="7"/>
  <c r="BB81" i="5" l="1"/>
  <c r="L79" i="7"/>
  <c r="P27" i="1"/>
  <c r="BB76" i="5"/>
  <c r="M80" i="7"/>
  <c r="K89" i="5"/>
  <c r="P30" i="1" l="1"/>
  <c r="D14" i="2"/>
  <c r="P28" i="1"/>
  <c r="L80" i="7"/>
  <c r="M82" i="7"/>
  <c r="L82" i="7" s="1"/>
  <c r="B111" i="7" l="1"/>
  <c r="I18" i="7"/>
  <c r="B14" i="2"/>
  <c r="E111" i="7" l="1"/>
  <c r="B112" i="7"/>
  <c r="I83" i="7"/>
  <c r="K84" i="7" s="1"/>
  <c r="M85" i="7" s="1"/>
  <c r="V15" i="6"/>
  <c r="V28" i="6" s="1"/>
  <c r="D18" i="7"/>
  <c r="L18" i="7"/>
  <c r="L19" i="7" s="1"/>
  <c r="S283" i="1" s="1"/>
  <c r="I19" i="7"/>
  <c r="K111" i="7" l="1"/>
  <c r="H111" i="7"/>
  <c r="W15" i="6"/>
  <c r="U283" i="1"/>
  <c r="X283" i="1" s="1"/>
  <c r="Y283" i="1" s="1"/>
  <c r="Z283" i="1" s="1"/>
  <c r="V283" i="1"/>
  <c r="W283" i="1" s="1"/>
  <c r="X15" i="6" l="1"/>
  <c r="X28" i="6" s="1"/>
  <c r="W28" i="6"/>
  <c r="AA283" i="1"/>
  <c r="AB283" i="1" s="1"/>
  <c r="AC283" i="1" s="1"/>
  <c r="X34" i="6" l="1"/>
  <c r="AD283" i="1"/>
  <c r="AE283" i="1" s="1"/>
  <c r="AF283" i="1" s="1"/>
  <c r="V34" i="6"/>
  <c r="AG283" i="1" l="1"/>
  <c r="AH283" i="1" s="1"/>
  <c r="T283" i="1" s="1"/>
  <c r="A87" i="7" s="1"/>
</calcChain>
</file>

<file path=xl/comments1.xml><?xml version="1.0" encoding="utf-8"?>
<comments xmlns="http://schemas.openxmlformats.org/spreadsheetml/2006/main">
  <authors>
    <author>IRUVURU BALAKRISHNAIAH</author>
    <author>BALAKRISHNAIAH.I</author>
    <author>I.BALAKRISHNAIAH</author>
    <author>IBK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Not Necessary
IF Pensioners MustEnter DOB</t>
        </r>
      </text>
    </comment>
    <comment ref="H9" authorId="1">
      <text>
        <r>
          <rPr>
            <sz val="8"/>
            <color indexed="81"/>
            <rFont val="Tahoma"/>
            <family val="2"/>
          </rPr>
          <t xml:space="preserve">Additional Qualifications + Family Planning Increments
</t>
        </r>
      </text>
    </comment>
    <comment ref="L9" authorId="1">
      <text>
        <r>
          <rPr>
            <sz val="8"/>
            <color indexed="81"/>
            <rFont val="Tahoma"/>
            <family val="2"/>
          </rPr>
          <t xml:space="preserve">Reader Allowance in RPS-2010
SGT-400
SA-500
JL Above - 600
</t>
        </r>
      </text>
    </comment>
    <comment ref="G15" authorId="2">
      <text>
        <r>
          <rPr>
            <b/>
            <sz val="8"/>
            <color indexed="81"/>
            <rFont val="Tahoma"/>
            <family val="2"/>
          </rPr>
          <t xml:space="preserve">   HRA
01.02.2010       01.04.2011
       10                  12
       12.5              14.5
        20                 20
        30                 30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" authorId="2">
      <text>
        <r>
          <rPr>
            <sz val="8"/>
            <color indexed="81"/>
            <rFont val="Tahoma"/>
            <family val="2"/>
          </rPr>
          <t xml:space="preserve">   HRA
01.02.2010       01.04.2011
       10                  12
       12.5              14.5
        20                 20
        30                 30
</t>
        </r>
      </text>
    </comment>
    <comment ref="I16" authorId="2">
      <text>
        <r>
          <rPr>
            <b/>
            <sz val="8"/>
            <color indexed="81"/>
            <rFont val="Tahoma"/>
            <family val="2"/>
          </rPr>
          <t xml:space="preserve">01.02.2010       01.04.2011
       10                  12
       12.5              14.5
        20                 20
        30                 30
</t>
        </r>
      </text>
    </comment>
    <comment ref="G17" authorId="2">
      <text>
        <r>
          <rPr>
            <sz val="8"/>
            <color indexed="81"/>
            <rFont val="Tahoma"/>
            <family val="2"/>
          </rPr>
          <t xml:space="preserve">   HRA
01.02.2010       01.04.2011
       10                  12
       12.5              14.5
        20                 20
        30                 30
</t>
        </r>
      </text>
    </comment>
    <comment ref="L33" authorId="3">
      <text>
        <r>
          <rPr>
            <b/>
            <sz val="9"/>
            <color indexed="81"/>
            <rFont val="Tahoma"/>
            <family val="2"/>
          </rPr>
          <t>Select Me</t>
        </r>
      </text>
    </comment>
    <comment ref="F35" authorId="3">
      <text>
        <r>
          <rPr>
            <b/>
            <sz val="9"/>
            <color indexed="81"/>
            <rFont val="Tahoma"/>
            <family val="2"/>
          </rPr>
          <t>Select 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6" authorId="3">
      <text>
        <r>
          <rPr>
            <b/>
            <sz val="11"/>
            <color indexed="81"/>
            <rFont val="Tahoma"/>
            <family val="2"/>
          </rPr>
          <t>Not Filled Self Occupied Property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IBK</author>
  </authors>
  <commentList>
    <comment ref="D2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>ADVANCE TAX
AMOUNT</t>
        </r>
      </text>
    </comment>
  </commentList>
</comments>
</file>

<file path=xl/comments3.xml><?xml version="1.0" encoding="utf-8"?>
<comments xmlns="http://schemas.openxmlformats.org/spreadsheetml/2006/main">
  <authors>
    <author>IBK</author>
  </authors>
  <commentList>
    <comment ref="L3" authorId="0">
      <text>
        <r>
          <rPr>
            <b/>
            <sz val="9"/>
            <color indexed="81"/>
            <rFont val="Tahoma"/>
            <family val="2"/>
          </rPr>
          <t xml:space="preserve">Filter Point
Select-1
Non-Seleck-Blanks
Enter OK
This is Most Important Before Printing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IBK</author>
  </authors>
  <commentList>
    <comment ref="Y3" authorId="0">
      <text>
        <r>
          <rPr>
            <b/>
            <sz val="12"/>
            <color indexed="81"/>
            <rFont val="Tahoma"/>
            <family val="2"/>
          </rPr>
          <t>FILTER POINT
Before Printing
Select-1
Non-Select-Blanks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 xml:space="preserve">Enter OK  
Then after Taking Printing Use Legal Size Papers
Any Change This Sheet Using Password : 123 </t>
        </r>
      </text>
    </comment>
    <comment ref="AA14" authorId="0">
      <text>
        <r>
          <rPr>
            <b/>
            <sz val="12"/>
            <color indexed="14"/>
            <rFont val="Tahoma"/>
            <family val="2"/>
          </rPr>
          <t xml:space="preserve">Any Other Arreras Fill in the Rows These Row 20 &amp; 21 is Un Protected
</t>
        </r>
      </text>
    </comment>
  </commentList>
</comments>
</file>

<file path=xl/comments5.xml><?xml version="1.0" encoding="utf-8"?>
<comments xmlns="http://schemas.openxmlformats.org/spreadsheetml/2006/main">
  <authors>
    <author>IBK</author>
  </authors>
  <commentList>
    <comment ref="N7" authorId="0">
      <text>
        <r>
          <rPr>
            <b/>
            <sz val="9"/>
            <color indexed="81"/>
            <rFont val="Tahoma"/>
            <family val="2"/>
          </rPr>
          <t xml:space="preserve">Filter Point
Select-1
Non-Seleck-Blanks
Enter OK
This is Most Important Before Printing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BALAKRISHNAIAH.I</author>
  </authors>
  <commentList>
    <comment ref="E12" authorId="0">
      <text>
        <r>
          <rPr>
            <b/>
            <sz val="8"/>
            <color indexed="81"/>
            <rFont val="Tahoma"/>
            <family val="2"/>
          </rPr>
          <t>Name of the Doctor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color indexed="81"/>
            <rFont val="Tahoma"/>
            <family val="2"/>
          </rPr>
          <t>Registr No &amp; Address of the Doctor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<sst xmlns="http://schemas.openxmlformats.org/spreadsheetml/2006/main" count="3842" uniqueCount="1978">
  <si>
    <t>MONTH</t>
  </si>
  <si>
    <t>BASIC PAY</t>
  </si>
  <si>
    <t>GROSS</t>
  </si>
  <si>
    <t>G.I.S</t>
  </si>
  <si>
    <t>P.T</t>
  </si>
  <si>
    <t>APGLI</t>
  </si>
  <si>
    <t>TOTAL</t>
  </si>
  <si>
    <t>Rs:</t>
  </si>
  <si>
    <t>Taxable income ( 13- 14 )</t>
  </si>
  <si>
    <t>i)</t>
  </si>
  <si>
    <t>h)</t>
  </si>
  <si>
    <t>e)</t>
  </si>
  <si>
    <t>d)</t>
  </si>
  <si>
    <t>c)</t>
  </si>
  <si>
    <t>b)</t>
  </si>
  <si>
    <t>a)</t>
  </si>
  <si>
    <t>Net Salary Income ( 11-12 )</t>
  </si>
  <si>
    <t>DEDUCTIONS UNDER CHAPTER VI - A</t>
  </si>
  <si>
    <t>Professional Tax u/s 16 III</t>
  </si>
  <si>
    <t>Deductions :</t>
  </si>
  <si>
    <t xml:space="preserve">( Deduct  (a) , (b) or (c ) Which ever is less ) </t>
  </si>
  <si>
    <t>40 % of (Pay + DA )</t>
  </si>
  <si>
    <t>Actual House Rent receieved</t>
  </si>
  <si>
    <t>House Rent Allowance vis 10 (2A) 13( A)</t>
  </si>
  <si>
    <t>INCOME RECEIPTS FOR THE YEAR :</t>
  </si>
  <si>
    <t>Name of the employee</t>
  </si>
  <si>
    <t xml:space="preserve">Designation </t>
  </si>
  <si>
    <t>Office Adress :</t>
  </si>
  <si>
    <t>TO</t>
  </si>
  <si>
    <t>HRA</t>
  </si>
  <si>
    <t>Place:</t>
  </si>
  <si>
    <t>Total</t>
  </si>
  <si>
    <t>Section</t>
  </si>
  <si>
    <t>Amount</t>
  </si>
  <si>
    <t>Date</t>
  </si>
  <si>
    <t>SAVINGS</t>
  </si>
  <si>
    <t>PF</t>
  </si>
  <si>
    <t>PLI</t>
  </si>
  <si>
    <t>GIS</t>
  </si>
  <si>
    <t>Sex :</t>
  </si>
  <si>
    <t>IR</t>
  </si>
  <si>
    <t xml:space="preserve"> </t>
  </si>
  <si>
    <t>Designation</t>
  </si>
  <si>
    <t>ID No</t>
  </si>
  <si>
    <t>Mandal</t>
  </si>
  <si>
    <t>District</t>
  </si>
  <si>
    <t>DA</t>
  </si>
  <si>
    <t>CCA</t>
  </si>
  <si>
    <t>PHCA</t>
  </si>
  <si>
    <t>From</t>
  </si>
  <si>
    <t>Deductions</t>
  </si>
  <si>
    <t>Net</t>
  </si>
  <si>
    <t>Period</t>
  </si>
  <si>
    <t>Earnings</t>
  </si>
  <si>
    <t>Total Deductions</t>
  </si>
  <si>
    <t>80CCC</t>
  </si>
  <si>
    <t>80D</t>
  </si>
  <si>
    <t>80E</t>
  </si>
  <si>
    <t>80G</t>
  </si>
  <si>
    <t>Employee Name</t>
  </si>
  <si>
    <t>School/OfficeName</t>
  </si>
  <si>
    <t>AHRA</t>
  </si>
  <si>
    <t>Others</t>
  </si>
  <si>
    <t>Rent Paid Monthly</t>
  </si>
  <si>
    <t>DDO Name</t>
  </si>
  <si>
    <t>DDO Father's Name</t>
  </si>
  <si>
    <t>Prakasam</t>
  </si>
  <si>
    <t>Chittoor</t>
  </si>
  <si>
    <t>Adilabad</t>
  </si>
  <si>
    <t xml:space="preserve">Adilabad </t>
  </si>
  <si>
    <t xml:space="preserve">District </t>
  </si>
  <si>
    <t>Addanki</t>
  </si>
  <si>
    <t>Veduru Kuppam</t>
  </si>
  <si>
    <t>One</t>
  </si>
  <si>
    <t xml:space="preserve">Asifabad </t>
  </si>
  <si>
    <t>Two</t>
  </si>
  <si>
    <t xml:space="preserve">Bazarhathnoor </t>
  </si>
  <si>
    <t>Anantapur</t>
  </si>
  <si>
    <t>Three</t>
  </si>
  <si>
    <t xml:space="preserve">Bejjur </t>
  </si>
  <si>
    <t>Four</t>
  </si>
  <si>
    <t xml:space="preserve">Bela </t>
  </si>
  <si>
    <t>East Godavari</t>
  </si>
  <si>
    <t>Five</t>
  </si>
  <si>
    <t xml:space="preserve">Bellampalle </t>
  </si>
  <si>
    <t>Guntur</t>
  </si>
  <si>
    <t>Six</t>
  </si>
  <si>
    <t xml:space="preserve">Bhainsa </t>
  </si>
  <si>
    <t>Hyderabad</t>
  </si>
  <si>
    <t>Seven</t>
  </si>
  <si>
    <t xml:space="preserve">Bheemini </t>
  </si>
  <si>
    <t>Karimnagar</t>
  </si>
  <si>
    <t>Eight</t>
  </si>
  <si>
    <t xml:space="preserve">Boath </t>
  </si>
  <si>
    <t>Khammam</t>
  </si>
  <si>
    <t>Nine</t>
  </si>
  <si>
    <t xml:space="preserve">Chennur </t>
  </si>
  <si>
    <t>Krishna</t>
  </si>
  <si>
    <t>Ten</t>
  </si>
  <si>
    <t xml:space="preserve">Dahegaon </t>
  </si>
  <si>
    <t>Kurnool</t>
  </si>
  <si>
    <t>Eleven</t>
  </si>
  <si>
    <t xml:space="preserve">Dandepalle </t>
  </si>
  <si>
    <t>Mahabubnagar</t>
  </si>
  <si>
    <t>Twelve</t>
  </si>
  <si>
    <t xml:space="preserve">Dilawarpur </t>
  </si>
  <si>
    <t>Medak</t>
  </si>
  <si>
    <t>Thirteen</t>
  </si>
  <si>
    <t xml:space="preserve">Gudihathnur </t>
  </si>
  <si>
    <t>Nalgonda</t>
  </si>
  <si>
    <t>Fourteen</t>
  </si>
  <si>
    <t xml:space="preserve">Ichoda </t>
  </si>
  <si>
    <t>Nizamabad</t>
  </si>
  <si>
    <t>Fifteen</t>
  </si>
  <si>
    <t xml:space="preserve">Inderavelly </t>
  </si>
  <si>
    <t>Sixteen</t>
  </si>
  <si>
    <t xml:space="preserve">Jainad </t>
  </si>
  <si>
    <t>Ranga Reddy</t>
  </si>
  <si>
    <t>Seventeen</t>
  </si>
  <si>
    <t xml:space="preserve">Jainoor </t>
  </si>
  <si>
    <t>Sri Pottisreeramulu Nellore</t>
  </si>
  <si>
    <t>Eighteen</t>
  </si>
  <si>
    <t xml:space="preserve">Jaipur </t>
  </si>
  <si>
    <t>Srikakulam</t>
  </si>
  <si>
    <t>Ninteen</t>
  </si>
  <si>
    <t xml:space="preserve">Jannaram </t>
  </si>
  <si>
    <t>Visakhapatnam</t>
  </si>
  <si>
    <t>Twenty</t>
  </si>
  <si>
    <t xml:space="preserve">Kaddampeddur </t>
  </si>
  <si>
    <t>Vizianagaram</t>
  </si>
  <si>
    <t>Twenty One</t>
  </si>
  <si>
    <t>Kagaz Nagar</t>
  </si>
  <si>
    <t>Warangal</t>
  </si>
  <si>
    <t>Twenty Two</t>
  </si>
  <si>
    <t xml:space="preserve">Kasipet </t>
  </si>
  <si>
    <t>West Godavari</t>
  </si>
  <si>
    <t>Twenty Three</t>
  </si>
  <si>
    <t xml:space="preserve">Kerameri </t>
  </si>
  <si>
    <t>Y.S.R (Kaddapah)</t>
  </si>
  <si>
    <t>Twenty Four</t>
  </si>
  <si>
    <t xml:space="preserve">Khanpur </t>
  </si>
  <si>
    <t>Twenty Five</t>
  </si>
  <si>
    <t xml:space="preserve">Kotapalle </t>
  </si>
  <si>
    <t>Twenty Six</t>
  </si>
  <si>
    <t xml:space="preserve">Kouthala </t>
  </si>
  <si>
    <t>Twenty Seven</t>
  </si>
  <si>
    <t xml:space="preserve">Kubeer </t>
  </si>
  <si>
    <t>Twenty Eight</t>
  </si>
  <si>
    <t xml:space="preserve">Kuntala </t>
  </si>
  <si>
    <t>Twenty Nine</t>
  </si>
  <si>
    <t xml:space="preserve">Laxmanchanda </t>
  </si>
  <si>
    <t>Thirty</t>
  </si>
  <si>
    <t xml:space="preserve">Lohesra </t>
  </si>
  <si>
    <t>Thirty One</t>
  </si>
  <si>
    <t xml:space="preserve">Luxettipet </t>
  </si>
  <si>
    <t>Thirty Two</t>
  </si>
  <si>
    <t xml:space="preserve">Mamda </t>
  </si>
  <si>
    <t>Thirty Three</t>
  </si>
  <si>
    <t xml:space="preserve">Mancherial </t>
  </si>
  <si>
    <t>Thirty Four</t>
  </si>
  <si>
    <t xml:space="preserve">Mandamarri </t>
  </si>
  <si>
    <t>Thirty Five</t>
  </si>
  <si>
    <t xml:space="preserve">Mudhole </t>
  </si>
  <si>
    <t>Thirty Six</t>
  </si>
  <si>
    <t xml:space="preserve">Narnoor </t>
  </si>
  <si>
    <t>Thirty Seven</t>
  </si>
  <si>
    <t xml:space="preserve">Nennal </t>
  </si>
  <si>
    <t>Thirty Eight</t>
  </si>
  <si>
    <t xml:space="preserve">Neradigonda </t>
  </si>
  <si>
    <t>Thirty Nine</t>
  </si>
  <si>
    <t xml:space="preserve">Nirmal </t>
  </si>
  <si>
    <t>Fourty</t>
  </si>
  <si>
    <t xml:space="preserve">Rebbana </t>
  </si>
  <si>
    <t>Fourty One</t>
  </si>
  <si>
    <t xml:space="preserve">Sarangapur </t>
  </si>
  <si>
    <t>Fourty Two</t>
  </si>
  <si>
    <t>Sirpur (T)</t>
  </si>
  <si>
    <t>Fourty Three</t>
  </si>
  <si>
    <t>Sirpur (U)</t>
  </si>
  <si>
    <t>Fourty Four</t>
  </si>
  <si>
    <t xml:space="preserve">Talamadugu </t>
  </si>
  <si>
    <t>Fourty Five</t>
  </si>
  <si>
    <t xml:space="preserve">Tamsi </t>
  </si>
  <si>
    <t>Fourty Six</t>
  </si>
  <si>
    <t xml:space="preserve">Tandur </t>
  </si>
  <si>
    <t>Fourty Seven</t>
  </si>
  <si>
    <t xml:space="preserve">Tanur </t>
  </si>
  <si>
    <t>Fourty Eight</t>
  </si>
  <si>
    <t xml:space="preserve">Tiryani </t>
  </si>
  <si>
    <t>Fourty Nine</t>
  </si>
  <si>
    <t xml:space="preserve">Utnur </t>
  </si>
  <si>
    <t>Fifty</t>
  </si>
  <si>
    <t xml:space="preserve">Vemanpalle </t>
  </si>
  <si>
    <t>Fifty One</t>
  </si>
  <si>
    <t xml:space="preserve">Wankdi </t>
  </si>
  <si>
    <t>Fifty Two</t>
  </si>
  <si>
    <t>Agali</t>
  </si>
  <si>
    <t>Fifty Three</t>
  </si>
  <si>
    <t>Amadagur</t>
  </si>
  <si>
    <t>Fifty Four</t>
  </si>
  <si>
    <t>Amarapuram</t>
  </si>
  <si>
    <t>Fifty Five</t>
  </si>
  <si>
    <t>Fifty Six</t>
  </si>
  <si>
    <t>Atmakur</t>
  </si>
  <si>
    <t>Fifty Seven</t>
  </si>
  <si>
    <t>Bathalapalle</t>
  </si>
  <si>
    <t>Fifty Eight</t>
  </si>
  <si>
    <t>Beluguppa</t>
  </si>
  <si>
    <t>Fifty Nine</t>
  </si>
  <si>
    <t>Bommanahal</t>
  </si>
  <si>
    <t>Sixty</t>
  </si>
  <si>
    <t>Brahmasamudram</t>
  </si>
  <si>
    <t>Sixty One</t>
  </si>
  <si>
    <t>Bukkapatnam</t>
  </si>
  <si>
    <t>Sixty Two</t>
  </si>
  <si>
    <t>Bukkarayasamudram</t>
  </si>
  <si>
    <t>Sixty Three</t>
  </si>
  <si>
    <t>Chenne Kothapalle</t>
  </si>
  <si>
    <t>Sixty Four</t>
  </si>
  <si>
    <t>Chilamathur</t>
  </si>
  <si>
    <t>Sixty Five</t>
  </si>
  <si>
    <t>D.Hirchal</t>
  </si>
  <si>
    <t>Sixty Six</t>
  </si>
  <si>
    <t>Dharmavaram</t>
  </si>
  <si>
    <t>Sixty Seven</t>
  </si>
  <si>
    <t>Gandlapenta</t>
  </si>
  <si>
    <t>Sixty Eight</t>
  </si>
  <si>
    <t>Garladinne</t>
  </si>
  <si>
    <t>Sixty Nine</t>
  </si>
  <si>
    <t>Gooty</t>
  </si>
  <si>
    <t>Seventy</t>
  </si>
  <si>
    <t>Gorantla</t>
  </si>
  <si>
    <t>Seventy One</t>
  </si>
  <si>
    <t>Gudibanda</t>
  </si>
  <si>
    <t>Seventy Two</t>
  </si>
  <si>
    <t>Gummagatta</t>
  </si>
  <si>
    <t>Seventy Three</t>
  </si>
  <si>
    <t>Guntakal</t>
  </si>
  <si>
    <t>Seventy Four</t>
  </si>
  <si>
    <t>Hindupur</t>
  </si>
  <si>
    <t>Seventy Five</t>
  </si>
  <si>
    <t>Kadiri</t>
  </si>
  <si>
    <t>Seventy Six</t>
  </si>
  <si>
    <t>Kalyandurg</t>
  </si>
  <si>
    <t>Seventy Seven</t>
  </si>
  <si>
    <t>Kambadur</t>
  </si>
  <si>
    <t>Seventy Eight</t>
  </si>
  <si>
    <t>Kanaganapalle</t>
  </si>
  <si>
    <t>Seventy Nine</t>
  </si>
  <si>
    <t>Kanekal</t>
  </si>
  <si>
    <t>Eighty</t>
  </si>
  <si>
    <t>Kothacheruvu</t>
  </si>
  <si>
    <t>Eighty One</t>
  </si>
  <si>
    <t>Kudair</t>
  </si>
  <si>
    <t>Eighty Two</t>
  </si>
  <si>
    <t>Kundurpi</t>
  </si>
  <si>
    <t>Eighty Three</t>
  </si>
  <si>
    <t>Lepakshi</t>
  </si>
  <si>
    <t>Eighty Four</t>
  </si>
  <si>
    <t>Madakasira</t>
  </si>
  <si>
    <t>Eighty Five</t>
  </si>
  <si>
    <t>Mudigubba</t>
  </si>
  <si>
    <t>Eighty Six</t>
  </si>
  <si>
    <t>Nallacheruvu</t>
  </si>
  <si>
    <t>Eighty Seven</t>
  </si>
  <si>
    <t>Nallamada</t>
  </si>
  <si>
    <t>Eighty Eight</t>
  </si>
  <si>
    <t>Nambulipulikunta</t>
  </si>
  <si>
    <t>Eighty Nine</t>
  </si>
  <si>
    <t>Narpala</t>
  </si>
  <si>
    <t>Ninty</t>
  </si>
  <si>
    <t>Obuladevaracheruvu</t>
  </si>
  <si>
    <t>Ninty One</t>
  </si>
  <si>
    <t>Pamidi</t>
  </si>
  <si>
    <t>Ninty Two</t>
  </si>
  <si>
    <t>Parigi</t>
  </si>
  <si>
    <t>Ninty Three</t>
  </si>
  <si>
    <t>Peddapappur</t>
  </si>
  <si>
    <t>Ninty Four</t>
  </si>
  <si>
    <t>Peddavadugur</t>
  </si>
  <si>
    <t>Ninty Five</t>
  </si>
  <si>
    <t>Penu Konda</t>
  </si>
  <si>
    <t>Ninty Six</t>
  </si>
  <si>
    <t>Putlur</t>
  </si>
  <si>
    <t>Ninty Seven</t>
  </si>
  <si>
    <t>Puttaparthi</t>
  </si>
  <si>
    <t>Ninty Eight</t>
  </si>
  <si>
    <t>Ramagiri</t>
  </si>
  <si>
    <t>Ninty Nine</t>
  </si>
  <si>
    <t>Raptadu</t>
  </si>
  <si>
    <t>Rayadurg</t>
  </si>
  <si>
    <t>Special Compensatory Allowance to the employees working in scheduled Areas</t>
  </si>
  <si>
    <t>Roddam</t>
  </si>
  <si>
    <t>G.O.Ms.No.6, Finance (TA) Department, dated:12-01-2007</t>
  </si>
  <si>
    <t>Rolla</t>
  </si>
  <si>
    <t>Basic Pay</t>
  </si>
  <si>
    <t>RPS-2005</t>
  </si>
  <si>
    <t>Settur</t>
  </si>
  <si>
    <t>Singanamala</t>
  </si>
  <si>
    <t>Somandepalle</t>
  </si>
  <si>
    <t>Tadimarri</t>
  </si>
  <si>
    <t>Tadpatri</t>
  </si>
  <si>
    <t>Talupula</t>
  </si>
  <si>
    <t>Tanakal</t>
  </si>
  <si>
    <t>Uravakonda</t>
  </si>
  <si>
    <t>G.O.Ms.No.139 Dated:28-04-2010</t>
  </si>
  <si>
    <t>Vajrakarur</t>
  </si>
  <si>
    <t>RPS-2010</t>
  </si>
  <si>
    <t>Vidapanakal</t>
  </si>
  <si>
    <t>Yadiki</t>
  </si>
  <si>
    <t>Yellanur</t>
  </si>
  <si>
    <t>B Kothakota</t>
  </si>
  <si>
    <t>Baireddi Palle</t>
  </si>
  <si>
    <t xml:space="preserve">Bangarupalem </t>
  </si>
  <si>
    <t>Buchinaidu Khandriga</t>
  </si>
  <si>
    <t xml:space="preserve">Chandragiri </t>
  </si>
  <si>
    <t>Additional Houserent Allowance w.EF 01/04/2010</t>
  </si>
  <si>
    <t xml:space="preserve">Chinnagottigallu </t>
  </si>
  <si>
    <t>Basic Pay %</t>
  </si>
  <si>
    <t>Maximum</t>
  </si>
  <si>
    <t xml:space="preserve">Chittoor </t>
  </si>
  <si>
    <t xml:space="preserve">Chowdepalle </t>
  </si>
  <si>
    <t>Gangadhara Nellore</t>
  </si>
  <si>
    <t>Reader Allowance</t>
  </si>
  <si>
    <t>RPs-2005</t>
  </si>
  <si>
    <t xml:space="preserve">Gangavaram </t>
  </si>
  <si>
    <t>SGT</t>
  </si>
  <si>
    <t>Gudi Palle</t>
  </si>
  <si>
    <t>SA</t>
  </si>
  <si>
    <t xml:space="preserve">Gudipala </t>
  </si>
  <si>
    <t>JL</t>
  </si>
  <si>
    <t xml:space="preserve">Gurramkonda </t>
  </si>
  <si>
    <t xml:space="preserve">Irala </t>
  </si>
  <si>
    <t>PHC w.E.F 01/04/2010</t>
  </si>
  <si>
    <t xml:space="preserve">K V P Puram </t>
  </si>
  <si>
    <t xml:space="preserve">Kalakada </t>
  </si>
  <si>
    <t xml:space="preserve">Kalikiri </t>
  </si>
  <si>
    <t xml:space="preserve">Kambhamvaripalle </t>
  </si>
  <si>
    <t>CCA IN RPS-2010 w.E.F 01/02/2010</t>
  </si>
  <si>
    <t xml:space="preserve">Karvetinagar </t>
  </si>
  <si>
    <t>Greater Hyderabad Municipal Corporation</t>
  </si>
  <si>
    <t>Greater Visakhapatnam Municipal Corporation and Vijayawada</t>
  </si>
  <si>
    <t xml:space="preserve">Kuppam </t>
  </si>
  <si>
    <t xml:space="preserve">Kurabalakota </t>
  </si>
  <si>
    <t xml:space="preserve">Mandanpalle </t>
  </si>
  <si>
    <t xml:space="preserve">Mulakalacheruvu </t>
  </si>
  <si>
    <t xml:space="preserve">Nagalapuram </t>
  </si>
  <si>
    <t xml:space="preserve">Nagari </t>
  </si>
  <si>
    <t>Profession Tax GO.21, Dtd :7.1.08</t>
  </si>
  <si>
    <t xml:space="preserve">Narayanavanam </t>
  </si>
  <si>
    <t>Gross Salary</t>
  </si>
  <si>
    <t>ProfessionTAX</t>
  </si>
  <si>
    <t xml:space="preserve">Nimmanapalle </t>
  </si>
  <si>
    <t xml:space="preserve">Nindra  </t>
  </si>
  <si>
    <t xml:space="preserve">Pakala </t>
  </si>
  <si>
    <t xml:space="preserve">Palamaner </t>
  </si>
  <si>
    <t xml:space="preserve">Palasamudram </t>
  </si>
  <si>
    <t>Pedda Panjani</t>
  </si>
  <si>
    <t xml:space="preserve">Peddamandyam </t>
  </si>
  <si>
    <t xml:space="preserve">Peddathippasamudram </t>
  </si>
  <si>
    <t xml:space="preserve">Penumuru </t>
  </si>
  <si>
    <t xml:space="preserve">Pichatur </t>
  </si>
  <si>
    <t xml:space="preserve">Pileru </t>
  </si>
  <si>
    <t xml:space="preserve">Pulicherla </t>
  </si>
  <si>
    <t xml:space="preserve">Punganur </t>
  </si>
  <si>
    <t xml:space="preserve">Puthalapattu </t>
  </si>
  <si>
    <t xml:space="preserve">Puttur </t>
  </si>
  <si>
    <t>Rama Kuppam</t>
  </si>
  <si>
    <t xml:space="preserve">Ramachandrapuram </t>
  </si>
  <si>
    <t xml:space="preserve">Ramasamudram </t>
  </si>
  <si>
    <t xml:space="preserve">Renigunta </t>
  </si>
  <si>
    <t xml:space="preserve">Rompicherla </t>
  </si>
  <si>
    <t>Santhi Puram</t>
  </si>
  <si>
    <t xml:space="preserve">Satyavedu </t>
  </si>
  <si>
    <t xml:space="preserve">Sodam </t>
  </si>
  <si>
    <t xml:space="preserve">Somala </t>
  </si>
  <si>
    <t xml:space="preserve">Srikalahasti </t>
  </si>
  <si>
    <t xml:space="preserve">Srirangarajapuram </t>
  </si>
  <si>
    <t xml:space="preserve">Thamballapalle </t>
  </si>
  <si>
    <t xml:space="preserve">Thavanampalle </t>
  </si>
  <si>
    <t xml:space="preserve">Thottambedu </t>
  </si>
  <si>
    <t>Tirupati Rural</t>
  </si>
  <si>
    <t>Tirupati Urban</t>
  </si>
  <si>
    <t xml:space="preserve">Vadamalapeta </t>
  </si>
  <si>
    <t xml:space="preserve">Varadaiahpalem </t>
  </si>
  <si>
    <t xml:space="preserve">Vayalpad </t>
  </si>
  <si>
    <t>Venkatagiri Kota</t>
  </si>
  <si>
    <t>Vijaya Puram</t>
  </si>
  <si>
    <t xml:space="preserve">Yadamari </t>
  </si>
  <si>
    <t xml:space="preserve">Yerpedu </t>
  </si>
  <si>
    <t xml:space="preserve">Yerravaripalem </t>
  </si>
  <si>
    <t xml:space="preserve">Addateegala </t>
  </si>
  <si>
    <t xml:space="preserve">Ainavilli </t>
  </si>
  <si>
    <t xml:space="preserve">Alamuru </t>
  </si>
  <si>
    <t xml:space="preserve">Allavaram </t>
  </si>
  <si>
    <t xml:space="preserve">Amalapuram </t>
  </si>
  <si>
    <t xml:space="preserve">Ambajipeta </t>
  </si>
  <si>
    <t xml:space="preserve">Anaparthi </t>
  </si>
  <si>
    <t xml:space="preserve">Atreyapuram </t>
  </si>
  <si>
    <t xml:space="preserve">Biccavolu </t>
  </si>
  <si>
    <t xml:space="preserve">Devipatnam </t>
  </si>
  <si>
    <t xml:space="preserve">Gandepalle </t>
  </si>
  <si>
    <t xml:space="preserve">Gokavaram </t>
  </si>
  <si>
    <t xml:space="preserve">Gollaprolu </t>
  </si>
  <si>
    <t>I Polavaram</t>
  </si>
  <si>
    <t xml:space="preserve">Jaggampeta </t>
  </si>
  <si>
    <t xml:space="preserve">Kadiam </t>
  </si>
  <si>
    <t xml:space="preserve">Kajuluru </t>
  </si>
  <si>
    <t>Kakinada (Rural)</t>
  </si>
  <si>
    <t>Kakunada (Urban)</t>
  </si>
  <si>
    <t xml:space="preserve">Kapileswarapuram </t>
  </si>
  <si>
    <t xml:space="preserve">Karapa </t>
  </si>
  <si>
    <t xml:space="preserve">Katrenikona </t>
  </si>
  <si>
    <t xml:space="preserve">Kirlampudi </t>
  </si>
  <si>
    <t xml:space="preserve">Korukonda </t>
  </si>
  <si>
    <t xml:space="preserve">Kotananduru </t>
  </si>
  <si>
    <t xml:space="preserve">Kothapalli </t>
  </si>
  <si>
    <t xml:space="preserve">Kothapeta </t>
  </si>
  <si>
    <t xml:space="preserve">Malikipuram </t>
  </si>
  <si>
    <t xml:space="preserve">Mamidikuduru </t>
  </si>
  <si>
    <t xml:space="preserve">Mandapeta </t>
  </si>
  <si>
    <t xml:space="preserve">Maredumilli </t>
  </si>
  <si>
    <t xml:space="preserve">Mummidivaram </t>
  </si>
  <si>
    <t>P Gannavaram</t>
  </si>
  <si>
    <t xml:space="preserve">Pamarru </t>
  </si>
  <si>
    <t xml:space="preserve">Pedapudi </t>
  </si>
  <si>
    <t xml:space="preserve">Peddapuram </t>
  </si>
  <si>
    <t xml:space="preserve">Pithapuram </t>
  </si>
  <si>
    <t xml:space="preserve">Prathipadu </t>
  </si>
  <si>
    <t xml:space="preserve">Rajahmundry(Rural) </t>
  </si>
  <si>
    <t xml:space="preserve">Rajahmundry(Urban) </t>
  </si>
  <si>
    <t xml:space="preserve">Rajanagaram </t>
  </si>
  <si>
    <t xml:space="preserve">Rajavommangi </t>
  </si>
  <si>
    <t xml:space="preserve">Rampachodavaram </t>
  </si>
  <si>
    <t xml:space="preserve">Rangampeta </t>
  </si>
  <si>
    <t xml:space="preserve">Ravulapalem </t>
  </si>
  <si>
    <t xml:space="preserve">Rayavaram </t>
  </si>
  <si>
    <t xml:space="preserve">Razole </t>
  </si>
  <si>
    <t xml:space="preserve">Sakhinetipalle </t>
  </si>
  <si>
    <t xml:space="preserve">Samalkota </t>
  </si>
  <si>
    <t xml:space="preserve">Sankhavaram </t>
  </si>
  <si>
    <t xml:space="preserve">Seethanagaram </t>
  </si>
  <si>
    <t xml:space="preserve">Thallarevu </t>
  </si>
  <si>
    <t xml:space="preserve">Thondangi </t>
  </si>
  <si>
    <t xml:space="preserve">Tuni </t>
  </si>
  <si>
    <t xml:space="preserve">Uppalaguptam </t>
  </si>
  <si>
    <t>Y Ramavaram</t>
  </si>
  <si>
    <t xml:space="preserve">Yeleswaram </t>
  </si>
  <si>
    <t>Achampeta</t>
  </si>
  <si>
    <t>Amaravathi</t>
  </si>
  <si>
    <t>Amruthalur</t>
  </si>
  <si>
    <t>Bapatla</t>
  </si>
  <si>
    <t>Bellamkonda</t>
  </si>
  <si>
    <t>Bhattiprolu</t>
  </si>
  <si>
    <t>Bollapalle</t>
  </si>
  <si>
    <t>Chebrole</t>
  </si>
  <si>
    <t>Cherukupalle</t>
  </si>
  <si>
    <t>Chilakaluripet</t>
  </si>
  <si>
    <t>Dachepalle</t>
  </si>
  <si>
    <t>Duggirala</t>
  </si>
  <si>
    <t>Durgi</t>
  </si>
  <si>
    <t>Edlapadu</t>
  </si>
  <si>
    <t>Gurazala</t>
  </si>
  <si>
    <t>Ipuru</t>
  </si>
  <si>
    <t>Kakumanu</t>
  </si>
  <si>
    <t>Karempudi</t>
  </si>
  <si>
    <t>Karlapalem</t>
  </si>
  <si>
    <t>Kollipara</t>
  </si>
  <si>
    <t>Kollur</t>
  </si>
  <si>
    <t>Krosuru</t>
  </si>
  <si>
    <t>Machavaram</t>
  </si>
  <si>
    <t>Macherla</t>
  </si>
  <si>
    <t>Mangalagiri</t>
  </si>
  <si>
    <t>Medikonduru</t>
  </si>
  <si>
    <t>Muppalla</t>
  </si>
  <si>
    <t>Nadendla</t>
  </si>
  <si>
    <t>Nagaram</t>
  </si>
  <si>
    <t>Nakarikallu</t>
  </si>
  <si>
    <t>Narasaraopeta</t>
  </si>
  <si>
    <t>Nizampatnam</t>
  </si>
  <si>
    <t>Nuzendla</t>
  </si>
  <si>
    <t>Pedakakani</t>
  </si>
  <si>
    <t>Pedakurapadu</t>
  </si>
  <si>
    <t>Pedanandipadu</t>
  </si>
  <si>
    <t>Phirangipuram</t>
  </si>
  <si>
    <t>Piduguralla</t>
  </si>
  <si>
    <t>Pittalavanipalem</t>
  </si>
  <si>
    <t>Ponnur</t>
  </si>
  <si>
    <t>Prathipadu</t>
  </si>
  <si>
    <t>Rajupalem</t>
  </si>
  <si>
    <t>Rentacrintala</t>
  </si>
  <si>
    <t>Repalle</t>
  </si>
  <si>
    <t>Rompicherla</t>
  </si>
  <si>
    <t>Sattenapalle</t>
  </si>
  <si>
    <t>Savalyapuram</t>
  </si>
  <si>
    <t>Tadikonda</t>
  </si>
  <si>
    <t>Tenali</t>
  </si>
  <si>
    <t>Thadepalle</t>
  </si>
  <si>
    <t>Thullur</t>
  </si>
  <si>
    <t>Tsundur</t>
  </si>
  <si>
    <t>Vatticherukuru</t>
  </si>
  <si>
    <t>Veldurthi</t>
  </si>
  <si>
    <t>Vemuru</t>
  </si>
  <si>
    <t>Vinukonda</t>
  </si>
  <si>
    <t xml:space="preserve">Amberpet </t>
  </si>
  <si>
    <t xml:space="preserve">Ameerpet </t>
  </si>
  <si>
    <t xml:space="preserve">Asifnagar </t>
  </si>
  <si>
    <t xml:space="preserve">Bandlaguda </t>
  </si>
  <si>
    <t xml:space="preserve">Bhadurpura </t>
  </si>
  <si>
    <t xml:space="preserve">Charminar </t>
  </si>
  <si>
    <t xml:space="preserve">Golconda </t>
  </si>
  <si>
    <t xml:space="preserve">Himayatnagar </t>
  </si>
  <si>
    <t xml:space="preserve">Khairtabad </t>
  </si>
  <si>
    <t xml:space="preserve">Marredpally </t>
  </si>
  <si>
    <t xml:space="preserve">Musheerabad </t>
  </si>
  <si>
    <t xml:space="preserve">Nampally </t>
  </si>
  <si>
    <t xml:space="preserve">Saidabad </t>
  </si>
  <si>
    <t xml:space="preserve">Secunderabad </t>
  </si>
  <si>
    <t xml:space="preserve">Shaikpet </t>
  </si>
  <si>
    <t xml:space="preserve">Tirumalgherry </t>
  </si>
  <si>
    <t xml:space="preserve">Bejjanki </t>
  </si>
  <si>
    <t xml:space="preserve">Bheemadevarpalle </t>
  </si>
  <si>
    <t xml:space="preserve">Boinpalle </t>
  </si>
  <si>
    <t xml:space="preserve">Chandurthi </t>
  </si>
  <si>
    <t xml:space="preserve">Chigurumamidi </t>
  </si>
  <si>
    <t xml:space="preserve">Choppadandi </t>
  </si>
  <si>
    <t xml:space="preserve">Dharmapuri </t>
  </si>
  <si>
    <t xml:space="preserve">Dharmaram </t>
  </si>
  <si>
    <t xml:space="preserve">Elkathurthi </t>
  </si>
  <si>
    <t xml:space="preserve">Ellanthakunta </t>
  </si>
  <si>
    <t xml:space="preserve">Gambhiraopet </t>
  </si>
  <si>
    <t xml:space="preserve">Gangadhara </t>
  </si>
  <si>
    <t xml:space="preserve">Gollapalle </t>
  </si>
  <si>
    <t xml:space="preserve">Husnabad </t>
  </si>
  <si>
    <t xml:space="preserve">Huzurabad </t>
  </si>
  <si>
    <t xml:space="preserve">Ibrahimpatnam </t>
  </si>
  <si>
    <t xml:space="preserve">Jagtial </t>
  </si>
  <si>
    <t xml:space="preserve">Jammikunta </t>
  </si>
  <si>
    <t xml:space="preserve">Julapalle </t>
  </si>
  <si>
    <t xml:space="preserve">Kamalapur </t>
  </si>
  <si>
    <t xml:space="preserve">Kamanpur </t>
  </si>
  <si>
    <t xml:space="preserve">Karimnagar </t>
  </si>
  <si>
    <t xml:space="preserve">Kataram </t>
  </si>
  <si>
    <t xml:space="preserve">Kathlapur </t>
  </si>
  <si>
    <t xml:space="preserve">Kesavapatnam </t>
  </si>
  <si>
    <t xml:space="preserve">Kodimial </t>
  </si>
  <si>
    <t xml:space="preserve">Koheda </t>
  </si>
  <si>
    <t xml:space="preserve">Konaraopeta </t>
  </si>
  <si>
    <t xml:space="preserve">Koratla </t>
  </si>
  <si>
    <t xml:space="preserve">Mahadevpur </t>
  </si>
  <si>
    <t xml:space="preserve">Malharrao </t>
  </si>
  <si>
    <t xml:space="preserve">Mallapur </t>
  </si>
  <si>
    <t xml:space="preserve">Mallial </t>
  </si>
  <si>
    <t xml:space="preserve">Manakondur </t>
  </si>
  <si>
    <t xml:space="preserve">Manthani </t>
  </si>
  <si>
    <t xml:space="preserve">Medipalle </t>
  </si>
  <si>
    <t xml:space="preserve">Metpalle </t>
  </si>
  <si>
    <t xml:space="preserve">Mustabad </t>
  </si>
  <si>
    <t>Mutharam Mahadevpur</t>
  </si>
  <si>
    <t>Mutharam Manthani</t>
  </si>
  <si>
    <t xml:space="preserve">Odela </t>
  </si>
  <si>
    <t xml:space="preserve">Peddapalle </t>
  </si>
  <si>
    <t xml:space="preserve">Pegadapalle </t>
  </si>
  <si>
    <t xml:space="preserve">Raikal </t>
  </si>
  <si>
    <t xml:space="preserve">Ramadugu </t>
  </si>
  <si>
    <t xml:space="preserve">Ramagundam </t>
  </si>
  <si>
    <t xml:space="preserve">Saidapur </t>
  </si>
  <si>
    <t xml:space="preserve">Sirsilla </t>
  </si>
  <si>
    <t xml:space="preserve">Srirampur </t>
  </si>
  <si>
    <t xml:space="preserve">Sultanabad </t>
  </si>
  <si>
    <t xml:space="preserve">Thimmapur </t>
  </si>
  <si>
    <t xml:space="preserve">Veenavanka </t>
  </si>
  <si>
    <t xml:space="preserve">Velgatoor </t>
  </si>
  <si>
    <t xml:space="preserve">Vemulawada </t>
  </si>
  <si>
    <t>Yella Reddi Peta</t>
  </si>
  <si>
    <t xml:space="preserve">Aswapuram </t>
  </si>
  <si>
    <t xml:space="preserve">Aswaraopeta </t>
  </si>
  <si>
    <t xml:space="preserve">Bayyaram </t>
  </si>
  <si>
    <t xml:space="preserve">Bhadrachalam </t>
  </si>
  <si>
    <t xml:space="preserve">Bonakal </t>
  </si>
  <si>
    <t xml:space="preserve">Burgampadu </t>
  </si>
  <si>
    <t xml:space="preserve">Chandrugonda </t>
  </si>
  <si>
    <t xml:space="preserve">Cherla </t>
  </si>
  <si>
    <t xml:space="preserve">Chinthakani </t>
  </si>
  <si>
    <t xml:space="preserve">Chintur </t>
  </si>
  <si>
    <t xml:space="preserve">Dammapeta </t>
  </si>
  <si>
    <t xml:space="preserve">Dummugudem </t>
  </si>
  <si>
    <t xml:space="preserve">Enkuru </t>
  </si>
  <si>
    <t xml:space="preserve">Garla </t>
  </si>
  <si>
    <t xml:space="preserve">Gundala </t>
  </si>
  <si>
    <t xml:space="preserve">Julurpad </t>
  </si>
  <si>
    <t xml:space="preserve">Kalluru </t>
  </si>
  <si>
    <t xml:space="preserve">Kamepalle </t>
  </si>
  <si>
    <t>Khammam Rural</t>
  </si>
  <si>
    <t>Khammam Urban</t>
  </si>
  <si>
    <t xml:space="preserve">Konijerla </t>
  </si>
  <si>
    <t xml:space="preserve">Kothagudem </t>
  </si>
  <si>
    <t xml:space="preserve">Kukunoor </t>
  </si>
  <si>
    <t xml:space="preserve">Kunavaram </t>
  </si>
  <si>
    <t xml:space="preserve">Kusumanchi </t>
  </si>
  <si>
    <t xml:space="preserve">Madhira </t>
  </si>
  <si>
    <t xml:space="preserve">Manuguru </t>
  </si>
  <si>
    <t xml:space="preserve">Mudigonda </t>
  </si>
  <si>
    <t xml:space="preserve">Mulakalapalle </t>
  </si>
  <si>
    <t xml:space="preserve">Nelakondapalle </t>
  </si>
  <si>
    <t xml:space="preserve">Palawancha </t>
  </si>
  <si>
    <t xml:space="preserve">Penuballi </t>
  </si>
  <si>
    <t xml:space="preserve">Pinapaka </t>
  </si>
  <si>
    <t xml:space="preserve">Sathupalle </t>
  </si>
  <si>
    <t xml:space="preserve">Singareni </t>
  </si>
  <si>
    <t xml:space="preserve">Tekulapalle </t>
  </si>
  <si>
    <t xml:space="preserve">Thallada </t>
  </si>
  <si>
    <t xml:space="preserve">Thirumalayapalem </t>
  </si>
  <si>
    <t xml:space="preserve">Vararamachandrapuram </t>
  </si>
  <si>
    <t xml:space="preserve">Velairpad </t>
  </si>
  <si>
    <t xml:space="preserve">Vemsoor </t>
  </si>
  <si>
    <t xml:space="preserve">Venkatapuram </t>
  </si>
  <si>
    <t xml:space="preserve">Wazeed </t>
  </si>
  <si>
    <t xml:space="preserve">Wyra </t>
  </si>
  <si>
    <t xml:space="preserve">Yellandu </t>
  </si>
  <si>
    <t xml:space="preserve">Yerrupalem </t>
  </si>
  <si>
    <t>A Konduru</t>
  </si>
  <si>
    <t xml:space="preserve">Agiripalle </t>
  </si>
  <si>
    <t xml:space="preserve">Avanigadda </t>
  </si>
  <si>
    <t xml:space="preserve">Bantumilli </t>
  </si>
  <si>
    <t xml:space="preserve">Bapulapadu </t>
  </si>
  <si>
    <t xml:space="preserve">Challapalli </t>
  </si>
  <si>
    <t xml:space="preserve">Chandarlapadu </t>
  </si>
  <si>
    <t xml:space="preserve">Chatrai </t>
  </si>
  <si>
    <t>G Konduru</t>
  </si>
  <si>
    <t xml:space="preserve">Gampalagudem </t>
  </si>
  <si>
    <t xml:space="preserve">Gannavaram </t>
  </si>
  <si>
    <t xml:space="preserve">Ghantasala </t>
  </si>
  <si>
    <t xml:space="preserve">Gudivada </t>
  </si>
  <si>
    <t xml:space="preserve">Gudlavalleru </t>
  </si>
  <si>
    <t xml:space="preserve">Gudur </t>
  </si>
  <si>
    <t xml:space="preserve">Jaggayyapeta </t>
  </si>
  <si>
    <t xml:space="preserve">Kaikalur </t>
  </si>
  <si>
    <t xml:space="preserve">Kalidindi </t>
  </si>
  <si>
    <t>Kanchika Cherla</t>
  </si>
  <si>
    <t xml:space="preserve">Kankipadu </t>
  </si>
  <si>
    <t xml:space="preserve">Koduru </t>
  </si>
  <si>
    <t xml:space="preserve">Kruthivennu </t>
  </si>
  <si>
    <t xml:space="preserve">Machilipatnam </t>
  </si>
  <si>
    <t xml:space="preserve">Mandavalli </t>
  </si>
  <si>
    <t xml:space="preserve">Mopidevi </t>
  </si>
  <si>
    <t xml:space="preserve">Movva </t>
  </si>
  <si>
    <t xml:space="preserve">Mudinepalli </t>
  </si>
  <si>
    <t xml:space="preserve">Musunuru </t>
  </si>
  <si>
    <t xml:space="preserve">Mylavaram </t>
  </si>
  <si>
    <t xml:space="preserve">Nagayalanka </t>
  </si>
  <si>
    <t xml:space="preserve">Nandigama </t>
  </si>
  <si>
    <t xml:space="preserve">Nandivada </t>
  </si>
  <si>
    <t xml:space="preserve">Nuzvid </t>
  </si>
  <si>
    <t xml:space="preserve">Pamidimukkala </t>
  </si>
  <si>
    <t xml:space="preserve">Pedana </t>
  </si>
  <si>
    <t xml:space="preserve">Pedaparupudi </t>
  </si>
  <si>
    <t xml:space="preserve">Penamaluru </t>
  </si>
  <si>
    <t xml:space="preserve">Penuganchiprolu </t>
  </si>
  <si>
    <t xml:space="preserve">Reddigudem </t>
  </si>
  <si>
    <t xml:space="preserve">Thotlavalluru </t>
  </si>
  <si>
    <t xml:space="preserve">Tiruvuru </t>
  </si>
  <si>
    <t xml:space="preserve">Unguturu </t>
  </si>
  <si>
    <t xml:space="preserve">Vatsavai </t>
  </si>
  <si>
    <t xml:space="preserve">Veerullapadu </t>
  </si>
  <si>
    <t>Vijayawada Rural</t>
  </si>
  <si>
    <t>Vijayawada Urban</t>
  </si>
  <si>
    <t xml:space="preserve">Vissannapet </t>
  </si>
  <si>
    <t xml:space="preserve">Vuyyuru </t>
  </si>
  <si>
    <t xml:space="preserve">Adoni </t>
  </si>
  <si>
    <t xml:space="preserve">Allagadda </t>
  </si>
  <si>
    <t xml:space="preserve">Alur </t>
  </si>
  <si>
    <t xml:space="preserve">Aspari </t>
  </si>
  <si>
    <t xml:space="preserve">Atmakur </t>
  </si>
  <si>
    <t xml:space="preserve">Banaganapalle </t>
  </si>
  <si>
    <t>Bandi Atmakur</t>
  </si>
  <si>
    <t xml:space="preserve">Bethamcherla </t>
  </si>
  <si>
    <t xml:space="preserve">C.Belagal </t>
  </si>
  <si>
    <t xml:space="preserve">Chagalamarri </t>
  </si>
  <si>
    <t xml:space="preserve">Chippagiri </t>
  </si>
  <si>
    <t xml:space="preserve">Devanakonda </t>
  </si>
  <si>
    <t xml:space="preserve">Dhone </t>
  </si>
  <si>
    <t xml:space="preserve">Dornipadu </t>
  </si>
  <si>
    <t xml:space="preserve">Gadivemula </t>
  </si>
  <si>
    <t xml:space="preserve">Gonegandla </t>
  </si>
  <si>
    <t xml:space="preserve">Gospadu </t>
  </si>
  <si>
    <t xml:space="preserve">Halaharvi </t>
  </si>
  <si>
    <t xml:space="preserve">Holagunda </t>
  </si>
  <si>
    <t>Jupadu Bungalow</t>
  </si>
  <si>
    <t xml:space="preserve">Kallur </t>
  </si>
  <si>
    <t xml:space="preserve">Kodumur </t>
  </si>
  <si>
    <t xml:space="preserve">Koilkuntla </t>
  </si>
  <si>
    <t xml:space="preserve">Kolimigundla </t>
  </si>
  <si>
    <t xml:space="preserve">Kosigi </t>
  </si>
  <si>
    <t xml:space="preserve">Kothapalle </t>
  </si>
  <si>
    <t xml:space="preserve">Kowthalam </t>
  </si>
  <si>
    <t xml:space="preserve">Krishnagiri </t>
  </si>
  <si>
    <t xml:space="preserve">Kurnool </t>
  </si>
  <si>
    <t>Maddikera East</t>
  </si>
  <si>
    <t xml:space="preserve">Mahanandi </t>
  </si>
  <si>
    <t xml:space="preserve">Mantralayam </t>
  </si>
  <si>
    <t xml:space="preserve">Midthur </t>
  </si>
  <si>
    <t xml:space="preserve">Nandavaram </t>
  </si>
  <si>
    <t>Nandi Kotkur</t>
  </si>
  <si>
    <t xml:space="preserve">Nandyal </t>
  </si>
  <si>
    <t xml:space="preserve">Orvakal </t>
  </si>
  <si>
    <t xml:space="preserve">Owk </t>
  </si>
  <si>
    <t xml:space="preserve">Pagidyala </t>
  </si>
  <si>
    <t xml:space="preserve">Pamulapadu </t>
  </si>
  <si>
    <t xml:space="preserve">Panyam </t>
  </si>
  <si>
    <t xml:space="preserve">Pattikanda </t>
  </si>
  <si>
    <t xml:space="preserve">Peapally </t>
  </si>
  <si>
    <t>Pedda Kadubur</t>
  </si>
  <si>
    <t xml:space="preserve">Rudravaram </t>
  </si>
  <si>
    <t xml:space="preserve">Sanjamala </t>
  </si>
  <si>
    <t xml:space="preserve">Sirvel </t>
  </si>
  <si>
    <t xml:space="preserve">Srisailam </t>
  </si>
  <si>
    <t xml:space="preserve">Tuggali </t>
  </si>
  <si>
    <t xml:space="preserve">Uyyalawada </t>
  </si>
  <si>
    <t xml:space="preserve">Veldurthi </t>
  </si>
  <si>
    <t xml:space="preserve">Velgodu </t>
  </si>
  <si>
    <t xml:space="preserve">Yemmiganur </t>
  </si>
  <si>
    <t xml:space="preserve">Achampeta </t>
  </si>
  <si>
    <t xml:space="preserve">Addakal </t>
  </si>
  <si>
    <t xml:space="preserve">Aiza </t>
  </si>
  <si>
    <t xml:space="preserve">Alampur </t>
  </si>
  <si>
    <t xml:space="preserve">Amangal </t>
  </si>
  <si>
    <t xml:space="preserve">Amrabad </t>
  </si>
  <si>
    <t xml:space="preserve">Balanagar </t>
  </si>
  <si>
    <t xml:space="preserve">Balmoor </t>
  </si>
  <si>
    <t xml:space="preserve">Bhoothpur </t>
  </si>
  <si>
    <t xml:space="preserve">Bijinapalle </t>
  </si>
  <si>
    <t xml:space="preserve">Bomraspeta </t>
  </si>
  <si>
    <t>Chinna Chinta Kunta</t>
  </si>
  <si>
    <t xml:space="preserve">Damaragidda </t>
  </si>
  <si>
    <t xml:space="preserve">Devarkadara </t>
  </si>
  <si>
    <t xml:space="preserve">Dhanwada </t>
  </si>
  <si>
    <t xml:space="preserve">Dharur </t>
  </si>
  <si>
    <t xml:space="preserve">Doulatabad </t>
  </si>
  <si>
    <t xml:space="preserve">Farooqnagar </t>
  </si>
  <si>
    <t xml:space="preserve">Gadwal </t>
  </si>
  <si>
    <t xml:space="preserve">Ghanpur </t>
  </si>
  <si>
    <t xml:space="preserve">Ghattu </t>
  </si>
  <si>
    <t xml:space="preserve">Gopalpeta </t>
  </si>
  <si>
    <t xml:space="preserve">Hanwada </t>
  </si>
  <si>
    <t xml:space="preserve">Itikyal </t>
  </si>
  <si>
    <t xml:space="preserve">Jadcherla </t>
  </si>
  <si>
    <t xml:space="preserve">Kalwakurthy </t>
  </si>
  <si>
    <t xml:space="preserve">Keshampeta </t>
  </si>
  <si>
    <t xml:space="preserve">Kodair </t>
  </si>
  <si>
    <t xml:space="preserve">Kodangal </t>
  </si>
  <si>
    <t xml:space="preserve">Koilkonda </t>
  </si>
  <si>
    <t xml:space="preserve">Kollapur </t>
  </si>
  <si>
    <t xml:space="preserve">Kondurg </t>
  </si>
  <si>
    <t xml:space="preserve">Kosgi </t>
  </si>
  <si>
    <t xml:space="preserve">Kothakota </t>
  </si>
  <si>
    <t xml:space="preserve">Kothur </t>
  </si>
  <si>
    <t xml:space="preserve">Lingal </t>
  </si>
  <si>
    <t xml:space="preserve">Maddur </t>
  </si>
  <si>
    <t xml:space="preserve">Madgul </t>
  </si>
  <si>
    <t xml:space="preserve">Maganoor </t>
  </si>
  <si>
    <t xml:space="preserve">Mahbubnagar </t>
  </si>
  <si>
    <t xml:space="preserve">Makthal </t>
  </si>
  <si>
    <t xml:space="preserve">Maldakal </t>
  </si>
  <si>
    <t xml:space="preserve">Manopadu </t>
  </si>
  <si>
    <t xml:space="preserve">Midjil </t>
  </si>
  <si>
    <t>Nagar Kurnool</t>
  </si>
  <si>
    <t xml:space="preserve">Narayanpet </t>
  </si>
  <si>
    <t xml:space="preserve">Narva </t>
  </si>
  <si>
    <t xml:space="preserve">Nawabpet </t>
  </si>
  <si>
    <t xml:space="preserve">Pangal </t>
  </si>
  <si>
    <t xml:space="preserve">Pebbair </t>
  </si>
  <si>
    <t xml:space="preserve">Peddakothapalle </t>
  </si>
  <si>
    <t xml:space="preserve">Peddamandadi </t>
  </si>
  <si>
    <t xml:space="preserve">Tadoor </t>
  </si>
  <si>
    <t xml:space="preserve">Talakondapalle </t>
  </si>
  <si>
    <t xml:space="preserve">Telkapalle </t>
  </si>
  <si>
    <t xml:space="preserve">Thimmajipeta </t>
  </si>
  <si>
    <t xml:space="preserve">Uppununthala </t>
  </si>
  <si>
    <t xml:space="preserve">Utkoor </t>
  </si>
  <si>
    <t xml:space="preserve">Vangoor </t>
  </si>
  <si>
    <t xml:space="preserve">Veepangandla </t>
  </si>
  <si>
    <t xml:space="preserve">Veldanda </t>
  </si>
  <si>
    <t xml:space="preserve">Waddepalle </t>
  </si>
  <si>
    <t xml:space="preserve">Wanaparthy </t>
  </si>
  <si>
    <t xml:space="preserve">Alladurg </t>
  </si>
  <si>
    <t xml:space="preserve">Andole </t>
  </si>
  <si>
    <t xml:space="preserve">Chegunta </t>
  </si>
  <si>
    <t>Chinna Kodur</t>
  </si>
  <si>
    <t xml:space="preserve">Doultabad </t>
  </si>
  <si>
    <t xml:space="preserve">Dubbak </t>
  </si>
  <si>
    <t xml:space="preserve">Gajwel </t>
  </si>
  <si>
    <t xml:space="preserve">Hathnoora </t>
  </si>
  <si>
    <t xml:space="preserve">Jagdevpur </t>
  </si>
  <si>
    <t xml:space="preserve">Jharasangam </t>
  </si>
  <si>
    <t xml:space="preserve">Jinnaram </t>
  </si>
  <si>
    <t xml:space="preserve">Kalher </t>
  </si>
  <si>
    <t xml:space="preserve">Kangti </t>
  </si>
  <si>
    <t xml:space="preserve">Kohir </t>
  </si>
  <si>
    <t xml:space="preserve">Kondapak </t>
  </si>
  <si>
    <t xml:space="preserve">Kondapur </t>
  </si>
  <si>
    <t xml:space="preserve">Kowdipalle </t>
  </si>
  <si>
    <t xml:space="preserve">Kulcharam </t>
  </si>
  <si>
    <t xml:space="preserve">Manoor </t>
  </si>
  <si>
    <t xml:space="preserve">Medak </t>
  </si>
  <si>
    <t xml:space="preserve">Mirdoddi </t>
  </si>
  <si>
    <t xml:space="preserve">Mulug </t>
  </si>
  <si>
    <t xml:space="preserve">Munpalle </t>
  </si>
  <si>
    <t xml:space="preserve">Nanganur </t>
  </si>
  <si>
    <t xml:space="preserve">Narayankhed </t>
  </si>
  <si>
    <t xml:space="preserve">Narsapur </t>
  </si>
  <si>
    <t xml:space="preserve">Nyalkal </t>
  </si>
  <si>
    <t xml:space="preserve">Papannapet </t>
  </si>
  <si>
    <t xml:space="preserve">Patancheru </t>
  </si>
  <si>
    <t xml:space="preserve">Pulkal </t>
  </si>
  <si>
    <t xml:space="preserve">Raikode </t>
  </si>
  <si>
    <t xml:space="preserve">Ramayampet </t>
  </si>
  <si>
    <t xml:space="preserve">Regode </t>
  </si>
  <si>
    <t xml:space="preserve">Sadasivpet </t>
  </si>
  <si>
    <t xml:space="preserve">Sangareddy </t>
  </si>
  <si>
    <t>Shankarampet (A)</t>
  </si>
  <si>
    <t>Shankarampet (R)</t>
  </si>
  <si>
    <t xml:space="preserve">Shivampet </t>
  </si>
  <si>
    <t xml:space="preserve">Siddipet </t>
  </si>
  <si>
    <t xml:space="preserve">Tekmal </t>
  </si>
  <si>
    <t xml:space="preserve">Tupran </t>
  </si>
  <si>
    <t xml:space="preserve">Wargal </t>
  </si>
  <si>
    <t xml:space="preserve">Yeldurthy </t>
  </si>
  <si>
    <t xml:space="preserve">Zahirabad </t>
  </si>
  <si>
    <t xml:space="preserve">Alair </t>
  </si>
  <si>
    <t xml:space="preserve">Anumula </t>
  </si>
  <si>
    <t>Atmakur (M)</t>
  </si>
  <si>
    <t>Atmakur (S)</t>
  </si>
  <si>
    <t xml:space="preserve">Bhuvanagiri </t>
  </si>
  <si>
    <t xml:space="preserve">Bibinagar </t>
  </si>
  <si>
    <t xml:space="preserve">Bommalaramaram </t>
  </si>
  <si>
    <t>Chandam Pet</t>
  </si>
  <si>
    <t xml:space="preserve">Chandur </t>
  </si>
  <si>
    <t xml:space="preserve">Chilkur </t>
  </si>
  <si>
    <t>Chintha Palle</t>
  </si>
  <si>
    <t xml:space="preserve">Chityala </t>
  </si>
  <si>
    <t xml:space="preserve">Chivvemla </t>
  </si>
  <si>
    <t xml:space="preserve">Choutuppal </t>
  </si>
  <si>
    <t xml:space="preserve">Dameracherla </t>
  </si>
  <si>
    <t xml:space="preserve">Devarakonda </t>
  </si>
  <si>
    <t>Garide Palle</t>
  </si>
  <si>
    <t>Gundla Palle</t>
  </si>
  <si>
    <t xml:space="preserve">Gurrampode </t>
  </si>
  <si>
    <t xml:space="preserve">Huzurnagar </t>
  </si>
  <si>
    <t>Jaji Reddi Gudem</t>
  </si>
  <si>
    <t xml:space="preserve">Kangal </t>
  </si>
  <si>
    <t xml:space="preserve">Kattangoor </t>
  </si>
  <si>
    <t xml:space="preserve">Kethepalle </t>
  </si>
  <si>
    <t xml:space="preserve">Kodad </t>
  </si>
  <si>
    <t>M Turkapalle</t>
  </si>
  <si>
    <t>Marri Guda</t>
  </si>
  <si>
    <t xml:space="preserve">Mattampalle </t>
  </si>
  <si>
    <t xml:space="preserve">Mellachervu </t>
  </si>
  <si>
    <t xml:space="preserve">Miryalaguda </t>
  </si>
  <si>
    <t xml:space="preserve">Mothey </t>
  </si>
  <si>
    <t xml:space="preserve">Mothkur </t>
  </si>
  <si>
    <t xml:space="preserve">Munagala </t>
  </si>
  <si>
    <t xml:space="preserve">Munugode </t>
  </si>
  <si>
    <t xml:space="preserve">Nadigudem </t>
  </si>
  <si>
    <t xml:space="preserve">Nakrekal </t>
  </si>
  <si>
    <t xml:space="preserve">Nalgonda </t>
  </si>
  <si>
    <t xml:space="preserve">Nampalle </t>
  </si>
  <si>
    <t xml:space="preserve">Narayanapur </t>
  </si>
  <si>
    <t xml:space="preserve">Narketpalle </t>
  </si>
  <si>
    <t>Nered Cherla</t>
  </si>
  <si>
    <t xml:space="preserve">Nidamanur </t>
  </si>
  <si>
    <t xml:space="preserve">Nuthankal </t>
  </si>
  <si>
    <t>Pedda Adiserlapalle</t>
  </si>
  <si>
    <t xml:space="preserve">Peddavura </t>
  </si>
  <si>
    <t xml:space="preserve">Penpahad </t>
  </si>
  <si>
    <t xml:space="preserve">Pochampalle </t>
  </si>
  <si>
    <t xml:space="preserve">Rajapet </t>
  </si>
  <si>
    <t xml:space="preserve">Ramannapeta </t>
  </si>
  <si>
    <t xml:space="preserve">Saligouraram </t>
  </si>
  <si>
    <t xml:space="preserve">Suryapet </t>
  </si>
  <si>
    <t xml:space="preserve">Thipparthi </t>
  </si>
  <si>
    <t xml:space="preserve">Thirumalagiri </t>
  </si>
  <si>
    <t xml:space="preserve">Thripuraram </t>
  </si>
  <si>
    <t>Thunga Thurthi</t>
  </si>
  <si>
    <t xml:space="preserve">Valigonda </t>
  </si>
  <si>
    <t xml:space="preserve">Vemulapalle </t>
  </si>
  <si>
    <t xml:space="preserve">Yadagirigutta </t>
  </si>
  <si>
    <t xml:space="preserve">Armur </t>
  </si>
  <si>
    <t xml:space="preserve">Balkonda </t>
  </si>
  <si>
    <t xml:space="preserve">Banswada </t>
  </si>
  <si>
    <t xml:space="preserve">Bheemgal </t>
  </si>
  <si>
    <t xml:space="preserve">Bhiknur </t>
  </si>
  <si>
    <t xml:space="preserve">Bichkunda </t>
  </si>
  <si>
    <t xml:space="preserve">Birkoor </t>
  </si>
  <si>
    <t xml:space="preserve">Bodhan </t>
  </si>
  <si>
    <t>Dhar Palle</t>
  </si>
  <si>
    <t>Dich Palle</t>
  </si>
  <si>
    <t xml:space="preserve">Domakonda </t>
  </si>
  <si>
    <t xml:space="preserve">Gandhari </t>
  </si>
  <si>
    <t xml:space="preserve">Jakranpalle </t>
  </si>
  <si>
    <t xml:space="preserve">Jukkal </t>
  </si>
  <si>
    <t xml:space="preserve">Kamareddy </t>
  </si>
  <si>
    <t>Kammar Palle</t>
  </si>
  <si>
    <t xml:space="preserve">Kotgiri </t>
  </si>
  <si>
    <t xml:space="preserve">Lingampet </t>
  </si>
  <si>
    <t xml:space="preserve">Machareddy </t>
  </si>
  <si>
    <t xml:space="preserve">Madnur </t>
  </si>
  <si>
    <t xml:space="preserve">Makloor </t>
  </si>
  <si>
    <t xml:space="preserve">Mortad </t>
  </si>
  <si>
    <t>Naga Reddipet</t>
  </si>
  <si>
    <t xml:space="preserve">Nandipet </t>
  </si>
  <si>
    <t xml:space="preserve">Navipet </t>
  </si>
  <si>
    <t>Nizam Sagar</t>
  </si>
  <si>
    <t xml:space="preserve">Nizamabad </t>
  </si>
  <si>
    <t xml:space="preserve">Pitlam </t>
  </si>
  <si>
    <t xml:space="preserve">Ranjal </t>
  </si>
  <si>
    <t xml:space="preserve">Sadasivanagar </t>
  </si>
  <si>
    <t xml:space="preserve">Sirkonda </t>
  </si>
  <si>
    <t xml:space="preserve">Tadwai </t>
  </si>
  <si>
    <t xml:space="preserve">Varni </t>
  </si>
  <si>
    <t xml:space="preserve">Velpur </t>
  </si>
  <si>
    <t>Yeda Palle</t>
  </si>
  <si>
    <t xml:space="preserve">Yellareddy </t>
  </si>
  <si>
    <t>Ardhaveedu</t>
  </si>
  <si>
    <t>Ballikuruva</t>
  </si>
  <si>
    <t>Bestavaripeta</t>
  </si>
  <si>
    <t>Chadrasekarapuram</t>
  </si>
  <si>
    <t>Chimakurthi</t>
  </si>
  <si>
    <t>Chinaganjam</t>
  </si>
  <si>
    <t>Chirala</t>
  </si>
  <si>
    <t>Cumbum</t>
  </si>
  <si>
    <t>Darsi</t>
  </si>
  <si>
    <t>Donakonda</t>
  </si>
  <si>
    <t>Dornala</t>
  </si>
  <si>
    <t>Giddaluru</t>
  </si>
  <si>
    <t>Gudluru</t>
  </si>
  <si>
    <t>Hanumanthunipadu</t>
  </si>
  <si>
    <t>Inkollu</t>
  </si>
  <si>
    <t>Janakavarampanguluru</t>
  </si>
  <si>
    <t>Kandukur</t>
  </si>
  <si>
    <t>Kanigiri</t>
  </si>
  <si>
    <t>Karamchedu</t>
  </si>
  <si>
    <t>Komarolu</t>
  </si>
  <si>
    <t>Konakanamitla</t>
  </si>
  <si>
    <t>Kondapi</t>
  </si>
  <si>
    <t>Korisapadu</t>
  </si>
  <si>
    <t>Kothapatnam</t>
  </si>
  <si>
    <t>Kurichedu</t>
  </si>
  <si>
    <t>Lingasamudram</t>
  </si>
  <si>
    <t>Maddipadu</t>
  </si>
  <si>
    <t>Markapur</t>
  </si>
  <si>
    <t>Marripudi</t>
  </si>
  <si>
    <t>Martur</t>
  </si>
  <si>
    <t>Mundlamuru</t>
  </si>
  <si>
    <t>Naguluppalapadu</t>
  </si>
  <si>
    <t>Ongole</t>
  </si>
  <si>
    <t>Pamur</t>
  </si>
  <si>
    <t>Parchur</t>
  </si>
  <si>
    <t>Pedaaraveedu</t>
  </si>
  <si>
    <t>Pedacherlopalle</t>
  </si>
  <si>
    <t>Podili</t>
  </si>
  <si>
    <t>Ponnaluru</t>
  </si>
  <si>
    <t>Pullalacheruvu</t>
  </si>
  <si>
    <t>Racherla</t>
  </si>
  <si>
    <t>Santhamaguluru</t>
  </si>
  <si>
    <t>Santhanuthlapadu</t>
  </si>
  <si>
    <t>Singarayakonda</t>
  </si>
  <si>
    <t>Tangutur</t>
  </si>
  <si>
    <t>Tarlapadu</t>
  </si>
  <si>
    <t>Thallur</t>
  </si>
  <si>
    <t>Tripuranthakam</t>
  </si>
  <si>
    <t>Ulavapadu</t>
  </si>
  <si>
    <t>Veligandla</t>
  </si>
  <si>
    <t>Vetapalem</t>
  </si>
  <si>
    <t>Voletivaripalem</t>
  </si>
  <si>
    <t>Yeddanapudi</t>
  </si>
  <si>
    <t>Yerragondapalem</t>
  </si>
  <si>
    <t>Zarugumilli</t>
  </si>
  <si>
    <t xml:space="preserve">Bantaram </t>
  </si>
  <si>
    <t xml:space="preserve">Basheerabad </t>
  </si>
  <si>
    <t xml:space="preserve">Chevella </t>
  </si>
  <si>
    <t xml:space="preserve">Doma </t>
  </si>
  <si>
    <t xml:space="preserve">Gandeed </t>
  </si>
  <si>
    <t xml:space="preserve">Ghatkesar </t>
  </si>
  <si>
    <t xml:space="preserve">Hayathnagar </t>
  </si>
  <si>
    <t xml:space="preserve">Ibrahimpatam </t>
  </si>
  <si>
    <t xml:space="preserve">Kandukur </t>
  </si>
  <si>
    <t xml:space="preserve">Keesara </t>
  </si>
  <si>
    <t xml:space="preserve">Kulkacharla </t>
  </si>
  <si>
    <t xml:space="preserve">Maheswaram </t>
  </si>
  <si>
    <t xml:space="preserve">Malkajgiri </t>
  </si>
  <si>
    <t xml:space="preserve">Manchal </t>
  </si>
  <si>
    <t xml:space="preserve">Marpalle </t>
  </si>
  <si>
    <t xml:space="preserve">Medchal </t>
  </si>
  <si>
    <t xml:space="preserve">Moinabad </t>
  </si>
  <si>
    <t xml:space="preserve">Mominpet </t>
  </si>
  <si>
    <t xml:space="preserve">Pargi </t>
  </si>
  <si>
    <t xml:space="preserve">Peddemul </t>
  </si>
  <si>
    <t xml:space="preserve">Pudur </t>
  </si>
  <si>
    <t xml:space="preserve">Quthbullapur </t>
  </si>
  <si>
    <t xml:space="preserve">Rajendranagar </t>
  </si>
  <si>
    <t xml:space="preserve">Saroornagar </t>
  </si>
  <si>
    <t xml:space="preserve">Serilingampalle </t>
  </si>
  <si>
    <t xml:space="preserve">Shabad </t>
  </si>
  <si>
    <t xml:space="preserve">Shamirpet </t>
  </si>
  <si>
    <t xml:space="preserve">Shamshabad </t>
  </si>
  <si>
    <t xml:space="preserve">Shankarpalle </t>
  </si>
  <si>
    <t xml:space="preserve">Uppal </t>
  </si>
  <si>
    <t xml:space="preserve">Vikarabad </t>
  </si>
  <si>
    <t xml:space="preserve">Yacharam </t>
  </si>
  <si>
    <t xml:space="preserve">Yelal </t>
  </si>
  <si>
    <t>Allur</t>
  </si>
  <si>
    <t>Ananthasagaram</t>
  </si>
  <si>
    <t>Anumasamudrampeta</t>
  </si>
  <si>
    <t>Balayapalle</t>
  </si>
  <si>
    <t>Bogole</t>
  </si>
  <si>
    <t>Butchireddipalem</t>
  </si>
  <si>
    <t>Chejerla</t>
  </si>
  <si>
    <t>Chillakur</t>
  </si>
  <si>
    <t>Chittamur</t>
  </si>
  <si>
    <t>Dagadarthi</t>
  </si>
  <si>
    <t>Dakkili</t>
  </si>
  <si>
    <t>Doravarisatram</t>
  </si>
  <si>
    <t>Duttalur</t>
  </si>
  <si>
    <t>Gudur</t>
  </si>
  <si>
    <t>Indukurpet</t>
  </si>
  <si>
    <t>Jaladanki</t>
  </si>
  <si>
    <t>Kaligiri</t>
  </si>
  <si>
    <t>Kaluvoya</t>
  </si>
  <si>
    <t>Kavali</t>
  </si>
  <si>
    <t>Kodavalur</t>
  </si>
  <si>
    <t>Kondapuram</t>
  </si>
  <si>
    <t>Kota</t>
  </si>
  <si>
    <t>Kovur</t>
  </si>
  <si>
    <t>Manubolu</t>
  </si>
  <si>
    <t>Marripadu</t>
  </si>
  <si>
    <t>Muthukur</t>
  </si>
  <si>
    <t>Naidupeta</t>
  </si>
  <si>
    <t>Nellore</t>
  </si>
  <si>
    <t>Ojili</t>
  </si>
  <si>
    <t>Pellakur</t>
  </si>
  <si>
    <t>Podlakur</t>
  </si>
  <si>
    <t>Rapur</t>
  </si>
  <si>
    <t>Sangam</t>
  </si>
  <si>
    <t>Seetharamapuram</t>
  </si>
  <si>
    <t>Sullurpeta</t>
  </si>
  <si>
    <t>Sydapuram</t>
  </si>
  <si>
    <t>Tada</t>
  </si>
  <si>
    <t>Thotapalligudur</t>
  </si>
  <si>
    <t>Udayagiri</t>
  </si>
  <si>
    <t>Vakadu</t>
  </si>
  <si>
    <t>Varikuntapadu</t>
  </si>
  <si>
    <t>Venkatachalam</t>
  </si>
  <si>
    <t>Venkatagiri</t>
  </si>
  <si>
    <t>Vidavalur</t>
  </si>
  <si>
    <t>Vinjamur</t>
  </si>
  <si>
    <t>Amadalavalasa</t>
  </si>
  <si>
    <t>Bhamini</t>
  </si>
  <si>
    <t>Burja</t>
  </si>
  <si>
    <t>Etcherla</t>
  </si>
  <si>
    <t>Ganguvari Singadam</t>
  </si>
  <si>
    <t>Gara</t>
  </si>
  <si>
    <t>Hiramandalam</t>
  </si>
  <si>
    <t>Ichchapuram</t>
  </si>
  <si>
    <t>Jalumuru</t>
  </si>
  <si>
    <t>Kanchili</t>
  </si>
  <si>
    <t>Kaviti</t>
  </si>
  <si>
    <t>Kotabommili</t>
  </si>
  <si>
    <t>Kothuru</t>
  </si>
  <si>
    <t>Laveru</t>
  </si>
  <si>
    <t>Mandasa</t>
  </si>
  <si>
    <t>Meilaputti</t>
  </si>
  <si>
    <t>Nandigam</t>
  </si>
  <si>
    <t>Narasannapeta</t>
  </si>
  <si>
    <t>Palakonda</t>
  </si>
  <si>
    <t>Palasa</t>
  </si>
  <si>
    <t>Pathapatnam</t>
  </si>
  <si>
    <t>Polaki</t>
  </si>
  <si>
    <t>Ponduru</t>
  </si>
  <si>
    <t>Rajam</t>
  </si>
  <si>
    <t>Ranastalam</t>
  </si>
  <si>
    <t>Regidiamadalavalasa</t>
  </si>
  <si>
    <t>Santhabommali</t>
  </si>
  <si>
    <t>Santhakaviti</t>
  </si>
  <si>
    <t>Saravakota</t>
  </si>
  <si>
    <t>Sarubujjili</t>
  </si>
  <si>
    <t>Seethampeta</t>
  </si>
  <si>
    <t>Sompeta</t>
  </si>
  <si>
    <t>Tekkali</t>
  </si>
  <si>
    <t>Vajrapukothuru</t>
  </si>
  <si>
    <t>Vangara</t>
  </si>
  <si>
    <t>Veeraghattam</t>
  </si>
  <si>
    <t xml:space="preserve">Anakapalli  </t>
  </si>
  <si>
    <t xml:space="preserve">Anandapuram  </t>
  </si>
  <si>
    <t xml:space="preserve">Ananthagiri  </t>
  </si>
  <si>
    <t>Araku  Valley</t>
  </si>
  <si>
    <t xml:space="preserve">Atchutapuram  </t>
  </si>
  <si>
    <t xml:space="preserve">Bheemunipatnam  </t>
  </si>
  <si>
    <t xml:space="preserve">Butchayyapeta  </t>
  </si>
  <si>
    <t xml:space="preserve">Cheedikada  </t>
  </si>
  <si>
    <t xml:space="preserve">Chintapalle  </t>
  </si>
  <si>
    <t xml:space="preserve">Chodavaram  </t>
  </si>
  <si>
    <t xml:space="preserve">Devarapalle  </t>
  </si>
  <si>
    <t xml:space="preserve">Dumbriguda  </t>
  </si>
  <si>
    <t xml:space="preserve">Gajuwaka  </t>
  </si>
  <si>
    <t>Gangaraju  Madugula</t>
  </si>
  <si>
    <t xml:space="preserve">Golugonda  </t>
  </si>
  <si>
    <t>Gudem  Kothaveedhi</t>
  </si>
  <si>
    <t xml:space="preserve">Hukumpeta  </t>
  </si>
  <si>
    <t>K  Kotapadu</t>
  </si>
  <si>
    <t xml:space="preserve">Kasimkota  </t>
  </si>
  <si>
    <t xml:space="preserve">Kotauratla  </t>
  </si>
  <si>
    <t xml:space="preserve">Koyyuru  </t>
  </si>
  <si>
    <t xml:space="preserve">Madugula  </t>
  </si>
  <si>
    <t xml:space="preserve">Makavarapalem  </t>
  </si>
  <si>
    <t xml:space="preserve">Munagapaka  </t>
  </si>
  <si>
    <t xml:space="preserve">Munchingiputtu  </t>
  </si>
  <si>
    <t xml:space="preserve">Nakkapalli  </t>
  </si>
  <si>
    <t xml:space="preserve">Narsipatnam  </t>
  </si>
  <si>
    <t xml:space="preserve">Nathavaram  </t>
  </si>
  <si>
    <t xml:space="preserve">Paderu  </t>
  </si>
  <si>
    <t xml:space="preserve">Padmanabham  </t>
  </si>
  <si>
    <t xml:space="preserve">Paravada  </t>
  </si>
  <si>
    <t xml:space="preserve">Payakaraopeta  </t>
  </si>
  <si>
    <t xml:space="preserve">Pedabayalu  </t>
  </si>
  <si>
    <t xml:space="preserve">Pedagantyada  </t>
  </si>
  <si>
    <t xml:space="preserve">Pendurthi  </t>
  </si>
  <si>
    <t xml:space="preserve">Rambilli  </t>
  </si>
  <si>
    <t xml:space="preserve">Ravikamatham  </t>
  </si>
  <si>
    <t xml:space="preserve">Rolugunta  </t>
  </si>
  <si>
    <t>S  Rayavaram</t>
  </si>
  <si>
    <t xml:space="preserve">Sabbavaram  </t>
  </si>
  <si>
    <t xml:space="preserve">Visakhapatnam  </t>
  </si>
  <si>
    <t xml:space="preserve">Visakhapatnam(U)  </t>
  </si>
  <si>
    <t xml:space="preserve">Yelamanchili  </t>
  </si>
  <si>
    <t>Badangi</t>
  </si>
  <si>
    <t>Balajipeta</t>
  </si>
  <si>
    <t>Bhoghapuram</t>
  </si>
  <si>
    <t>Bobbili</t>
  </si>
  <si>
    <t>Bondapalle</t>
  </si>
  <si>
    <t>Cheepurupalle</t>
  </si>
  <si>
    <t>Dattirajeru</t>
  </si>
  <si>
    <t>Denkada</t>
  </si>
  <si>
    <t>Gajapathinagaram</t>
  </si>
  <si>
    <t>Gantyada</t>
  </si>
  <si>
    <t>Garividi</t>
  </si>
  <si>
    <t>Garugubilli</t>
  </si>
  <si>
    <t>Gummalakshmipuram</t>
  </si>
  <si>
    <t>Gurla</t>
  </si>
  <si>
    <t>Jami</t>
  </si>
  <si>
    <t>Jiyyamma Valasa</t>
  </si>
  <si>
    <t>Komarada</t>
  </si>
  <si>
    <t>Kothavalasa</t>
  </si>
  <si>
    <t>Kurupam</t>
  </si>
  <si>
    <t>Lakkavarapukota</t>
  </si>
  <si>
    <t>Makkuva</t>
  </si>
  <si>
    <t>Mentada</t>
  </si>
  <si>
    <t>Merakamudidam</t>
  </si>
  <si>
    <t>Nellimarla</t>
  </si>
  <si>
    <t>Pachipenta</t>
  </si>
  <si>
    <t>Parvathipuram</t>
  </si>
  <si>
    <t>Pusapatirega</t>
  </si>
  <si>
    <t>Ramabhadrapuram</t>
  </si>
  <si>
    <t>Salur</t>
  </si>
  <si>
    <t>Seethanagaram</t>
  </si>
  <si>
    <t>Srungavarapukota</t>
  </si>
  <si>
    <t>Therlam</t>
  </si>
  <si>
    <t>Vepada</t>
  </si>
  <si>
    <t xml:space="preserve">Bachannapeta </t>
  </si>
  <si>
    <t xml:space="preserve">Bhupalpalle </t>
  </si>
  <si>
    <t xml:space="preserve">Chennaraopet </t>
  </si>
  <si>
    <t xml:space="preserve">Cheriyal </t>
  </si>
  <si>
    <t xml:space="preserve">Chityal </t>
  </si>
  <si>
    <t xml:space="preserve">Devaruppula </t>
  </si>
  <si>
    <t xml:space="preserve">Dharmasagar </t>
  </si>
  <si>
    <t xml:space="preserve">Dornakal </t>
  </si>
  <si>
    <t xml:space="preserve">Duggondi </t>
  </si>
  <si>
    <t xml:space="preserve">Eturnagaram </t>
  </si>
  <si>
    <t xml:space="preserve">Geesugonda </t>
  </si>
  <si>
    <t xml:space="preserve">Ghanapur </t>
  </si>
  <si>
    <t xml:space="preserve">Ghanpur(Stn) </t>
  </si>
  <si>
    <t xml:space="preserve">Govindaraopet </t>
  </si>
  <si>
    <t xml:space="preserve">Hanamkonda </t>
  </si>
  <si>
    <t xml:space="preserve">Hasanparthy </t>
  </si>
  <si>
    <t xml:space="preserve">Jangaon </t>
  </si>
  <si>
    <t xml:space="preserve">Kesamudram </t>
  </si>
  <si>
    <t xml:space="preserve">Khanapur </t>
  </si>
  <si>
    <t xml:space="preserve">Kodakandla </t>
  </si>
  <si>
    <t xml:space="preserve">Kuravi </t>
  </si>
  <si>
    <t>Lingala Ghanpur</t>
  </si>
  <si>
    <t xml:space="preserve">Mahabubabad </t>
  </si>
  <si>
    <t xml:space="preserve">Mangapet </t>
  </si>
  <si>
    <t xml:space="preserve">Maripeda </t>
  </si>
  <si>
    <t xml:space="preserve">Mogullapalle </t>
  </si>
  <si>
    <t xml:space="preserve">Nallabelly </t>
  </si>
  <si>
    <t xml:space="preserve">Narmetta </t>
  </si>
  <si>
    <t xml:space="preserve">Narsampet </t>
  </si>
  <si>
    <t xml:space="preserve">Narsimhulapet </t>
  </si>
  <si>
    <t xml:space="preserve">Nekkonda </t>
  </si>
  <si>
    <t xml:space="preserve">Nellikudur </t>
  </si>
  <si>
    <t xml:space="preserve">Palakurthi </t>
  </si>
  <si>
    <t xml:space="preserve">Parkal </t>
  </si>
  <si>
    <t xml:space="preserve">Parvathagiri </t>
  </si>
  <si>
    <t>Raghunatha Palle</t>
  </si>
  <si>
    <t xml:space="preserve">Raiparthy </t>
  </si>
  <si>
    <t xml:space="preserve">Regonda </t>
  </si>
  <si>
    <t xml:space="preserve">Sangem </t>
  </si>
  <si>
    <t xml:space="preserve">Shayampet </t>
  </si>
  <si>
    <t xml:space="preserve">Tadvai </t>
  </si>
  <si>
    <t xml:space="preserve">Thorrur </t>
  </si>
  <si>
    <t xml:space="preserve">Venkatapur </t>
  </si>
  <si>
    <t xml:space="preserve">Wardhannapet </t>
  </si>
  <si>
    <t xml:space="preserve">Zaffergadh </t>
  </si>
  <si>
    <t xml:space="preserve">Achanta </t>
  </si>
  <si>
    <t xml:space="preserve">Akiveedu </t>
  </si>
  <si>
    <t xml:space="preserve">Attili </t>
  </si>
  <si>
    <t xml:space="preserve">Bheemavaram </t>
  </si>
  <si>
    <t xml:space="preserve">Bhimadole </t>
  </si>
  <si>
    <t xml:space="preserve">Buttayagudem </t>
  </si>
  <si>
    <t xml:space="preserve">Chagallu </t>
  </si>
  <si>
    <t xml:space="preserve">Chintalapudi </t>
  </si>
  <si>
    <t xml:space="preserve">Denduluru </t>
  </si>
  <si>
    <t xml:space="preserve">Devarapalle </t>
  </si>
  <si>
    <t>Dwaraka Tirumala</t>
  </si>
  <si>
    <t xml:space="preserve">Eluru </t>
  </si>
  <si>
    <t xml:space="preserve">Ganapavaram </t>
  </si>
  <si>
    <t xml:space="preserve">Gopalapuram </t>
  </si>
  <si>
    <t xml:space="preserve">Iragavaram </t>
  </si>
  <si>
    <t xml:space="preserve">Jangareddigudem </t>
  </si>
  <si>
    <t xml:space="preserve">Jeelugumilli </t>
  </si>
  <si>
    <t xml:space="preserve">Kalla </t>
  </si>
  <si>
    <t xml:space="preserve">Kamavarapukota </t>
  </si>
  <si>
    <t xml:space="preserve">Kovvur </t>
  </si>
  <si>
    <t xml:space="preserve">Koyyalagudem </t>
  </si>
  <si>
    <t xml:space="preserve">Lingapalem </t>
  </si>
  <si>
    <t xml:space="preserve">Mogalthur </t>
  </si>
  <si>
    <t xml:space="preserve">Nallajerla </t>
  </si>
  <si>
    <t xml:space="preserve">Narasapuram </t>
  </si>
  <si>
    <t xml:space="preserve">Nidadavole </t>
  </si>
  <si>
    <t xml:space="preserve">Nidamarru </t>
  </si>
  <si>
    <t xml:space="preserve">Palacole </t>
  </si>
  <si>
    <t xml:space="preserve">Palakoderu </t>
  </si>
  <si>
    <t xml:space="preserve">Pedapadu </t>
  </si>
  <si>
    <t xml:space="preserve">Pedavegi </t>
  </si>
  <si>
    <t xml:space="preserve">Pentapadu </t>
  </si>
  <si>
    <t xml:space="preserve">Penugonda </t>
  </si>
  <si>
    <t xml:space="preserve">Penumantra </t>
  </si>
  <si>
    <t xml:space="preserve">Peravali </t>
  </si>
  <si>
    <t xml:space="preserve">Poduru </t>
  </si>
  <si>
    <t xml:space="preserve">Polavaram </t>
  </si>
  <si>
    <t>T Narasapuram</t>
  </si>
  <si>
    <t xml:space="preserve">Tadepalligudem </t>
  </si>
  <si>
    <t xml:space="preserve">Tanuku </t>
  </si>
  <si>
    <t xml:space="preserve">Thallapudi </t>
  </si>
  <si>
    <t xml:space="preserve">Undi </t>
  </si>
  <si>
    <t xml:space="preserve">Undrajavaram </t>
  </si>
  <si>
    <t xml:space="preserve">Veeravasaram </t>
  </si>
  <si>
    <t xml:space="preserve">Yelamanchili </t>
  </si>
  <si>
    <t xml:space="preserve">Atlur </t>
  </si>
  <si>
    <t>B Kodur</t>
  </si>
  <si>
    <t xml:space="preserve">Badvel </t>
  </si>
  <si>
    <t xml:space="preserve">Brahmamgarimattam </t>
  </si>
  <si>
    <t xml:space="preserve">Chakrayapet </t>
  </si>
  <si>
    <t xml:space="preserve">Chapad </t>
  </si>
  <si>
    <t xml:space="preserve">Chinnamandem </t>
  </si>
  <si>
    <t>Chintha Kommadinne</t>
  </si>
  <si>
    <t xml:space="preserve">Chitvel </t>
  </si>
  <si>
    <t xml:space="preserve">Cuddapah </t>
  </si>
  <si>
    <t xml:space="preserve">Duvvur </t>
  </si>
  <si>
    <t xml:space="preserve">Galiveedu </t>
  </si>
  <si>
    <t xml:space="preserve">Gopavaram </t>
  </si>
  <si>
    <t xml:space="preserve">Jammalamadugu </t>
  </si>
  <si>
    <t xml:space="preserve">Kalasapadu </t>
  </si>
  <si>
    <t xml:space="preserve">Kamalapuram </t>
  </si>
  <si>
    <t xml:space="preserve">Khajipet </t>
  </si>
  <si>
    <t xml:space="preserve">Kodur </t>
  </si>
  <si>
    <t xml:space="preserve">Kondapuram </t>
  </si>
  <si>
    <t xml:space="preserve">Lakkireddipalle </t>
  </si>
  <si>
    <t xml:space="preserve">Lingala </t>
  </si>
  <si>
    <t xml:space="preserve">Muddanur </t>
  </si>
  <si>
    <t xml:space="preserve">Nandalur </t>
  </si>
  <si>
    <t xml:space="preserve">Obulavaripalle </t>
  </si>
  <si>
    <t xml:space="preserve">Peddamudium </t>
  </si>
  <si>
    <t xml:space="preserve">Penagaluru </t>
  </si>
  <si>
    <t xml:space="preserve">Pendlimarri </t>
  </si>
  <si>
    <t xml:space="preserve">Porumamilla </t>
  </si>
  <si>
    <t xml:space="preserve">Proddutur </t>
  </si>
  <si>
    <t xml:space="preserve">Pulivendla </t>
  </si>
  <si>
    <t xml:space="preserve">Pullampeta </t>
  </si>
  <si>
    <t xml:space="preserve">Rajampet </t>
  </si>
  <si>
    <t>Raju Palem</t>
  </si>
  <si>
    <t xml:space="preserve">Ramapuram </t>
  </si>
  <si>
    <t xml:space="preserve">Rayachoti </t>
  </si>
  <si>
    <t>S Mydukur</t>
  </si>
  <si>
    <t xml:space="preserve">Sambepalle </t>
  </si>
  <si>
    <t xml:space="preserve">Sidhout </t>
  </si>
  <si>
    <t xml:space="preserve">Simhadripuram </t>
  </si>
  <si>
    <t>T Sundupalle</t>
  </si>
  <si>
    <t xml:space="preserve">Thandur </t>
  </si>
  <si>
    <t xml:space="preserve">Vallur </t>
  </si>
  <si>
    <t xml:space="preserve">Veeraballe </t>
  </si>
  <si>
    <t xml:space="preserve">Veerapunayunipalle </t>
  </si>
  <si>
    <t xml:space="preserve">Vempalle </t>
  </si>
  <si>
    <t xml:space="preserve">Vemula </t>
  </si>
  <si>
    <t xml:space="preserve">Vontimitta </t>
  </si>
  <si>
    <t xml:space="preserve">Yerraguntla </t>
  </si>
  <si>
    <t>Date Of Birth</t>
  </si>
  <si>
    <t>Gazetted Head Master Grade-II</t>
  </si>
  <si>
    <t>Gazetted Head Mistress Grade-II</t>
  </si>
  <si>
    <t xml:space="preserve">School Assistant ( Telugu ) </t>
  </si>
  <si>
    <t xml:space="preserve">School Assistant ( Hindi ) </t>
  </si>
  <si>
    <t xml:space="preserve">School Assistant ( English ) </t>
  </si>
  <si>
    <t xml:space="preserve">School Assistant ( Mathematics ) </t>
  </si>
  <si>
    <t xml:space="preserve">School Assistant ( Biological Science ) </t>
  </si>
  <si>
    <t xml:space="preserve">School Assistant ( Social Studies ) </t>
  </si>
  <si>
    <t xml:space="preserve">School Assistant ( Physical Director ) </t>
  </si>
  <si>
    <t xml:space="preserve">School Assistant ( Sanscrit ) </t>
  </si>
  <si>
    <t xml:space="preserve">School Assistant ( Urdu ) </t>
  </si>
  <si>
    <t>Head Masters of Primary Schools</t>
  </si>
  <si>
    <t>Secondary Grade Teacher</t>
  </si>
  <si>
    <t>Language Pandit  Grade - II</t>
  </si>
  <si>
    <t>Physical Education Teacher</t>
  </si>
  <si>
    <t>Drawing Teacher</t>
  </si>
  <si>
    <t>Music Teacher</t>
  </si>
  <si>
    <t>Dance Teacher</t>
  </si>
  <si>
    <t>Vocational Training Instructor</t>
  </si>
  <si>
    <t>Superintendent</t>
  </si>
  <si>
    <t>Senior Assistant</t>
  </si>
  <si>
    <t>Junior Assistant</t>
  </si>
  <si>
    <t>Librarian High Schools</t>
  </si>
  <si>
    <t>Film Operator</t>
  </si>
  <si>
    <t>Record Assistant</t>
  </si>
  <si>
    <t>Office Subordinate</t>
  </si>
  <si>
    <t>Sweeper</t>
  </si>
  <si>
    <t>Gardinar</t>
  </si>
  <si>
    <t>Scavenger</t>
  </si>
  <si>
    <t>District Educational Officer</t>
  </si>
  <si>
    <t>Mandal Educational Officer</t>
  </si>
  <si>
    <t>Male</t>
  </si>
  <si>
    <t>Female</t>
  </si>
  <si>
    <t>PAN NO</t>
  </si>
  <si>
    <t>Residencial Address</t>
  </si>
  <si>
    <t>Office Address</t>
  </si>
  <si>
    <t>TAN NO</t>
  </si>
  <si>
    <t xml:space="preserve">Sri: </t>
  </si>
  <si>
    <t xml:space="preserve">Smt: </t>
  </si>
  <si>
    <t>Leaving House</t>
  </si>
  <si>
    <t>PHC</t>
  </si>
  <si>
    <t xml:space="preserve">AQI + FA </t>
  </si>
  <si>
    <t>Additional HRA</t>
  </si>
  <si>
    <t>Vacation Post</t>
  </si>
  <si>
    <t>Non-Vacation Post</t>
  </si>
  <si>
    <t>Own House</t>
  </si>
  <si>
    <t>Applicable</t>
  </si>
  <si>
    <t>Not-Applicable</t>
  </si>
  <si>
    <t>Mandals</t>
  </si>
  <si>
    <t>Hills/Hilltops</t>
  </si>
  <si>
    <t>Non-Mandal</t>
  </si>
  <si>
    <t>Not Applicable</t>
  </si>
  <si>
    <t>First Change</t>
  </si>
  <si>
    <t>Second Change</t>
  </si>
  <si>
    <t>Third Change</t>
  </si>
  <si>
    <t>Fourth Change</t>
  </si>
  <si>
    <t>Firth Change</t>
  </si>
  <si>
    <t>HMA</t>
  </si>
  <si>
    <t>GPF</t>
  </si>
  <si>
    <t>ZPGPF</t>
  </si>
  <si>
    <t>Class-IV-DTO</t>
  </si>
  <si>
    <t>CPS</t>
  </si>
  <si>
    <t>LIC</t>
  </si>
  <si>
    <t>NO</t>
  </si>
  <si>
    <t>Change Month</t>
  </si>
  <si>
    <t>EWF</t>
  </si>
  <si>
    <t>Sainik Welfare</t>
  </si>
  <si>
    <t>CHANGE Amount</t>
  </si>
  <si>
    <t>Surender Leave</t>
  </si>
  <si>
    <t>Other Municipal Corporations</t>
  </si>
  <si>
    <t>SL</t>
  </si>
  <si>
    <t>HPL</t>
  </si>
  <si>
    <t>EOL</t>
  </si>
  <si>
    <t>Financial Year</t>
  </si>
  <si>
    <t>RA</t>
  </si>
  <si>
    <t>SCA</t>
  </si>
  <si>
    <t>%</t>
  </si>
  <si>
    <t>Advance Tax</t>
  </si>
  <si>
    <t>AD</t>
  </si>
  <si>
    <t>TD</t>
  </si>
  <si>
    <t>Signature of the Drawing Officer</t>
  </si>
  <si>
    <t>j)</t>
  </si>
  <si>
    <t>HRA Paid</t>
  </si>
  <si>
    <t>A)</t>
  </si>
  <si>
    <t>B)</t>
  </si>
  <si>
    <t>Limit</t>
  </si>
  <si>
    <t>Tuition Fee- Two Children</t>
  </si>
  <si>
    <t>80C</t>
  </si>
  <si>
    <t>National Savings Certificates (NSC)</t>
  </si>
  <si>
    <t>Repayment of Home Loan Principle</t>
  </si>
  <si>
    <t>LIC Insurance Premium- Annual</t>
  </si>
  <si>
    <t>Unit linked Insurance Plan</t>
  </si>
  <si>
    <t>Public Provident Fund</t>
  </si>
  <si>
    <t>ULIP</t>
  </si>
  <si>
    <t>Equity linked Savings Schemes (ELSS)</t>
  </si>
  <si>
    <t>5-Years fixed deposits with bank/post office</t>
  </si>
  <si>
    <t>Infrasture Bonds ( LIC, IDBI, IFCI,etc)</t>
  </si>
  <si>
    <t>80CCF</t>
  </si>
  <si>
    <t>LIC / UTI  etc. Pension funds</t>
  </si>
  <si>
    <t>DEDUCTIONS</t>
  </si>
  <si>
    <t>Medical Insurance Premium</t>
  </si>
  <si>
    <t>Expenditure on medical treatment</t>
  </si>
  <si>
    <t>80DD</t>
  </si>
  <si>
    <t>Donation of Charitable Institution</t>
  </si>
  <si>
    <t>Payments made to Electoral Trusts</t>
  </si>
  <si>
    <t>80U</t>
  </si>
  <si>
    <t>Interest on Educational Loan</t>
  </si>
  <si>
    <t>Tax</t>
  </si>
  <si>
    <t xml:space="preserve">Advance Tax Paid         </t>
  </si>
  <si>
    <t>Medical treatment of dependent Person with Disability</t>
  </si>
  <si>
    <t xml:space="preserve">Medical treatment of dependent Person with Severe Disability </t>
  </si>
  <si>
    <t>Maintaince for disabled Person</t>
  </si>
  <si>
    <t>Maintaince for Severe disabled Person</t>
  </si>
  <si>
    <t>80DDB</t>
  </si>
  <si>
    <t>Quarter</t>
  </si>
  <si>
    <t>To</t>
  </si>
  <si>
    <t>Rs.</t>
  </si>
  <si>
    <t>Gross</t>
  </si>
  <si>
    <t>Total Tax</t>
  </si>
  <si>
    <t>Date:</t>
  </si>
  <si>
    <t>Designation:</t>
  </si>
  <si>
    <t>Date of Promotion</t>
  </si>
  <si>
    <t>AAS</t>
  </si>
  <si>
    <t>Promotion</t>
  </si>
  <si>
    <t>FR 22a(i)</t>
  </si>
  <si>
    <t>FR 22 B Increment Date</t>
  </si>
  <si>
    <t>FR 22 B Direct</t>
  </si>
  <si>
    <t>Pay</t>
  </si>
  <si>
    <t>HR Ann</t>
  </si>
  <si>
    <t>HR Mon</t>
  </si>
  <si>
    <t>RENT RECEIPT</t>
  </si>
  <si>
    <t>Signature of the Land lord</t>
  </si>
  <si>
    <t>(Owner of the house)</t>
  </si>
  <si>
    <t>Cheque No</t>
  </si>
  <si>
    <t>Name of the Owner</t>
  </si>
  <si>
    <t>Signature Date</t>
  </si>
  <si>
    <t>Years</t>
  </si>
  <si>
    <t>Certificate of prescribed authority for the purposes of section 80DDB</t>
  </si>
  <si>
    <t>Verification</t>
  </si>
  <si>
    <t>(Name and Address)</t>
  </si>
  <si>
    <t>Name of the Patient</t>
  </si>
  <si>
    <t>Address</t>
  </si>
  <si>
    <t>Father’s name</t>
  </si>
  <si>
    <t>Name and address of the person on whom the patient is dependent and his relationship with the patient</t>
  </si>
  <si>
    <t>Name of the disease or ailment (please see rule 11DD)</t>
  </si>
  <si>
    <t>For diseases or ailments mentioned in item (i) of clause (a) of sub-rule (1), whether the disability is 40% or more (Please specify the extent).</t>
  </si>
  <si>
    <t>Name, address, registration number and qualification of the specialist issuing the certificate, along with the name and address of the Government hospital [see rule 11DD(2)]</t>
  </si>
  <si>
    <r>
      <t xml:space="preserve">FORM NO. 10-I
</t>
    </r>
    <r>
      <rPr>
        <sz val="10"/>
        <rFont val="Verdana"/>
        <family val="2"/>
      </rPr>
      <t>[See rule 11DD]</t>
    </r>
  </si>
  <si>
    <t xml:space="preserve"> Father / Husband Name of The Doctor</t>
  </si>
  <si>
    <t>________________________</t>
  </si>
  <si>
    <t>_______________________________</t>
  </si>
  <si>
    <t>Date:______________</t>
  </si>
  <si>
    <t>Place:______________</t>
  </si>
  <si>
    <t>Signature</t>
  </si>
  <si>
    <t xml:space="preserve">               To be countersigned by the Head of the Government hospital, where the prescribed authority is a specialist with post-graduate degree in General or Internal Medicine</t>
  </si>
  <si>
    <t xml:space="preserve">            I also certify (only in case of neurological disease) that the extent of disability is more than 40%) (Strike off, if not applicable</t>
  </si>
  <si>
    <t xml:space="preserve">            I certify that the information furnished above is true to the best of my knowledge.</t>
  </si>
  <si>
    <t>Lecturer</t>
  </si>
  <si>
    <t>Deputy Educational Officer</t>
  </si>
  <si>
    <t>Principal</t>
  </si>
  <si>
    <t>Commissioner</t>
  </si>
  <si>
    <t>With Undertaking</t>
  </si>
  <si>
    <t>With- Out Undertaking</t>
  </si>
  <si>
    <t>Taxable Income</t>
  </si>
  <si>
    <t>Income Tax</t>
  </si>
  <si>
    <t>Actual House Rent Receieved</t>
  </si>
  <si>
    <t>EMPLOYEE</t>
  </si>
  <si>
    <t>DDO</t>
  </si>
  <si>
    <t>Gazetted Headmaster Grade-I</t>
  </si>
  <si>
    <t>Gazetted Headmistress Grade- I</t>
  </si>
  <si>
    <t>Gazetted Headmaster Grade-II</t>
  </si>
  <si>
    <t>Gazetted Headmistress Grade- II</t>
  </si>
  <si>
    <t>Income Range</t>
  </si>
  <si>
    <t>% of Tax</t>
  </si>
  <si>
    <t>Income</t>
  </si>
  <si>
    <t>Tax on Income</t>
  </si>
  <si>
    <t>Education cess on Income Tax</t>
  </si>
  <si>
    <t>Secondary and Higher Education Cess on income Tax</t>
  </si>
  <si>
    <t>Cess 3%</t>
  </si>
  <si>
    <t>Savings for Book Adjestment</t>
  </si>
  <si>
    <t>Leave Type</t>
  </si>
  <si>
    <t>Employee Personal &amp; DDO Details</t>
  </si>
  <si>
    <t>Minimum Scale of Pay</t>
  </si>
  <si>
    <t>Q1</t>
  </si>
  <si>
    <t>Q2</t>
  </si>
  <si>
    <t>Q3</t>
  </si>
  <si>
    <t>Q4</t>
  </si>
  <si>
    <t>Total Advance Tax</t>
  </si>
  <si>
    <t xml:space="preserve">Promotion </t>
  </si>
  <si>
    <t>Pay Bill Including Month</t>
  </si>
  <si>
    <t>No Change</t>
  </si>
  <si>
    <t>Post Type</t>
  </si>
  <si>
    <t>Change</t>
  </si>
  <si>
    <t>Month-Year</t>
  </si>
  <si>
    <t>Day</t>
  </si>
  <si>
    <t>Saving Type</t>
  </si>
  <si>
    <t>ADVANCE TAX  AMOUNT</t>
  </si>
  <si>
    <t>Basic Pay As per Pay Bill</t>
  </si>
  <si>
    <t>Leaves</t>
  </si>
  <si>
    <t>Date of Birth</t>
  </si>
  <si>
    <t>Apprentice</t>
  </si>
  <si>
    <t>No- Change</t>
  </si>
  <si>
    <t>IF Change</t>
  </si>
  <si>
    <t>Up to 31.03.2011</t>
  </si>
  <si>
    <t>TO
Day</t>
  </si>
  <si>
    <t>From
Day</t>
  </si>
  <si>
    <t>Month</t>
  </si>
  <si>
    <t>Place1</t>
  </si>
  <si>
    <t>Place-2</t>
  </si>
  <si>
    <t>Place-3</t>
  </si>
  <si>
    <t>LEAVES (HPL/EOL)</t>
  </si>
  <si>
    <t>Actual Increment Month</t>
  </si>
  <si>
    <t>Min Sc Pay fixed</t>
  </si>
  <si>
    <t>FR 22 B Date</t>
  </si>
  <si>
    <t>FR 22 (A)(i) Date</t>
  </si>
  <si>
    <t xml:space="preserve">Min </t>
  </si>
  <si>
    <t>After AAS New Increment</t>
  </si>
  <si>
    <t>Min</t>
  </si>
  <si>
    <t>Pay Bill Including Bill</t>
  </si>
  <si>
    <t>DSC -2008</t>
  </si>
  <si>
    <t>Increments</t>
  </si>
  <si>
    <t>FR 22 a(i)</t>
  </si>
  <si>
    <t>FR 22 B</t>
  </si>
  <si>
    <t>Dates Assending Order</t>
  </si>
  <si>
    <t>Actual Receieving</t>
  </si>
  <si>
    <t>AS per Pay Bill</t>
  </si>
  <si>
    <t>PT Nil</t>
  </si>
  <si>
    <t>PHC A Not Eligible</t>
  </si>
  <si>
    <t>PHC A Eligible</t>
  </si>
  <si>
    <t>2010-HRA Max</t>
  </si>
  <si>
    <t>AQI</t>
  </si>
  <si>
    <t xml:space="preserve">From </t>
  </si>
  <si>
    <t>Type</t>
  </si>
  <si>
    <t>To DA</t>
  </si>
  <si>
    <t>AD DA</t>
  </si>
  <si>
    <t>Diff</t>
  </si>
  <si>
    <t>Cash</t>
  </si>
  <si>
    <t>PF UP TO</t>
  </si>
  <si>
    <t>Original Pay</t>
  </si>
  <si>
    <t>After Leave Pay</t>
  </si>
  <si>
    <t>Leaves From</t>
  </si>
  <si>
    <t>Leaves To</t>
  </si>
  <si>
    <t>DA Arrears Total</t>
  </si>
  <si>
    <t>DA Total</t>
  </si>
  <si>
    <t>Places Changes</t>
  </si>
  <si>
    <t>Pay Bill Inclding Date</t>
  </si>
  <si>
    <t>__________________</t>
  </si>
  <si>
    <t>Pay Bill</t>
  </si>
  <si>
    <t>Signature of the Employee</t>
  </si>
  <si>
    <t>DA-I</t>
  </si>
  <si>
    <t>DA-II</t>
  </si>
  <si>
    <t>Actual</t>
  </si>
  <si>
    <t>Drawn Pay</t>
  </si>
  <si>
    <t>AAS Eligible</t>
  </si>
  <si>
    <t>AAS Drawn</t>
  </si>
  <si>
    <t>Dif</t>
  </si>
  <si>
    <t>AAS Total</t>
  </si>
  <si>
    <t>PF PART</t>
  </si>
  <si>
    <t>NO GPF</t>
  </si>
  <si>
    <t>PT PART</t>
  </si>
  <si>
    <t>AAS Before</t>
  </si>
  <si>
    <t>AAS Old</t>
  </si>
  <si>
    <t>TOWN/CITY/DISTRICT</t>
  </si>
  <si>
    <t>Total Income</t>
  </si>
  <si>
    <t>Pin Code</t>
  </si>
  <si>
    <t>Signature of the employee.</t>
  </si>
  <si>
    <t>UGC-2006</t>
  </si>
  <si>
    <t>AAS W.E.F</t>
  </si>
  <si>
    <t xml:space="preserve">Kum: </t>
  </si>
  <si>
    <t>Aprentice</t>
  </si>
  <si>
    <t xml:space="preserve">Date of AAS </t>
  </si>
  <si>
    <t>Date of Promotion Fixation</t>
  </si>
  <si>
    <t>AAS After</t>
  </si>
  <si>
    <t xml:space="preserve">Before AAS 01/06/2011 </t>
  </si>
  <si>
    <t>DATE OF PROMOTION</t>
  </si>
  <si>
    <t>Date of AAS New</t>
  </si>
  <si>
    <t>DATE OF BILL</t>
  </si>
  <si>
    <t>Date of AAS Old</t>
  </si>
  <si>
    <t>FR 22 (a)(i)</t>
  </si>
  <si>
    <t>FR  22 (B)</t>
  </si>
  <si>
    <t>AAS New</t>
  </si>
  <si>
    <t>AAS Bill Date</t>
  </si>
  <si>
    <t>Notional Increments</t>
  </si>
  <si>
    <t>Noional Increments</t>
  </si>
  <si>
    <t>AAS Before 01/06/2011</t>
  </si>
  <si>
    <t>AAS After 01/06/2011</t>
  </si>
  <si>
    <t>Drawn</t>
  </si>
  <si>
    <t>1=2</t>
  </si>
  <si>
    <t>3=4</t>
  </si>
  <si>
    <t>2=3</t>
  </si>
  <si>
    <t>As per Pay Bill</t>
  </si>
  <si>
    <t>Pay Bill Link</t>
  </si>
  <si>
    <t>AAS Arrears</t>
  </si>
  <si>
    <t>Eligible</t>
  </si>
  <si>
    <t>Rent Paid PM</t>
  </si>
  <si>
    <t>Rent Paid Per Year</t>
  </si>
  <si>
    <t>10% of Pay+DA</t>
  </si>
  <si>
    <t>Difference</t>
  </si>
  <si>
    <t>Excess of House Rent Paid over &amp; above of 10% of (Pay +DA )</t>
  </si>
  <si>
    <t>Income Tax No. if already alloted:</t>
  </si>
  <si>
    <t>FORM NO.16</t>
  </si>
  <si>
    <r>
      <t>[</t>
    </r>
    <r>
      <rPr>
        <b/>
        <sz val="10"/>
        <rFont val="TTE6A37AB8t00"/>
      </rPr>
      <t xml:space="preserve">See </t>
    </r>
    <r>
      <rPr>
        <b/>
        <sz val="10"/>
        <rFont val="Times New Roman"/>
        <family val="1"/>
      </rPr>
      <t>rule 31(1)(a)]</t>
    </r>
  </si>
  <si>
    <t>PART- A</t>
  </si>
  <si>
    <t xml:space="preserve">Certificate under section 203 of the Income-tax Act, 1961 for Tax deducted at source on Salary </t>
  </si>
  <si>
    <t>Name and address of the Employer</t>
  </si>
  <si>
    <t>Name and designation of the employee</t>
  </si>
  <si>
    <t>PAN NO.of the Deductor</t>
  </si>
  <si>
    <t>TAN No.of the Deductor</t>
  </si>
  <si>
    <t>PAN NO. of the Employee</t>
  </si>
  <si>
    <t>CIT (TDS)</t>
  </si>
  <si>
    <t>Assessment Year</t>
  </si>
  <si>
    <t xml:space="preserve">From                                                                                                                                                                                                                         </t>
  </si>
  <si>
    <t xml:space="preserve">To                                                                                                                                                                                                                         </t>
  </si>
  <si>
    <t>Summary of tax deducted at source</t>
  </si>
  <si>
    <t>Receipt Numbers of original statements of TDS under sub-section (3) of section 200</t>
  </si>
  <si>
    <t>Q 1</t>
  </si>
  <si>
    <t>Q 2</t>
  </si>
  <si>
    <t>Q 3</t>
  </si>
  <si>
    <t>Q 4</t>
  </si>
  <si>
    <t>PART- B (Refer Note 1)</t>
  </si>
  <si>
    <t>Details of Salary paid and any other income and tax deducted</t>
  </si>
  <si>
    <t xml:space="preserve">Gross Salary </t>
  </si>
  <si>
    <t xml:space="preserve">(a) </t>
  </si>
  <si>
    <t>Salary as per provisions contained in section 17(1)</t>
  </si>
  <si>
    <t xml:space="preserve">(b) </t>
  </si>
  <si>
    <t>Value of perquisites under section 17(2)(as per Form No. 12BA,wherever applicable)</t>
  </si>
  <si>
    <t xml:space="preserve">(c) </t>
  </si>
  <si>
    <t>Profits in lieu of salary under section 17(3)(as per Form No. 12BA, wherever applicable)</t>
  </si>
  <si>
    <t xml:space="preserve">(d) </t>
  </si>
  <si>
    <t>Less: Exempted Allowance u/s 10</t>
  </si>
  <si>
    <t xml:space="preserve">Balance(1-2) </t>
  </si>
  <si>
    <t>Entertainment allowance</t>
  </si>
  <si>
    <t>(b)</t>
  </si>
  <si>
    <t>Tax on employment</t>
  </si>
  <si>
    <t xml:space="preserve">Add: Any other income reported by the employee </t>
  </si>
  <si>
    <t xml:space="preserve">Gross total income (6+7) </t>
  </si>
  <si>
    <t xml:space="preserve">Deductions under Chapter VIA </t>
  </si>
  <si>
    <t>(A)</t>
  </si>
  <si>
    <t>Gross Amount</t>
  </si>
  <si>
    <t>Deductible Amount Rs.</t>
  </si>
  <si>
    <t>Qualifying amount</t>
  </si>
  <si>
    <t xml:space="preserve">Aggregate of deductible amount under Chap. VIA </t>
  </si>
  <si>
    <t xml:space="preserve">Tax on total income </t>
  </si>
  <si>
    <t>Education &amp; cess @3% on col.no.12</t>
  </si>
  <si>
    <t>Less Relief U/s 89(1)(attach details)</t>
  </si>
  <si>
    <t>Tax payable</t>
  </si>
  <si>
    <t>Place:-</t>
  </si>
  <si>
    <t>Date:-</t>
  </si>
  <si>
    <t>Signature of person responsible for deduction of tax</t>
  </si>
  <si>
    <t>ANNEXURE-A</t>
  </si>
  <si>
    <t>DETAILS OF TAX DEDUCTED AND DEPOSITED IN THE CENT5RAL GOVERNMENT ACCOUNT THROUGH BOOK ENTRY</t>
  </si>
  <si>
    <t>(The Employer to provide payment wise details of tax deducted and deposited with respect to the employee)</t>
  </si>
  <si>
    <t>Sl.No</t>
  </si>
  <si>
    <t>Tax Deposited in respefct on of the employee (Rs.)</t>
  </si>
  <si>
    <t>Book  Identification Number (BIN)</t>
  </si>
  <si>
    <t>DDO Sequence Number in the Book Adjustment Mini Statement</t>
  </si>
  <si>
    <t>Date on which tax deposited (dd/mm/yy)</t>
  </si>
  <si>
    <t>ANNEXURE-B</t>
  </si>
  <si>
    <t>DETAILS OF TAX DEDUCTED  AND DEPOSITED IN THE CENTRAL GOVERNMENT ACCOUNT THROUGH CHALLAN</t>
  </si>
  <si>
    <t>(The Employer to provide payment wise details of tax deducted and deposited with respect to employee)</t>
  </si>
  <si>
    <t>Tax Deposited in respect on of the employee (Rs.)</t>
  </si>
  <si>
    <t>Challan Identification Number ( C I N )</t>
  </si>
  <si>
    <t>BSR Code of the Bank Branch</t>
  </si>
  <si>
    <t>Date on which tax deposited  (dd/mm/yy)</t>
  </si>
  <si>
    <t>Challan Serial Number</t>
  </si>
  <si>
    <t>Medical Insurance Premium- 60 Years Onwords</t>
  </si>
  <si>
    <t>Expenditure on medical treatment - 60 Years onwords</t>
  </si>
  <si>
    <t>24(B)</t>
  </si>
  <si>
    <t>Incomes not included under the Head "Salaries"(Exemptions)</t>
  </si>
  <si>
    <t>Road/Street</t>
  </si>
  <si>
    <t>Area/Locality</t>
  </si>
  <si>
    <t>Exemptions</t>
  </si>
  <si>
    <t>Medical Reimbursement</t>
  </si>
  <si>
    <t>Death-cum-retirement</t>
  </si>
  <si>
    <t>Commutation</t>
  </si>
  <si>
    <t>Final Encashment of Earned Leave</t>
  </si>
  <si>
    <t>Provident Fund</t>
  </si>
  <si>
    <t>Free or concessional education</t>
  </si>
  <si>
    <t>Leave Travel Concession</t>
  </si>
  <si>
    <t>17(2)(viii)</t>
  </si>
  <si>
    <t>17(2)(v)</t>
  </si>
  <si>
    <t>10(10).</t>
  </si>
  <si>
    <t>10(10A)(i)</t>
  </si>
  <si>
    <t>10(10AA)(i)</t>
  </si>
  <si>
    <t>10(11)</t>
  </si>
  <si>
    <t>10(5)</t>
  </si>
  <si>
    <t>10(14 )(i)(ii)</t>
  </si>
  <si>
    <t>Qualifyiing</t>
  </si>
  <si>
    <t>Exemption</t>
  </si>
  <si>
    <t>Aggregate of 4(a) to (b)</t>
  </si>
  <si>
    <t>Balance ( 5-6 )</t>
  </si>
  <si>
    <t>Income chargeable under the head 'salaries ( 7- 8 )</t>
  </si>
  <si>
    <t xml:space="preserve">Gross total income (10 + 11) </t>
  </si>
  <si>
    <t>Interest on Housing Loan Advance (After 01/04/1999)</t>
  </si>
  <si>
    <t>Interest on Housing Loan Advance ( Before 01/04/1999 )</t>
  </si>
  <si>
    <t>Interest on Repair or renewal or reconstruction of the house</t>
  </si>
  <si>
    <t>Tax Paid Local Authorities</t>
  </si>
  <si>
    <t>Maitance 30%</t>
  </si>
  <si>
    <t>Annual Rent receieved on House Property</t>
  </si>
  <si>
    <t>Income From House Property</t>
  </si>
  <si>
    <t>Deductable Amount</t>
  </si>
  <si>
    <t>Rajiv Gandhi Equity Savings Scheme (RGESS)</t>
  </si>
  <si>
    <t>Deduction in respect of interest on deposits in savings account</t>
  </si>
  <si>
    <t>80TTA</t>
  </si>
  <si>
    <t>annuity plan of Life Insurance</t>
  </si>
  <si>
    <t>contribution to certain pension funds</t>
  </si>
  <si>
    <t>CCA + PHCA + SCA</t>
  </si>
  <si>
    <t>f)</t>
  </si>
  <si>
    <t>g)</t>
  </si>
  <si>
    <t>k)</t>
  </si>
  <si>
    <t>l)</t>
  </si>
  <si>
    <t xml:space="preserve">a + b + c </t>
  </si>
  <si>
    <t xml:space="preserve">a + b + c + d </t>
  </si>
  <si>
    <t xml:space="preserve">a + b + c + d + e + f </t>
  </si>
  <si>
    <t xml:space="preserve">a + b + c + d + e + f + g </t>
  </si>
  <si>
    <t xml:space="preserve">a + b + c + d + e </t>
  </si>
  <si>
    <t xml:space="preserve">a + b </t>
  </si>
  <si>
    <t xml:space="preserve">a </t>
  </si>
  <si>
    <t xml:space="preserve">a + b + c + d + e + f + g + h </t>
  </si>
  <si>
    <t>a + b + c + d + e + f + g + h + i</t>
  </si>
  <si>
    <t xml:space="preserve">a + b + c + d + e + f + g + h + I + j </t>
  </si>
  <si>
    <t xml:space="preserve">a + b + c + d + e + f + g + h + I + j + k </t>
  </si>
  <si>
    <t>EMPLOYEE PAY PARTICULARS</t>
  </si>
  <si>
    <t>HOUSE BULIDING ADVANCE U/S 24 (B)</t>
  </si>
  <si>
    <t>CSS</t>
  </si>
  <si>
    <t>Section 80 C</t>
  </si>
  <si>
    <t xml:space="preserve">AAS Arrears </t>
  </si>
  <si>
    <t>FILTER POINT</t>
  </si>
  <si>
    <t>PANNOTREQD</t>
  </si>
  <si>
    <t>Rs</t>
  </si>
  <si>
    <t>Receipt Numbers of  Form No 24G</t>
  </si>
  <si>
    <t xml:space="preserve">Deductions U/s 16: </t>
  </si>
  <si>
    <t>Interest Deposits in Saving Account</t>
  </si>
  <si>
    <t>CPS Employers Contribution</t>
  </si>
  <si>
    <t xml:space="preserve"> Section 80CCC</t>
  </si>
  <si>
    <t xml:space="preserve">c) </t>
  </si>
  <si>
    <t>Section 80G</t>
  </si>
  <si>
    <t>Less:(a) Tax deducted at source U/s 192(1)</t>
  </si>
  <si>
    <t>(b)Tax paid by the employer on behalf of the employee U/s 192 (1A) on perquisited U/s 17 (2)</t>
  </si>
  <si>
    <t>TAX PAYABLE / REFUNDABLE (16-17)</t>
  </si>
  <si>
    <t>Receipt Number: Seven digit unique number generated for each Form 24G statement successfully accepted at the TIN central system.</t>
  </si>
  <si>
    <t>DDO Serial Number: Five digit unique number generated for each DDO record with valid TAN present in the Form 24G statement successfully accepted at the TIN central system.</t>
  </si>
  <si>
    <t>Date: The last date of the month and year for which TDS/TCS is reported in Form 24G.</t>
  </si>
  <si>
    <t xml:space="preserve">BIN consists of the following: </t>
  </si>
  <si>
    <t xml:space="preserve">Income chargeable under the head 'salaries'   (3-5) </t>
  </si>
  <si>
    <t>ii)</t>
  </si>
  <si>
    <t>iii)</t>
  </si>
  <si>
    <t>iv)</t>
  </si>
  <si>
    <t>v)</t>
  </si>
  <si>
    <t>vi)</t>
  </si>
  <si>
    <t>vii)</t>
  </si>
  <si>
    <t>viii)</t>
  </si>
  <si>
    <t>ix)</t>
  </si>
  <si>
    <t>x)</t>
  </si>
  <si>
    <t>xi)</t>
  </si>
  <si>
    <t>xii)</t>
  </si>
  <si>
    <t>House No:</t>
  </si>
  <si>
    <t xml:space="preserve">Income chargeable under the head 'salaries'  </t>
  </si>
  <si>
    <t>80CCE</t>
  </si>
  <si>
    <t>Other Than 80 CCE</t>
  </si>
  <si>
    <t xml:space="preserve">INCOME TAX DETAILS </t>
  </si>
  <si>
    <t>City  : Hyderabad                                           Pin Code: 500004</t>
  </si>
  <si>
    <t xml:space="preserve">The Commissioner of Income Tax (TDS)
Room No. 411, Income Tax Towers, 10-2-3 A.C. Guard 
</t>
  </si>
  <si>
    <t>Name of the Assessee</t>
  </si>
  <si>
    <t>Municipal Taxes paid, if any</t>
  </si>
  <si>
    <t>Address of the property</t>
  </si>
  <si>
    <t>Name and address of the lender (loan provider)</t>
  </si>
  <si>
    <t>Computation of income under the head "Income from house property</t>
  </si>
  <si>
    <t>Date of Loan Taken</t>
  </si>
  <si>
    <t>Date of Complition of the House</t>
  </si>
  <si>
    <t>Deduction claimed for  Pre EMI interest paid</t>
  </si>
  <si>
    <t>Gross annual rent / value</t>
  </si>
  <si>
    <t>Income under the head "Income from house property "[(a) -{(b) + (c) + (d) + (e) }]</t>
  </si>
  <si>
    <t>Signature of the Assesse</t>
  </si>
  <si>
    <t>FORM NO. 10-IA</t>
  </si>
  <si>
    <t>[See sub-rule (2) of rule 11A]</t>
  </si>
  <si>
    <t xml:space="preserve">Certificate of the medical authority for certifying ‘person with disability’, ‘severe  disability’, ‘autism’, ‘cerebral palsy’ and ‘multiple disability’ for purposes of section 80DD and section 80U </t>
  </si>
  <si>
    <r>
      <t>Certificate No</t>
    </r>
    <r>
      <rPr>
        <b/>
        <u/>
        <sz val="11"/>
        <rFont val="Arial"/>
        <family val="2"/>
      </rPr>
      <t>____________________</t>
    </r>
  </si>
  <si>
    <r>
      <t>Date :</t>
    </r>
    <r>
      <rPr>
        <b/>
        <u/>
        <sz val="11"/>
        <rFont val="Arial"/>
        <family val="2"/>
      </rPr>
      <t>____________________</t>
    </r>
  </si>
  <si>
    <r>
      <t>This is to certify that Shri/Smt./Ms.</t>
    </r>
    <r>
      <rPr>
        <b/>
        <u/>
        <sz val="11"/>
        <rFont val="Arial"/>
        <family val="2"/>
      </rPr>
      <t xml:space="preserve">____________________________________________________ </t>
    </r>
    <r>
      <rPr>
        <sz val="11"/>
        <rFont val="Arial"/>
        <family val="2"/>
      </rPr>
      <t>son/daughter of Shri</t>
    </r>
    <r>
      <rPr>
        <u/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>________________________________________________________ ____</t>
    </r>
    <r>
      <rPr>
        <sz val="11"/>
        <rFont val="Arial"/>
        <family val="2"/>
      </rPr>
      <t>, age</t>
    </r>
    <r>
      <rPr>
        <b/>
        <u/>
        <sz val="11"/>
        <rFont val="Arial"/>
        <family val="2"/>
      </rPr>
      <t xml:space="preserve">______ </t>
    </r>
    <r>
      <rPr>
        <sz val="11"/>
        <rFont val="Arial"/>
        <family val="2"/>
      </rPr>
      <t>years</t>
    </r>
    <r>
      <rPr>
        <b/>
        <u/>
        <sz val="11"/>
        <rFont val="Arial"/>
        <family val="2"/>
      </rPr>
      <t>___________</t>
    </r>
    <r>
      <rPr>
        <sz val="11"/>
        <rFont val="Arial"/>
        <family val="2"/>
      </rPr>
      <t>male/female*  residing at</t>
    </r>
    <r>
      <rPr>
        <b/>
        <u/>
        <sz val="11"/>
        <rFont val="Arial"/>
        <family val="2"/>
      </rPr>
      <t>____________________________________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Registration No.</t>
    </r>
    <r>
      <rPr>
        <b/>
        <u/>
        <sz val="11"/>
        <rFont val="Arial"/>
        <family val="2"/>
      </rPr>
      <t>__________</t>
    </r>
    <r>
      <rPr>
        <sz val="11"/>
        <rFont val="Arial"/>
        <family val="2"/>
      </rPr>
      <t>is a  person with disability/severe disability* suffering from autism/cerebral palsy/multiple  disability*.</t>
    </r>
  </si>
  <si>
    <t>2. This condition is progressive/non-progressive/likely to improve/not likely to improve*.</t>
  </si>
  <si>
    <r>
      <t>3. Reassessment is recommended/not recommended after a period of</t>
    </r>
    <r>
      <rPr>
        <b/>
        <u/>
        <sz val="11"/>
        <rFont val="Arial"/>
        <family val="2"/>
      </rPr>
      <t>__________</t>
    </r>
    <r>
      <rPr>
        <sz val="11"/>
        <rFont val="Arial"/>
        <family val="2"/>
      </rPr>
      <t>months / years</t>
    </r>
  </si>
  <si>
    <t xml:space="preserve">Sd/- 
</t>
  </si>
  <si>
    <t xml:space="preserve">(Neurologist/Pediatric Neurologist/Civil Surgeon/ 
Chief Medical Officer*) </t>
  </si>
  <si>
    <r>
      <t xml:space="preserve">Name </t>
    </r>
    <r>
      <rPr>
        <b/>
        <u/>
        <sz val="11"/>
        <rFont val="Arial"/>
        <family val="2"/>
      </rPr>
      <t>:___________________</t>
    </r>
  </si>
  <si>
    <t>Address of Institution/Government hospital :</t>
  </si>
  <si>
    <t>____________________________________</t>
  </si>
  <si>
    <r>
      <t xml:space="preserve">Qualification/designation of specialist </t>
    </r>
    <r>
      <rPr>
        <b/>
        <u/>
        <sz val="11"/>
        <rFont val="Arial"/>
        <family val="2"/>
      </rPr>
      <t>:____________________</t>
    </r>
  </si>
  <si>
    <t>SEAL</t>
  </si>
  <si>
    <t>Signature/Thumb impression* of the patient</t>
  </si>
  <si>
    <t>Note : *Strike out whichever is not applicable.</t>
  </si>
  <si>
    <t>Deduction claimed for  interest paid ( EMI )</t>
  </si>
  <si>
    <t xml:space="preserve"> U/s 80CCE {80C,80CCC and 80CCD (i)}            </t>
  </si>
  <si>
    <t xml:space="preserve">Total  80CCE  ( Max Rs: 1,00,000/- ) {   (a) + (b) + (c)   }   = </t>
  </si>
  <si>
    <t>Total 80C</t>
  </si>
  <si>
    <t>Total Other than 80CCE</t>
  </si>
  <si>
    <t>Other Sections (eg., 80CCD(ii), 80CCG, 80D, 80DDB,80E,80G etc) under Chapter VI-A</t>
  </si>
  <si>
    <t>Amount of loan Taken</t>
  </si>
  <si>
    <t>Other deductions claimed (Maintanance Up to 30 % of Gross Annual Rent )</t>
  </si>
  <si>
    <t>Rebate U/S 87A (Rs 2000 For Individuals having Total Income Up To Rs 5 Lakh)</t>
  </si>
  <si>
    <t>Surcharge</t>
  </si>
  <si>
    <t>% of HRA</t>
  </si>
  <si>
    <t>Previous FY</t>
  </si>
  <si>
    <t>Ass Year</t>
  </si>
  <si>
    <t>2014-2015</t>
  </si>
  <si>
    <t>E.W.F/ SWF/CMREY</t>
  </si>
  <si>
    <t>EWF, SWF &amp; CMERY</t>
  </si>
  <si>
    <t>13(i)</t>
  </si>
  <si>
    <t>13(ii)</t>
  </si>
  <si>
    <t>Tax payable (12+13) ( Rounded off to nearst Rs:10 )</t>
  </si>
  <si>
    <t>SL With HRA Exemption</t>
  </si>
  <si>
    <t>SL With out HRA Exemption</t>
  </si>
  <si>
    <t>EHS</t>
  </si>
  <si>
    <t>EHS U/S 80D</t>
  </si>
  <si>
    <t>Rented House With out PAN of the Land Lord</t>
  </si>
  <si>
    <t>Rented House With PAN of the Land Lord</t>
  </si>
  <si>
    <t>Compulsory Requirement to furnish PAN by employee (Section 206AA):</t>
  </si>
  <si>
    <t>Deputy Commissioner</t>
  </si>
  <si>
    <t>AQI/FPI/O</t>
  </si>
  <si>
    <t>RPS</t>
  </si>
  <si>
    <t>LIC (SSS)</t>
  </si>
  <si>
    <t>_______________</t>
  </si>
  <si>
    <t>Scales Applicable</t>
  </si>
  <si>
    <t>Interest House Loan Take in between 01-04-2013 To 31-03-2014</t>
  </si>
  <si>
    <t>80EE</t>
  </si>
  <si>
    <t>Interest Paid/Payable on Housing Loan</t>
  </si>
  <si>
    <t xml:space="preserve">Income from Self-occupied Property </t>
  </si>
  <si>
    <t xml:space="preserve">Income from Self-occupied House Property </t>
  </si>
  <si>
    <t xml:space="preserve">Income from Let-out Property </t>
  </si>
  <si>
    <t xml:space="preserve">Less: Municipal Taxes Paid During the Year </t>
  </si>
  <si>
    <t xml:space="preserve">Net Annual Value (1-(2+3)) </t>
  </si>
  <si>
    <t xml:space="preserve"> Less: Deductions from Net Annual Value </t>
  </si>
  <si>
    <t xml:space="preserve">Annual Letable Value/Rent Received or Receivable </t>
  </si>
  <si>
    <t>Income from Let-out House Property</t>
  </si>
  <si>
    <t xml:space="preserve">i.  Standard Deduction @ 30% of Net Annual Value </t>
  </si>
  <si>
    <t>ii.  Interest on Housing Loan</t>
  </si>
  <si>
    <t>Status of Occupation</t>
  </si>
  <si>
    <t>Let-out Property</t>
  </si>
  <si>
    <t>Self-Occupied Property</t>
  </si>
  <si>
    <t>Self-Occupied Property &amp; Let-out Property</t>
  </si>
  <si>
    <t xml:space="preserve">iii 1/5th of interest pertaining to pre-construction period </t>
  </si>
  <si>
    <t>Pre EMI Interest (interest pertaining to pre-construction period )</t>
  </si>
  <si>
    <t xml:space="preserve">Municipal Taxes Paid During the Year </t>
  </si>
  <si>
    <t xml:space="preserve">interest pertaining to pre-construction period </t>
  </si>
  <si>
    <t xml:space="preserve">Unrealized Rent </t>
  </si>
  <si>
    <t xml:space="preserve"> A)</t>
  </si>
  <si>
    <t>Income from House Property  (A + B)</t>
  </si>
  <si>
    <t xml:space="preserve">Declaration of the Assessee  under the head  Income from house property Under Section 24B
</t>
  </si>
  <si>
    <t>The Amount Rs: 167885 is Devide into Five Equal Instalments For the Financial Years From 2013-2014 To 2017-2018. Deduction of  the Amount Rs: 33577/ Per Each Financial Year</t>
  </si>
  <si>
    <t xml:space="preserve">1/5th of interest pertaining to pre-construction period </t>
  </si>
  <si>
    <t>____________________</t>
  </si>
  <si>
    <t>Regional Joint Director of School Education</t>
  </si>
  <si>
    <t>ASSISTANT DIRECTOR</t>
  </si>
  <si>
    <t xml:space="preserve">Samathanagar, </t>
  </si>
  <si>
    <t>Prakasam District</t>
  </si>
  <si>
    <t>1700000 + 400000 = 2100000</t>
  </si>
  <si>
    <t>28/04/2009  &amp;  16/11/2010</t>
  </si>
  <si>
    <t>State Bank of India</t>
  </si>
  <si>
    <t>SME Branch, Ongole,</t>
  </si>
  <si>
    <t>58-8-16(4), Santhapet</t>
  </si>
  <si>
    <t>Ongole; Prakasam District</t>
  </si>
  <si>
    <t>_______________________</t>
  </si>
  <si>
    <t>___________________</t>
  </si>
  <si>
    <t>_______________ ________________________________ ___________________</t>
  </si>
  <si>
    <t>2015-2016</t>
  </si>
  <si>
    <t>% of DA</t>
  </si>
  <si>
    <t xml:space="preserve">PHCA </t>
  </si>
  <si>
    <t>Others( AQI/PP + AHRA+IR+HMA+RA+ CCA+ SCA  etc)</t>
  </si>
  <si>
    <t>Chief Executive Officer</t>
  </si>
  <si>
    <t>Accountant</t>
  </si>
  <si>
    <t>Deputy Commisioner</t>
  </si>
  <si>
    <t>CM Relief Fund</t>
  </si>
  <si>
    <t>No of Days</t>
  </si>
  <si>
    <t>ADVANCE TAX PAID UP TO JANUARY-2015</t>
  </si>
  <si>
    <t>TAX TO BE PAID FEBRUARY-2015</t>
  </si>
  <si>
    <t>2016-2017</t>
  </si>
  <si>
    <t>INCOME TAX PROGRAMME FOR THE FINANCIAL YEAR -2015-2016 FOR AP STATE GOVERNMENT EMPLOYEES</t>
  </si>
  <si>
    <t>RPS-2015</t>
  </si>
  <si>
    <t>RPS-2015 Arrears</t>
  </si>
  <si>
    <t>DA ARREARS</t>
  </si>
  <si>
    <t>RPS-2015 PAY BILL INCLUDED MONTH</t>
  </si>
  <si>
    <t>Apr-15  To  Jun-15                                                       Rs:</t>
  </si>
  <si>
    <t>July-15  To Sep-15                                                     Rs:</t>
  </si>
  <si>
    <t>Oct-15  To  Dec-15                                                      Rs:</t>
  </si>
  <si>
    <t>Jan-16  To  Feb-16                                                     Rs:</t>
  </si>
  <si>
    <r>
      <t xml:space="preserve">Total tax to be paid (16-17)       </t>
    </r>
    <r>
      <rPr>
        <b/>
        <sz val="8"/>
        <rFont val="Arial"/>
        <family val="2"/>
      </rPr>
      <t>(i.e, Feb -2016 Salary Bill Payable in March-2016)</t>
    </r>
  </si>
  <si>
    <t>RPS-2015/UGC</t>
  </si>
  <si>
    <t>RPS-2010 G.O.Ms.No.65 Finance (PC.I) Finance Department, Dated: 09-03-2010.</t>
  </si>
  <si>
    <t>RPS-2015 G.O.Ms.No.49, Finance (HRM.V-PC) Department, Dated: 30.04.2015</t>
  </si>
  <si>
    <t>Greater Visakhapatnam Municipal Corporation and Vijayawada Municipal Corporation</t>
  </si>
  <si>
    <t>In RPS-2015</t>
  </si>
  <si>
    <t>G.O.Ms.No.176 Dated:15/12/2015</t>
  </si>
  <si>
    <t>GOVERNMENT OF ANDHRA PRADESH</t>
  </si>
  <si>
    <t>ABSTRACT</t>
  </si>
  <si>
    <t>ALLOWANCES – Recommendation of Tenth Pay Revision Commission –</t>
  </si>
  <si>
    <t>Sanction of Additional House Rent Allowance in lieu of Rent Free Quarters</t>
  </si>
  <si>
    <t>in Revised Pay Scales, 2015 - Orders - Issued.</t>
  </si>
  <si>
    <t>G.O.Ms.No. 5 FINANCE (HR.VI-TFR-A&amp;L-TA) DEPARTMENT Dated: 08-01-2016.</t>
  </si>
  <si>
    <t>HM Allowance- 2010 -2015</t>
  </si>
  <si>
    <t>JANUARY DA PF</t>
  </si>
  <si>
    <t>JANUARY DA on Paper</t>
  </si>
  <si>
    <t>JULY DA PF</t>
  </si>
  <si>
    <t>JULY DA on Paper</t>
  </si>
  <si>
    <t>Reader Allowance 2015 -2010</t>
  </si>
  <si>
    <t>DA-1</t>
  </si>
  <si>
    <t>DA-2</t>
  </si>
  <si>
    <t>AAS End Date</t>
  </si>
  <si>
    <t>RPS-2015 Date</t>
  </si>
  <si>
    <t>PRC ARREARS</t>
  </si>
  <si>
    <t>PROMOTION</t>
  </si>
  <si>
    <t>drawn</t>
  </si>
  <si>
    <t>ELIGIBLE</t>
  </si>
  <si>
    <t>DRAWN</t>
  </si>
  <si>
    <t>RPS-2015 ARREARS</t>
  </si>
  <si>
    <t>RPS-2010 ARREARS</t>
  </si>
  <si>
    <t>RPS Total</t>
  </si>
  <si>
    <t>Other Departments</t>
  </si>
  <si>
    <t>III)</t>
  </si>
  <si>
    <t>I)</t>
  </si>
  <si>
    <t>II)</t>
  </si>
  <si>
    <t>IV)</t>
  </si>
  <si>
    <t>( I )</t>
  </si>
  <si>
    <t>( I ) + ( II )</t>
  </si>
  <si>
    <t>( I ) + ( II ) + ( III )</t>
  </si>
  <si>
    <t>( I ) + ( II ) + ( III ) + ( IV )</t>
  </si>
  <si>
    <t>00090</t>
  </si>
  <si>
    <t>00068</t>
  </si>
  <si>
    <t xml:space="preserve">00123  </t>
  </si>
  <si>
    <t>00073</t>
  </si>
  <si>
    <t>00089</t>
  </si>
  <si>
    <t>00116</t>
  </si>
  <si>
    <t xml:space="preserve">00044  </t>
  </si>
  <si>
    <t xml:space="preserve">00156  </t>
  </si>
  <si>
    <t xml:space="preserve">00162  </t>
  </si>
  <si>
    <t>QRRVMJCD</t>
  </si>
  <si>
    <t>Amount of tax deducted 
( Rs )</t>
  </si>
  <si>
    <t>Amount of tax deposited / remitted</t>
  </si>
  <si>
    <t>Amount paid / Credited</t>
  </si>
  <si>
    <t>SCHOOL ASSISTANT ( PHYSICAL SCIENCE )</t>
  </si>
  <si>
    <t>P.Parvathi</t>
  </si>
  <si>
    <t>STPM Govt IASE, Nellore</t>
  </si>
  <si>
    <t>HYDS19660E</t>
  </si>
  <si>
    <t>SL FY -2015-2016</t>
  </si>
  <si>
    <t>12/02/2016</t>
  </si>
  <si>
    <r>
      <t xml:space="preserve">Annual Letable Value/Rent Received or Receivable  </t>
    </r>
    <r>
      <rPr>
        <b/>
        <sz val="13"/>
        <color rgb="FF080808"/>
        <rFont val="Arial"/>
        <family val="2"/>
      </rPr>
      <t xml:space="preserve"> (Expected Value)</t>
    </r>
  </si>
  <si>
    <t xml:space="preserve">Less:Unrealized Rent </t>
  </si>
  <si>
    <t>Expenditure on medical treatment -85 Years onwords</t>
  </si>
  <si>
    <t>(A) + (B) + (C)</t>
  </si>
  <si>
    <t xml:space="preserve">(A) + (B) </t>
  </si>
  <si>
    <t>Instructions</t>
  </si>
  <si>
    <t>1. Take Pay Bill Details in Excel Formate in Treasury Website for the Month of January-2016 &amp; March-2015</t>
  </si>
  <si>
    <t>4. Observe Pay as on 01/01/2015. If not not tallied then The person is taken AAS/ Promotion. Plecae Correct Pay taken in Column No P in EMP to the Employee.</t>
  </si>
  <si>
    <t>2. Copy the Columns for IDNo, Name, Pay, PP+HP, HMA, GPF, APGLI, GIS, EHS in January -2016 Pay bill.</t>
  </si>
  <si>
    <t>5. Take Print Employee Details in March-2015 Pay Bill.</t>
  </si>
  <si>
    <t>3. The Above Columns Paste  IDNo-C5, Name - E5, Pay-Q-5, PP+HP-R5,HMA -S5, GPF-W5, APGLI-Z5, GIS-AF5, EHS-AC5, LIC-AI-5, IT- AV5 IN EMP Sheet respectively.</t>
  </si>
  <si>
    <t>6. Employee Details in March-2015 Pay Bill  Columns fill GPF-U5, APGLI-X5, GIS-AA5, EHS-AF5, LIC-AI-5, IT- AL5 IN EMP Sheet respectively.</t>
  </si>
  <si>
    <t>9. Other Details  fill in Main.</t>
  </si>
  <si>
    <t>10. Before taking Print SB, Statement, Form-16 Must be Select the Filter Point L3 in SB, Y3- in Statement, N7 in Form-16 . Then after Enter OK Button.</t>
  </si>
  <si>
    <t>8. Select Employee ID in Main (C10)( Don’t  Copy Paste). Then Automatically Statement for FY-2015-2016 as per Pay Bill.</t>
  </si>
  <si>
    <t>7. Complete Columns Fill in EMP Sheet. Red Colur Colums Must Select Only. Don’t Copy Paste.</t>
  </si>
  <si>
    <t>Note:- This Programme Works in MS ffice-2007 and above Versons</t>
  </si>
  <si>
    <t>QRJAUYPD</t>
  </si>
  <si>
    <t>QRRAUYPD</t>
  </si>
  <si>
    <t>ANURADHA KORA</t>
  </si>
  <si>
    <t>0839834</t>
  </si>
  <si>
    <t>BXCPK0706P</t>
  </si>
  <si>
    <t>.</t>
  </si>
  <si>
    <t>2008299A</t>
  </si>
  <si>
    <t>R.S.R.M.MCHS, NELLORE</t>
  </si>
  <si>
    <t xml:space="preserve">Programme Updated on 18/02/2016 </t>
  </si>
  <si>
    <t>School Assistant ( Biological Science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</si>
</sst>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[$-409]mmmm\-yy;@"/>
    <numFmt numFmtId="165" formatCode="dd/mm/yyyy;@"/>
    <numFmt numFmtId="166" formatCode="dd\-mm\-yyyy"/>
    <numFmt numFmtId="167" formatCode="[$-409]d\-mmm\-yyyy;@"/>
    <numFmt numFmtId="168" formatCode="mmm\-yyyy"/>
    <numFmt numFmtId="169" formatCode="mmm_Yyyyy"/>
    <numFmt numFmtId="170" formatCode="mmmm\-yyyy"/>
    <numFmt numFmtId="171" formatCode="_(* #,##0_);_(* \(#,##0\);_(* &quot;-&quot;??_);_(@_)"/>
    <numFmt numFmtId="172" formatCode="_(* #,##0.0_);_(* \(#,##0.0\);_(* &quot;-&quot;??_);_(@_)"/>
    <numFmt numFmtId="173" formatCode="d/mm/yyyy;@"/>
    <numFmt numFmtId="174" formatCode="[$-409]mmm\-yy;@"/>
  </numFmts>
  <fonts count="20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1A0AE6"/>
      <name val="Arial"/>
      <family val="2"/>
    </font>
    <font>
      <b/>
      <sz val="8"/>
      <name val="Verdana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8"/>
      <color indexed="81"/>
      <name val="Tahom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8"/>
      <color rgb="FF1A0AE6"/>
      <name val="Arial"/>
      <family val="2"/>
    </font>
    <font>
      <b/>
      <sz val="8"/>
      <color rgb="FF1A0AE6"/>
      <name val="Verdana"/>
      <family val="2"/>
    </font>
    <font>
      <b/>
      <sz val="10"/>
      <color rgb="FF1A0AE6"/>
      <name val="Verdana"/>
      <family val="2"/>
    </font>
    <font>
      <sz val="8"/>
      <color rgb="FF1A0AE6"/>
      <name val="Verdana"/>
      <family val="2"/>
    </font>
    <font>
      <b/>
      <sz val="10"/>
      <name val="Calibri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Verdana"/>
      <family val="2"/>
    </font>
    <font>
      <b/>
      <sz val="9"/>
      <color rgb="FF1A0AE6"/>
      <name val="Arial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9"/>
      <color indexed="8"/>
      <name val="Arial"/>
      <family val="2"/>
    </font>
    <font>
      <b/>
      <u/>
      <sz val="1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9"/>
      <name val="Calibri"/>
      <family val="2"/>
    </font>
    <font>
      <b/>
      <sz val="8"/>
      <color rgb="FF1A0AE6"/>
      <name val="Arial Narrow"/>
      <family val="2"/>
    </font>
    <font>
      <b/>
      <shadow/>
      <sz val="28"/>
      <color rgb="FF1A0AE6"/>
      <name val="Calibri"/>
      <family val="2"/>
    </font>
    <font>
      <u/>
      <sz val="10"/>
      <color theme="0"/>
      <name val="Verdana"/>
      <family val="2"/>
    </font>
    <font>
      <b/>
      <sz val="8"/>
      <color rgb="FFFF0000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Verdana"/>
      <family val="2"/>
    </font>
    <font>
      <sz val="10"/>
      <color rgb="FF1A0AE6"/>
      <name val="Arial"/>
      <family val="2"/>
    </font>
    <font>
      <b/>
      <sz val="11"/>
      <color rgb="FF1A0AE6"/>
      <name val="Verdana"/>
      <family val="2"/>
    </font>
    <font>
      <b/>
      <sz val="11"/>
      <color theme="1"/>
      <name val="Verdana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rgb="FF1A0AE6"/>
      <name val="Arial"/>
      <family val="2"/>
    </font>
    <font>
      <u/>
      <sz val="16"/>
      <name val="Rockwell Extra Bold"/>
      <family val="1"/>
    </font>
    <font>
      <sz val="14"/>
      <name val="Rockwell Extra Bold"/>
      <family val="1"/>
    </font>
    <font>
      <sz val="10"/>
      <name val="Rockwell Extra Bold"/>
      <family val="1"/>
    </font>
    <font>
      <sz val="10"/>
      <name val="Verdana"/>
      <family val="2"/>
    </font>
    <font>
      <b/>
      <sz val="8"/>
      <color rgb="FFD60093"/>
      <name val="Verdana"/>
      <family val="2"/>
    </font>
    <font>
      <b/>
      <u/>
      <sz val="10"/>
      <color rgb="FFD60093"/>
      <name val="Verdana"/>
      <family val="2"/>
    </font>
    <font>
      <b/>
      <sz val="11"/>
      <color theme="0"/>
      <name val="Verdana"/>
      <family val="2"/>
    </font>
    <font>
      <sz val="10"/>
      <name val="Times New Roman"/>
      <family val="1"/>
      <charset val="204"/>
    </font>
    <font>
      <sz val="7"/>
      <color rgb="FF1A0AE6"/>
      <name val="Verdana"/>
      <family val="2"/>
    </font>
    <font>
      <b/>
      <u/>
      <sz val="11"/>
      <name val="Arial"/>
      <family val="2"/>
    </font>
    <font>
      <sz val="8"/>
      <color theme="6" tint="0.39997558519241921"/>
      <name val="Verdana"/>
      <family val="2"/>
    </font>
    <font>
      <b/>
      <sz val="8"/>
      <color theme="6" tint="0.39997558519241921"/>
      <name val="Verdana"/>
      <family val="2"/>
    </font>
    <font>
      <b/>
      <sz val="9"/>
      <color theme="6" tint="0.39997558519241921"/>
      <name val="Verdana"/>
      <family val="2"/>
    </font>
    <font>
      <sz val="9"/>
      <color rgb="FF1A0AE6"/>
      <name val="Verdana"/>
      <family val="2"/>
    </font>
    <font>
      <sz val="7"/>
      <color theme="6" tint="0.39997558519241921"/>
      <name val="Verdana"/>
      <family val="2"/>
    </font>
    <font>
      <b/>
      <sz val="10"/>
      <color theme="6" tint="0.39997558519241921"/>
      <name val="Verdana"/>
      <family val="2"/>
    </font>
    <font>
      <sz val="7"/>
      <color theme="1"/>
      <name val="Verdana"/>
      <family val="2"/>
    </font>
    <font>
      <sz val="8"/>
      <color rgb="FFFF0000"/>
      <name val="Verdana"/>
      <family val="2"/>
    </font>
    <font>
      <sz val="11"/>
      <name val="Arial"/>
      <family val="2"/>
    </font>
    <font>
      <b/>
      <sz val="10"/>
      <color theme="0" tint="-0.14999847407452621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sz val="10"/>
      <color theme="0" tint="-0.14999847407452621"/>
      <name val="Arial"/>
      <family val="2"/>
    </font>
    <font>
      <b/>
      <sz val="14"/>
      <color rgb="FFFF0000"/>
      <name val="Arial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color theme="6" tint="0.39997558519241921"/>
      <name val="Arial"/>
      <family val="2"/>
    </font>
    <font>
      <sz val="7"/>
      <name val="Arial"/>
      <family val="2"/>
    </font>
    <font>
      <sz val="7"/>
      <name val="Verdana"/>
      <family val="2"/>
    </font>
    <font>
      <b/>
      <sz val="12"/>
      <name val="Verdana"/>
      <family val="2"/>
    </font>
    <font>
      <b/>
      <sz val="6"/>
      <name val="Verdana"/>
      <family val="2"/>
    </font>
    <font>
      <b/>
      <sz val="18"/>
      <name val="Verdan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9"/>
      <color rgb="FF1A0AE6"/>
      <name val="Verdana"/>
      <family val="2"/>
    </font>
    <font>
      <b/>
      <sz val="8"/>
      <color indexed="12"/>
      <name val="Verdana"/>
      <family val="2"/>
    </font>
    <font>
      <b/>
      <sz val="18"/>
      <color rgb="FFFF0000"/>
      <name val="Arial Black"/>
      <family val="2"/>
    </font>
    <font>
      <b/>
      <u/>
      <sz val="14"/>
      <name val="Arial"/>
      <family val="2"/>
    </font>
    <font>
      <b/>
      <sz val="14"/>
      <name val="TTE6A21610t00"/>
    </font>
    <font>
      <b/>
      <sz val="10"/>
      <name val="Times New Roman"/>
      <family val="1"/>
    </font>
    <font>
      <b/>
      <sz val="10"/>
      <name val="TTE6A37AB8t00"/>
    </font>
    <font>
      <b/>
      <sz val="8"/>
      <color indexed="8"/>
      <name val="TTE6A21610t00"/>
    </font>
    <font>
      <b/>
      <sz val="10"/>
      <color indexed="8"/>
      <name val="TTE69FA4B8t00"/>
    </font>
    <font>
      <b/>
      <sz val="10"/>
      <name val="TTE69FA4B8t00"/>
    </font>
    <font>
      <b/>
      <sz val="9"/>
      <color indexed="8"/>
      <name val="TTE69FA4B8t00"/>
    </font>
    <font>
      <b/>
      <sz val="9"/>
      <name val="TTE69FA4B8t00"/>
    </font>
    <font>
      <b/>
      <sz val="10"/>
      <color indexed="8"/>
      <name val="TTE6A21610t00"/>
    </font>
    <font>
      <b/>
      <sz val="12"/>
      <color indexed="8"/>
      <name val="TTE6A21610t00"/>
    </font>
    <font>
      <sz val="12"/>
      <name val="Arial"/>
      <family val="2"/>
    </font>
    <font>
      <b/>
      <sz val="12"/>
      <name val="TTE69FA4B8t00"/>
    </font>
    <font>
      <b/>
      <sz val="8"/>
      <color indexed="8"/>
      <name val="TTE69FA4B8t00"/>
    </font>
    <font>
      <b/>
      <u/>
      <sz val="12"/>
      <color indexed="8"/>
      <name val="TTE69FA4B8t00"/>
    </font>
    <font>
      <u/>
      <sz val="12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sz val="9"/>
      <name val="Verdana"/>
      <family val="2"/>
    </font>
    <font>
      <b/>
      <u/>
      <sz val="10"/>
      <name val="Verdana"/>
      <family val="2"/>
    </font>
    <font>
      <b/>
      <i/>
      <sz val="11"/>
      <name val="Arial"/>
      <family val="2"/>
    </font>
    <font>
      <b/>
      <sz val="11"/>
      <color indexed="81"/>
      <name val="Tahoma"/>
      <family val="2"/>
    </font>
    <font>
      <b/>
      <sz val="12"/>
      <color indexed="81"/>
      <name val="Tahoma"/>
      <family val="2"/>
    </font>
    <font>
      <b/>
      <sz val="12"/>
      <color indexed="14"/>
      <name val="Tahoma"/>
      <family val="2"/>
    </font>
    <font>
      <b/>
      <i/>
      <sz val="9"/>
      <color indexed="8"/>
      <name val="Comic Sans MS"/>
      <family val="4"/>
    </font>
    <font>
      <b/>
      <i/>
      <sz val="9"/>
      <name val="Comic Sans MS"/>
      <family val="4"/>
    </font>
    <font>
      <i/>
      <sz val="11"/>
      <color theme="1"/>
      <name val="Arial Black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u/>
      <sz val="11"/>
      <name val="Verdana"/>
      <family val="2"/>
    </font>
    <font>
      <i/>
      <u/>
      <sz val="9"/>
      <name val="Verdana"/>
      <family val="2"/>
    </font>
    <font>
      <b/>
      <sz val="10"/>
      <color indexed="8"/>
      <name val="Verdana"/>
      <family val="2"/>
    </font>
    <font>
      <u/>
      <sz val="11"/>
      <color indexed="12"/>
      <name val="Arial"/>
      <family val="2"/>
    </font>
    <font>
      <b/>
      <u/>
      <sz val="11"/>
      <color indexed="8"/>
      <name val="Verdana"/>
      <family val="2"/>
    </font>
    <font>
      <b/>
      <u/>
      <sz val="10"/>
      <color indexed="8"/>
      <name val="Verdana"/>
      <family val="2"/>
    </font>
    <font>
      <b/>
      <u/>
      <sz val="9"/>
      <color indexed="8"/>
      <name val="Verdana"/>
      <family val="2"/>
    </font>
    <font>
      <u/>
      <sz val="11"/>
      <name val="Verdana"/>
      <family val="2"/>
    </font>
    <font>
      <u/>
      <sz val="10"/>
      <color theme="1"/>
      <name val="Verdana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sz val="18"/>
      <color theme="0"/>
      <name val="Verdana"/>
      <family val="2"/>
    </font>
    <font>
      <sz val="11"/>
      <color theme="0"/>
      <name val="Calibri"/>
      <family val="2"/>
      <scheme val="minor"/>
    </font>
    <font>
      <i/>
      <sz val="11"/>
      <color theme="0"/>
      <name val="Arial Black"/>
      <family val="2"/>
    </font>
    <font>
      <b/>
      <sz val="14"/>
      <name val="Calibri"/>
      <family val="2"/>
      <scheme val="minor"/>
    </font>
    <font>
      <sz val="12"/>
      <color rgb="FF080808"/>
      <name val="Arial"/>
      <family val="2"/>
    </font>
    <font>
      <u/>
      <sz val="11"/>
      <name val="Arial"/>
      <family val="2"/>
    </font>
    <font>
      <b/>
      <u/>
      <sz val="10"/>
      <color theme="1"/>
      <name val="Verdana"/>
      <family val="2"/>
    </font>
    <font>
      <b/>
      <i/>
      <sz val="12"/>
      <name val="Comic Sans MS"/>
      <family val="4"/>
    </font>
    <font>
      <sz val="10"/>
      <color theme="1" tint="0.499984740745262"/>
      <name val="Arial"/>
      <family val="2"/>
    </font>
    <font>
      <b/>
      <sz val="18"/>
      <color rgb="FF66FF33"/>
      <name val="Arial"/>
      <family val="2"/>
    </font>
    <font>
      <sz val="10"/>
      <color rgb="FF000000"/>
      <name val="Times New Roman"/>
      <family val="1"/>
    </font>
    <font>
      <sz val="13"/>
      <color rgb="FF080808"/>
      <name val="Arial"/>
      <family val="2"/>
    </font>
    <font>
      <b/>
      <sz val="13"/>
      <color rgb="FF080808"/>
      <name val="Arial"/>
      <family val="2"/>
    </font>
    <font>
      <b/>
      <sz val="13"/>
      <color rgb="FF333333"/>
      <name val="Arial"/>
      <family val="2"/>
    </font>
    <font>
      <b/>
      <sz val="8"/>
      <color theme="5" tint="0.39997558519241921"/>
      <name val="Verdana"/>
      <family val="2"/>
    </font>
    <font>
      <b/>
      <sz val="9"/>
      <color theme="5" tint="0.39997558519241921"/>
      <name val="Verdana"/>
      <family val="2"/>
    </font>
    <font>
      <b/>
      <sz val="18"/>
      <color rgb="FF080808"/>
      <name val="Arial"/>
      <family val="2"/>
    </font>
    <font>
      <b/>
      <sz val="11"/>
      <color theme="5" tint="0.39997558519241921"/>
      <name val="Verdana"/>
      <family val="2"/>
    </font>
    <font>
      <b/>
      <u/>
      <sz val="14"/>
      <color rgb="FF080808"/>
      <name val="Arial"/>
      <family val="2"/>
    </font>
    <font>
      <b/>
      <sz val="7"/>
      <color rgb="FF1A0AE6"/>
      <name val="Verdana"/>
      <family val="2"/>
    </font>
    <font>
      <sz val="11"/>
      <color theme="0"/>
      <name val="Verdana"/>
      <family val="2"/>
    </font>
    <font>
      <u/>
      <sz val="11"/>
      <color theme="0"/>
      <name val="Verdana"/>
      <family val="2"/>
    </font>
    <font>
      <sz val="14"/>
      <color theme="0"/>
      <name val="Arial"/>
      <family val="2"/>
    </font>
    <font>
      <sz val="18"/>
      <color theme="0"/>
      <name val="Arial"/>
      <family val="2"/>
    </font>
    <font>
      <b/>
      <sz val="20"/>
      <color theme="0"/>
      <name val="Verdana"/>
      <family val="2"/>
    </font>
    <font>
      <b/>
      <sz val="14"/>
      <color theme="0"/>
      <name val="Verdana"/>
      <family val="2"/>
    </font>
    <font>
      <b/>
      <sz val="9"/>
      <color theme="0"/>
      <name val="Verdana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u/>
      <sz val="11"/>
      <color theme="0"/>
      <name val="Verdana"/>
      <family val="2"/>
    </font>
    <font>
      <b/>
      <sz val="14"/>
      <color theme="0"/>
      <name val="Arial"/>
      <family val="2"/>
    </font>
    <font>
      <u/>
      <sz val="10"/>
      <color theme="0"/>
      <name val="Arial"/>
      <family val="2"/>
    </font>
    <font>
      <b/>
      <sz val="16"/>
      <color theme="0" tint="-0.34998626667073579"/>
      <name val="Arial"/>
      <family val="2"/>
    </font>
    <font>
      <b/>
      <sz val="26"/>
      <color theme="0"/>
      <name val="Arial"/>
      <family val="2"/>
    </font>
    <font>
      <b/>
      <sz val="2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 tint="-4.9989318521683403E-2"/>
      <name val="Arial"/>
      <family val="2"/>
    </font>
    <font>
      <b/>
      <sz val="12"/>
      <color theme="0" tint="-4.9989318521683403E-2"/>
      <name val="Verdana"/>
      <family val="2"/>
    </font>
    <font>
      <b/>
      <sz val="12"/>
      <color rgb="FF1A0AE6"/>
      <name val="Verdana"/>
      <family val="2"/>
    </font>
  </fonts>
  <fills count="6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60093"/>
      </left>
      <right style="thin">
        <color rgb="FFD60093"/>
      </right>
      <top style="thin">
        <color rgb="FFD60093"/>
      </top>
      <bottom style="thin">
        <color rgb="FFD60093"/>
      </bottom>
      <diagonal/>
    </border>
    <border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D60093"/>
      </left>
      <right/>
      <top style="thin">
        <color rgb="FFD60093"/>
      </top>
      <bottom style="thin">
        <color rgb="FFD60093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9" tint="-0.24994659260841701"/>
      </top>
      <bottom style="thin">
        <color rgb="FFFFC000"/>
      </bottom>
      <diagonal/>
    </border>
    <border>
      <left/>
      <right/>
      <top style="thin">
        <color theme="9" tint="-0.24994659260841701"/>
      </top>
      <bottom style="thin">
        <color rgb="FFFFC000"/>
      </bottom>
      <diagonal/>
    </border>
    <border>
      <left style="thin">
        <color rgb="FF993300"/>
      </left>
      <right/>
      <top style="thin">
        <color rgb="FF993300"/>
      </top>
      <bottom style="thin">
        <color rgb="FF993300"/>
      </bottom>
      <diagonal/>
    </border>
    <border>
      <left/>
      <right style="thin">
        <color rgb="FF993300"/>
      </right>
      <top style="thin">
        <color rgb="FF993300"/>
      </top>
      <bottom style="thin">
        <color rgb="FF9933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double">
        <color theme="1" tint="0.24994659260841701"/>
      </top>
      <bottom style="thin">
        <color theme="0" tint="-0.499984740745262"/>
      </bottom>
      <diagonal/>
    </border>
    <border>
      <left style="double">
        <color theme="1" tint="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1" tint="0.24994659260841701"/>
      </left>
      <right/>
      <top style="thin">
        <color theme="0" tint="-0.499984740745262"/>
      </top>
      <bottom/>
      <diagonal/>
    </border>
    <border>
      <left/>
      <right style="double">
        <color theme="1" tint="0.24994659260841701"/>
      </right>
      <top style="thin">
        <color theme="0" tint="-0.499984740745262"/>
      </top>
      <bottom/>
      <diagonal/>
    </border>
    <border>
      <left style="double">
        <color theme="1" tint="0.24994659260841701"/>
      </left>
      <right/>
      <top/>
      <bottom style="double">
        <color theme="1" tint="0.24994659260841701"/>
      </bottom>
      <diagonal/>
    </border>
    <border>
      <left/>
      <right/>
      <top/>
      <bottom style="double">
        <color theme="1" tint="0.24994659260841701"/>
      </bottom>
      <diagonal/>
    </border>
    <border>
      <left/>
      <right style="double">
        <color theme="1" tint="0.24994659260841701"/>
      </right>
      <top/>
      <bottom style="double">
        <color theme="1" tint="0.24994659260841701"/>
      </bottom>
      <diagonal/>
    </border>
    <border>
      <left style="double">
        <color theme="1" tint="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55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55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55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55"/>
      </bottom>
      <diagonal/>
    </border>
    <border>
      <left/>
      <right style="thin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993300"/>
      </top>
      <bottom/>
      <diagonal/>
    </border>
    <border>
      <left/>
      <right/>
      <top/>
      <bottom style="thin">
        <color rgb="FF993300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theme="1" tint="0.24994659260841701"/>
      </left>
      <right/>
      <top style="double">
        <color theme="1" tint="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theme="1" tint="0.24994659260841701"/>
      </right>
      <top style="double">
        <color theme="1" tint="0.24994659260841701"/>
      </top>
      <bottom style="thin">
        <color theme="0" tint="-0.499984740745262"/>
      </bottom>
      <diagonal/>
    </border>
    <border>
      <left/>
      <right style="double">
        <color theme="1" tint="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ck">
        <color rgb="FF993300"/>
      </left>
      <right style="thick">
        <color rgb="FF993300"/>
      </right>
      <top style="thick">
        <color rgb="FF993300"/>
      </top>
      <bottom style="thick">
        <color rgb="FF993300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/>
      <top style="thin">
        <color rgb="FFFFC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rgb="FFFFC000"/>
      </top>
      <bottom/>
      <diagonal/>
    </border>
    <border>
      <left style="thin">
        <color theme="0" tint="-0.34998626667073579"/>
      </left>
      <right/>
      <top/>
      <bottom style="double">
        <color auto="1"/>
      </bottom>
      <diagonal/>
    </border>
    <border>
      <left style="thin">
        <color rgb="FF993300"/>
      </left>
      <right/>
      <top style="double">
        <color auto="1"/>
      </top>
      <bottom/>
      <diagonal/>
    </border>
    <border>
      <left style="thin">
        <color rgb="FF993300"/>
      </left>
      <right/>
      <top/>
      <bottom/>
      <diagonal/>
    </border>
    <border>
      <left/>
      <right/>
      <top/>
      <bottom style="thin">
        <color theme="9" tint="-0.2499465926084170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theme="0" tint="-0.34998626667073579"/>
      </top>
      <bottom style="thin">
        <color rgb="FF993300"/>
      </bottom>
      <diagonal/>
    </border>
    <border>
      <left/>
      <right style="thin">
        <color theme="1" tint="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24994659260841701"/>
      </right>
      <top style="thin">
        <color theme="0" tint="-0.499984740745262"/>
      </top>
      <bottom/>
      <diagonal/>
    </border>
    <border>
      <left/>
      <right style="thin">
        <color theme="1" tint="0.24994659260841701"/>
      </right>
      <top/>
      <bottom style="double">
        <color theme="1" tint="0.24994659260841701"/>
      </bottom>
      <diagonal/>
    </border>
    <border>
      <left style="double">
        <color theme="1" tint="0.24994659260841701"/>
      </left>
      <right/>
      <top/>
      <bottom/>
      <diagonal/>
    </border>
    <border>
      <left/>
      <right/>
      <top style="thin">
        <color rgb="FF993300"/>
      </top>
      <bottom style="thin">
        <color rgb="FF993300"/>
      </bottom>
      <diagonal/>
    </border>
    <border>
      <left/>
      <right/>
      <top/>
      <bottom style="thin">
        <color rgb="FFD60093"/>
      </bottom>
      <diagonal/>
    </border>
    <border>
      <left/>
      <right style="thin">
        <color rgb="FFD60093"/>
      </right>
      <top/>
      <bottom style="thin">
        <color rgb="FFD60093"/>
      </bottom>
      <diagonal/>
    </border>
    <border>
      <left style="thin">
        <color rgb="FFD60093"/>
      </left>
      <right style="thin">
        <color rgb="FFD60093"/>
      </right>
      <top/>
      <bottom style="thin">
        <color rgb="FFD60093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double">
        <color indexed="64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double">
        <color indexed="64"/>
      </right>
      <top/>
      <bottom style="thin">
        <color theme="0" tint="-0.14996795556505021"/>
      </bottom>
      <diagonal/>
    </border>
    <border>
      <left style="double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uble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double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indexed="64"/>
      </left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double">
        <color indexed="64"/>
      </right>
      <top style="thin">
        <color theme="0" tint="-0.14996795556505021"/>
      </top>
      <bottom style="thin">
        <color theme="0" tint="-0.24994659260841701"/>
      </bottom>
      <diagonal/>
    </border>
    <border>
      <left style="double">
        <color theme="1" tint="0.24994659260841701"/>
      </left>
      <right style="thin">
        <color theme="1" tint="0.24994659260841701"/>
      </right>
      <top style="thin">
        <color theme="0" tint="-0.499984740745262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0" tint="-0.499984740745262"/>
      </top>
      <bottom style="thin">
        <color theme="1" tint="0.24994659260841701"/>
      </bottom>
      <diagonal/>
    </border>
    <border>
      <left style="thin">
        <color theme="1" tint="0.24994659260841701"/>
      </left>
      <right style="double">
        <color theme="1" tint="0.24994659260841701"/>
      </right>
      <top style="thin">
        <color theme="0" tint="-0.499984740745262"/>
      </top>
      <bottom style="thin">
        <color theme="1" tint="0.24994659260841701"/>
      </bottom>
      <diagonal/>
    </border>
    <border>
      <left style="double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0" tint="-0.499984740745262"/>
      </bottom>
      <diagonal/>
    </border>
  </borders>
  <cellStyleXfs count="66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1" fillId="0" borderId="0"/>
    <xf numFmtId="164" fontId="16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" borderId="16" applyNumberFormat="0" applyAlignment="0" applyProtection="0"/>
    <xf numFmtId="0" fontId="24" fillId="3" borderId="16" applyNumberFormat="0" applyAlignment="0" applyProtection="0"/>
    <xf numFmtId="0" fontId="25" fillId="0" borderId="0"/>
    <xf numFmtId="164" fontId="26" fillId="0" borderId="0" applyFont="0" applyFill="0" applyBorder="0" applyAlignment="0" applyProtection="0"/>
    <xf numFmtId="0" fontId="2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8" fillId="0" borderId="0"/>
    <xf numFmtId="0" fontId="4" fillId="0" borderId="0"/>
    <xf numFmtId="43" fontId="8" fillId="0" borderId="0" applyFont="0" applyFill="0" applyBorder="0" applyAlignment="0" applyProtection="0"/>
    <xf numFmtId="0" fontId="123" fillId="33" borderId="0" applyNumberFormat="0" applyBorder="0" applyAlignment="0" applyProtection="0"/>
    <xf numFmtId="0" fontId="123" fillId="34" borderId="0" applyNumberFormat="0" applyBorder="0" applyAlignment="0" applyProtection="0"/>
    <xf numFmtId="0" fontId="123" fillId="35" borderId="0" applyNumberFormat="0" applyBorder="0" applyAlignment="0" applyProtection="0"/>
    <xf numFmtId="0" fontId="123" fillId="36" borderId="0" applyNumberFormat="0" applyBorder="0" applyAlignment="0" applyProtection="0"/>
    <xf numFmtId="0" fontId="123" fillId="37" borderId="0" applyNumberFormat="0" applyBorder="0" applyAlignment="0" applyProtection="0"/>
    <xf numFmtId="0" fontId="123" fillId="38" borderId="0" applyNumberFormat="0" applyBorder="0" applyAlignment="0" applyProtection="0"/>
    <xf numFmtId="0" fontId="123" fillId="39" borderId="0" applyNumberFormat="0" applyBorder="0" applyAlignment="0" applyProtection="0"/>
    <xf numFmtId="0" fontId="123" fillId="40" borderId="0" applyNumberFormat="0" applyBorder="0" applyAlignment="0" applyProtection="0"/>
    <xf numFmtId="0" fontId="123" fillId="35" borderId="0" applyNumberFormat="0" applyBorder="0" applyAlignment="0" applyProtection="0"/>
    <xf numFmtId="0" fontId="123" fillId="38" borderId="0" applyNumberFormat="0" applyBorder="0" applyAlignment="0" applyProtection="0"/>
    <xf numFmtId="0" fontId="123" fillId="41" borderId="0" applyNumberFormat="0" applyBorder="0" applyAlignment="0" applyProtection="0"/>
    <xf numFmtId="0" fontId="103" fillId="42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3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3" borderId="0" applyNumberFormat="0" applyBorder="0" applyAlignment="0" applyProtection="0"/>
    <xf numFmtId="0" fontId="103" fillId="44" borderId="0" applyNumberFormat="0" applyBorder="0" applyAlignment="0" applyProtection="0"/>
    <xf numFmtId="0" fontId="103" fillId="49" borderId="0" applyNumberFormat="0" applyBorder="0" applyAlignment="0" applyProtection="0"/>
    <xf numFmtId="0" fontId="124" fillId="34" borderId="0" applyNumberFormat="0" applyBorder="0" applyAlignment="0" applyProtection="0"/>
    <xf numFmtId="0" fontId="125" fillId="50" borderId="72" applyNumberFormat="0" applyAlignment="0" applyProtection="0"/>
    <xf numFmtId="0" fontId="126" fillId="0" borderId="0" applyNumberFormat="0" applyFill="0" applyBorder="0" applyAlignment="0" applyProtection="0"/>
    <xf numFmtId="0" fontId="127" fillId="51" borderId="0" applyNumberFormat="0" applyBorder="0" applyAlignment="0" applyProtection="0"/>
    <xf numFmtId="0" fontId="8" fillId="0" borderId="0" applyNumberFormat="0" applyFont="0" applyBorder="0" applyAlignment="0" applyProtection="0"/>
    <xf numFmtId="0" fontId="128" fillId="0" borderId="73" applyNumberFormat="0" applyFill="0" applyAlignment="0" applyProtection="0"/>
    <xf numFmtId="0" fontId="129" fillId="0" borderId="74" applyNumberFormat="0" applyFill="0" applyAlignment="0" applyProtection="0"/>
    <xf numFmtId="0" fontId="130" fillId="0" borderId="75" applyNumberFormat="0" applyFill="0" applyAlignment="0" applyProtection="0"/>
    <xf numFmtId="0" fontId="130" fillId="0" borderId="0" applyNumberFormat="0" applyFill="0" applyBorder="0" applyAlignment="0" applyProtection="0"/>
    <xf numFmtId="0" fontId="131" fillId="0" borderId="76" applyNumberFormat="0" applyFill="0" applyAlignment="0" applyProtection="0"/>
    <xf numFmtId="0" fontId="132" fillId="52" borderId="0" applyNumberFormat="0" applyBorder="0" applyAlignment="0" applyProtection="0"/>
    <xf numFmtId="0" fontId="8" fillId="0" borderId="0"/>
    <xf numFmtId="0" fontId="8" fillId="53" borderId="77" applyNumberFormat="0" applyAlignment="0" applyProtection="0"/>
    <xf numFmtId="0" fontId="133" fillId="54" borderId="78" applyNumberFormat="0" applyAlignment="0" applyProtection="0"/>
    <xf numFmtId="0" fontId="134" fillId="0" borderId="0" applyNumberFormat="0" applyFill="0" applyBorder="0" applyAlignment="0" applyProtection="0"/>
    <xf numFmtId="0" fontId="49" fillId="0" borderId="79" applyNumberFormat="0" applyFill="0" applyAlignment="0" applyProtection="0"/>
    <xf numFmtId="0" fontId="102" fillId="0" borderId="0" applyNumberFormat="0" applyFill="0" applyBorder="0" applyAlignment="0" applyProtection="0"/>
    <xf numFmtId="0" fontId="8" fillId="0" borderId="0" applyNumberFormat="0" applyFont="0" applyBorder="0" applyAlignment="0" applyProtection="0"/>
    <xf numFmtId="0" fontId="171" fillId="0" borderId="0"/>
    <xf numFmtId="0" fontId="1" fillId="0" borderId="0"/>
    <xf numFmtId="0" fontId="1" fillId="0" borderId="0"/>
  </cellStyleXfs>
  <cellXfs count="1488">
    <xf numFmtId="0" fontId="0" fillId="0" borderId="0" xfId="0"/>
    <xf numFmtId="0" fontId="34" fillId="0" borderId="0" xfId="12" applyFont="1" applyFill="1" applyProtection="1">
      <protection hidden="1"/>
    </xf>
    <xf numFmtId="0" fontId="34" fillId="8" borderId="0" xfId="12" applyFont="1" applyFill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47" fillId="8" borderId="3" xfId="0" applyFont="1" applyFill="1" applyBorder="1" applyAlignment="1">
      <alignment vertical="center"/>
    </xf>
    <xf numFmtId="0" fontId="47" fillId="8" borderId="8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Protection="1">
      <protection hidden="1"/>
    </xf>
    <xf numFmtId="0" fontId="31" fillId="0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53" fillId="0" borderId="0" xfId="0" applyFont="1" applyFill="1" applyBorder="1" applyAlignment="1" applyProtection="1">
      <alignment horizontal="left" vertical="center" wrapText="1"/>
      <protection hidden="1"/>
    </xf>
    <xf numFmtId="0" fontId="53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11" borderId="0" xfId="0" applyFill="1" applyProtection="1">
      <protection locked="0" hidden="1"/>
    </xf>
    <xf numFmtId="0" fontId="0" fillId="8" borderId="0" xfId="0" applyFill="1" applyProtection="1">
      <protection locked="0" hidden="1"/>
    </xf>
    <xf numFmtId="0" fontId="8" fillId="8" borderId="0" xfId="0" applyFont="1" applyFill="1" applyAlignment="1" applyProtection="1">
      <alignment horizontal="right"/>
      <protection locked="0" hidden="1"/>
    </xf>
    <xf numFmtId="0" fontId="8" fillId="8" borderId="0" xfId="0" applyFont="1" applyFill="1" applyProtection="1">
      <protection locked="0" hidden="1"/>
    </xf>
    <xf numFmtId="0" fontId="65" fillId="0" borderId="26" xfId="0" applyFont="1" applyFill="1" applyBorder="1" applyProtection="1">
      <protection hidden="1"/>
    </xf>
    <xf numFmtId="0" fontId="65" fillId="0" borderId="0" xfId="0" applyFont="1" applyFill="1" applyBorder="1" applyProtection="1">
      <protection hidden="1"/>
    </xf>
    <xf numFmtId="0" fontId="65" fillId="0" borderId="27" xfId="0" applyFont="1" applyFill="1" applyBorder="1" applyProtection="1">
      <protection hidden="1"/>
    </xf>
    <xf numFmtId="0" fontId="66" fillId="0" borderId="26" xfId="0" applyFont="1" applyFill="1" applyBorder="1" applyProtection="1">
      <protection hidden="1"/>
    </xf>
    <xf numFmtId="0" fontId="66" fillId="0" borderId="0" xfId="0" applyFont="1" applyFill="1" applyBorder="1" applyProtection="1">
      <protection hidden="1"/>
    </xf>
    <xf numFmtId="0" fontId="66" fillId="0" borderId="27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0" fillId="0" borderId="27" xfId="0" applyFill="1" applyBorder="1" applyProtection="1">
      <protection hidden="1"/>
    </xf>
    <xf numFmtId="0" fontId="12" fillId="0" borderId="26" xfId="0" applyFont="1" applyFill="1" applyBorder="1" applyProtection="1">
      <protection hidden="1"/>
    </xf>
    <xf numFmtId="0" fontId="67" fillId="0" borderId="0" xfId="0" applyFont="1" applyFill="1" applyBorder="1" applyAlignment="1" applyProtection="1">
      <protection hidden="1"/>
    </xf>
    <xf numFmtId="0" fontId="67" fillId="0" borderId="27" xfId="0" applyFont="1" applyFill="1" applyBorder="1" applyAlignment="1" applyProtection="1">
      <protection hidden="1"/>
    </xf>
    <xf numFmtId="0" fontId="0" fillId="0" borderId="20" xfId="0" applyFill="1" applyBorder="1" applyProtection="1">
      <protection hidden="1"/>
    </xf>
    <xf numFmtId="0" fontId="0" fillId="0" borderId="22" xfId="0" applyFill="1" applyBorder="1" applyProtection="1">
      <protection hidden="1"/>
    </xf>
    <xf numFmtId="0" fontId="65" fillId="0" borderId="22" xfId="0" applyFont="1" applyFill="1" applyBorder="1" applyProtection="1">
      <protection hidden="1"/>
    </xf>
    <xf numFmtId="0" fontId="65" fillId="0" borderId="23" xfId="0" applyFont="1" applyFill="1" applyBorder="1" applyProtection="1">
      <protection hidden="1"/>
    </xf>
    <xf numFmtId="0" fontId="34" fillId="0" borderId="0" xfId="12" applyFont="1" applyFill="1" applyAlignment="1" applyProtection="1">
      <alignment horizontal="left" vertical="center"/>
      <protection hidden="1"/>
    </xf>
    <xf numFmtId="0" fontId="0" fillId="0" borderId="0" xfId="0" applyFill="1"/>
    <xf numFmtId="0" fontId="61" fillId="8" borderId="0" xfId="12" applyFont="1" applyFill="1" applyProtection="1">
      <protection hidden="1"/>
    </xf>
    <xf numFmtId="0" fontId="34" fillId="8" borderId="0" xfId="12" applyFont="1" applyFill="1" applyAlignment="1" applyProtection="1">
      <alignment horizontal="center" vertical="center"/>
      <protection hidden="1"/>
    </xf>
    <xf numFmtId="0" fontId="34" fillId="8" borderId="0" xfId="12" applyFont="1" applyFill="1" applyAlignment="1" applyProtection="1">
      <alignment horizontal="left" vertical="center"/>
      <protection hidden="1"/>
    </xf>
    <xf numFmtId="0" fontId="34" fillId="8" borderId="0" xfId="12" applyFont="1" applyFill="1" applyProtection="1">
      <protection hidden="1"/>
    </xf>
    <xf numFmtId="0" fontId="57" fillId="8" borderId="0" xfId="0" applyFont="1" applyFill="1" applyAlignment="1">
      <alignment horizontal="center"/>
    </xf>
    <xf numFmtId="0" fontId="64" fillId="8" borderId="12" xfId="12" applyFont="1" applyFill="1" applyBorder="1" applyAlignment="1" applyProtection="1">
      <alignment vertical="center"/>
      <protection hidden="1"/>
    </xf>
    <xf numFmtId="0" fontId="36" fillId="8" borderId="11" xfId="12" applyFont="1" applyFill="1" applyBorder="1" applyAlignment="1" applyProtection="1">
      <alignment vertical="center"/>
      <protection hidden="1"/>
    </xf>
    <xf numFmtId="0" fontId="61" fillId="8" borderId="0" xfId="12" applyFont="1" applyFill="1" applyAlignment="1" applyProtection="1">
      <alignment vertical="center"/>
      <protection hidden="1"/>
    </xf>
    <xf numFmtId="0" fontId="58" fillId="8" borderId="0" xfId="1" applyFont="1" applyFill="1" applyAlignment="1" applyProtection="1">
      <alignment horizontal="center" vertical="center" wrapText="1"/>
    </xf>
    <xf numFmtId="0" fontId="75" fillId="8" borderId="0" xfId="1" applyFont="1" applyFill="1" applyAlignment="1" applyProtection="1">
      <alignment horizontal="left" vertical="center"/>
    </xf>
    <xf numFmtId="0" fontId="45" fillId="8" borderId="0" xfId="0" applyFont="1" applyFill="1" applyBorder="1"/>
    <xf numFmtId="0" fontId="45" fillId="8" borderId="0" xfId="0" applyFont="1" applyFill="1" applyBorder="1" applyAlignment="1">
      <alignment horizontal="left" vertical="center"/>
    </xf>
    <xf numFmtId="3" fontId="45" fillId="8" borderId="0" xfId="0" applyNumberFormat="1" applyFont="1" applyFill="1" applyBorder="1" applyAlignment="1">
      <alignment horizontal="left" vertical="center"/>
    </xf>
    <xf numFmtId="14" fontId="34" fillId="8" borderId="0" xfId="12" applyNumberFormat="1" applyFont="1" applyFill="1" applyAlignment="1" applyProtection="1">
      <alignment horizontal="left" vertical="center"/>
      <protection hidden="1"/>
    </xf>
    <xf numFmtId="0" fontId="45" fillId="8" borderId="0" xfId="0" applyFont="1" applyFill="1" applyBorder="1" applyAlignment="1">
      <alignment horizontal="left"/>
    </xf>
    <xf numFmtId="1" fontId="45" fillId="8" borderId="0" xfId="0" applyNumberFormat="1" applyFont="1" applyFill="1" applyBorder="1" applyAlignment="1">
      <alignment horizontal="left"/>
    </xf>
    <xf numFmtId="0" fontId="45" fillId="8" borderId="0" xfId="0" applyFont="1" applyFill="1" applyBorder="1" applyAlignment="1">
      <alignment horizontal="center"/>
    </xf>
    <xf numFmtId="165" fontId="34" fillId="8" borderId="0" xfId="12" applyNumberFormat="1" applyFont="1" applyFill="1" applyAlignment="1" applyProtection="1">
      <alignment horizontal="left" vertical="center"/>
      <protection hidden="1"/>
    </xf>
    <xf numFmtId="0" fontId="41" fillId="8" borderId="0" xfId="12" applyFont="1" applyFill="1" applyBorder="1" applyAlignment="1" applyProtection="1">
      <protection hidden="1"/>
    </xf>
    <xf numFmtId="0" fontId="41" fillId="8" borderId="0" xfId="12" applyFont="1" applyFill="1" applyAlignment="1" applyProtection="1">
      <protection hidden="1"/>
    </xf>
    <xf numFmtId="0" fontId="34" fillId="8" borderId="0" xfId="12" applyFont="1" applyFill="1" applyBorder="1" applyProtection="1">
      <protection hidden="1"/>
    </xf>
    <xf numFmtId="0" fontId="41" fillId="8" borderId="0" xfId="12" applyFont="1" applyFill="1" applyAlignment="1" applyProtection="1">
      <alignment horizontal="left" vertical="center"/>
      <protection hidden="1"/>
    </xf>
    <xf numFmtId="0" fontId="0" fillId="8" borderId="0" xfId="0" applyFill="1" applyBorder="1" applyProtection="1">
      <protection hidden="1"/>
    </xf>
    <xf numFmtId="165" fontId="45" fillId="8" borderId="0" xfId="0" applyNumberFormat="1" applyFont="1" applyFill="1" applyBorder="1" applyAlignment="1">
      <alignment horizontal="left"/>
    </xf>
    <xf numFmtId="0" fontId="62" fillId="8" borderId="0" xfId="0" applyFont="1" applyFill="1" applyBorder="1" applyAlignment="1"/>
    <xf numFmtId="14" fontId="34" fillId="8" borderId="0" xfId="12" applyNumberFormat="1" applyFont="1" applyFill="1" applyProtection="1">
      <protection hidden="1"/>
    </xf>
    <xf numFmtId="0" fontId="34" fillId="8" borderId="0" xfId="12" applyFont="1" applyFill="1" applyBorder="1" applyAlignment="1" applyProtection="1">
      <alignment vertical="center"/>
      <protection hidden="1"/>
    </xf>
    <xf numFmtId="0" fontId="34" fillId="8" borderId="0" xfId="12" applyFont="1" applyFill="1" applyAlignment="1" applyProtection="1">
      <alignment horizontal="center"/>
      <protection hidden="1"/>
    </xf>
    <xf numFmtId="14" fontId="34" fillId="8" borderId="0" xfId="12" applyNumberFormat="1" applyFont="1" applyFill="1" applyAlignment="1" applyProtection="1">
      <alignment horizontal="left"/>
      <protection hidden="1"/>
    </xf>
    <xf numFmtId="0" fontId="34" fillId="8" borderId="0" xfId="12" applyFont="1" applyFill="1" applyAlignment="1" applyProtection="1">
      <alignment horizontal="left"/>
      <protection hidden="1"/>
    </xf>
    <xf numFmtId="0" fontId="34" fillId="8" borderId="0" xfId="12" applyNumberFormat="1" applyFont="1" applyFill="1" applyAlignment="1" applyProtection="1">
      <alignment horizontal="left" vertical="center"/>
      <protection hidden="1"/>
    </xf>
    <xf numFmtId="0" fontId="43" fillId="8" borderId="12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13" xfId="0" applyFont="1" applyFill="1" applyBorder="1" applyAlignment="1">
      <alignment horizontal="center"/>
    </xf>
    <xf numFmtId="0" fontId="34" fillId="8" borderId="0" xfId="12" applyFont="1" applyFill="1" applyAlignment="1" applyProtection="1">
      <alignment horizontal="right" vertical="center"/>
      <protection hidden="1"/>
    </xf>
    <xf numFmtId="0" fontId="45" fillId="8" borderId="1" xfId="0" applyFont="1" applyFill="1" applyBorder="1" applyAlignment="1">
      <alignment horizontal="left" vertical="center"/>
    </xf>
    <xf numFmtId="3" fontId="45" fillId="8" borderId="1" xfId="0" applyNumberFormat="1" applyFont="1" applyFill="1" applyBorder="1" applyAlignment="1">
      <alignment horizontal="left"/>
    </xf>
    <xf numFmtId="0" fontId="45" fillId="8" borderId="1" xfId="0" applyFont="1" applyFill="1" applyBorder="1"/>
    <xf numFmtId="3" fontId="45" fillId="8" borderId="1" xfId="0" applyNumberFormat="1" applyFont="1" applyFill="1" applyBorder="1" applyAlignment="1">
      <alignment horizontal="left" vertical="center"/>
    </xf>
    <xf numFmtId="0" fontId="18" fillId="8" borderId="0" xfId="0" applyFont="1" applyFill="1"/>
    <xf numFmtId="0" fontId="43" fillId="8" borderId="3" xfId="0" applyFont="1" applyFill="1" applyBorder="1" applyAlignment="1">
      <alignment horizontal="center"/>
    </xf>
    <xf numFmtId="0" fontId="44" fillId="8" borderId="25" xfId="0" applyFont="1" applyFill="1" applyBorder="1" applyAlignment="1">
      <alignment horizontal="center"/>
    </xf>
    <xf numFmtId="1" fontId="45" fillId="8" borderId="4" xfId="0" applyNumberFormat="1" applyFont="1" applyFill="1" applyBorder="1" applyAlignment="1">
      <alignment vertical="center"/>
    </xf>
    <xf numFmtId="0" fontId="45" fillId="8" borderId="14" xfId="0" applyFont="1" applyFill="1" applyBorder="1" applyAlignment="1">
      <alignment horizontal="left" vertical="center"/>
    </xf>
    <xf numFmtId="1" fontId="45" fillId="8" borderId="9" xfId="0" applyNumberFormat="1" applyFont="1" applyFill="1" applyBorder="1" applyAlignment="1">
      <alignment vertical="center"/>
    </xf>
    <xf numFmtId="0" fontId="45" fillId="8" borderId="15" xfId="0" applyFont="1" applyFill="1" applyBorder="1" applyAlignment="1">
      <alignment horizontal="left" vertical="center"/>
    </xf>
    <xf numFmtId="1" fontId="45" fillId="8" borderId="13" xfId="0" applyNumberFormat="1" applyFont="1" applyFill="1" applyBorder="1"/>
    <xf numFmtId="0" fontId="45" fillId="8" borderId="13" xfId="0" applyFont="1" applyFill="1" applyBorder="1" applyAlignment="1">
      <alignment horizontal="left"/>
    </xf>
    <xf numFmtId="0" fontId="45" fillId="8" borderId="12" xfId="0" applyFont="1" applyFill="1" applyBorder="1"/>
    <xf numFmtId="0" fontId="18" fillId="8" borderId="0" xfId="0" applyFont="1" applyFill="1" applyBorder="1"/>
    <xf numFmtId="1" fontId="44" fillId="8" borderId="0" xfId="0" applyNumberFormat="1" applyFont="1" applyFill="1" applyBorder="1"/>
    <xf numFmtId="0" fontId="0" fillId="8" borderId="0" xfId="0" applyFill="1" applyAlignment="1" applyProtection="1">
      <alignment vertical="top"/>
    </xf>
    <xf numFmtId="0" fontId="34" fillId="8" borderId="0" xfId="0" applyFont="1" applyFill="1" applyAlignment="1" applyProtection="1">
      <protection locked="0" hidden="1"/>
    </xf>
    <xf numFmtId="0" fontId="14" fillId="8" borderId="0" xfId="0" applyFont="1" applyFill="1" applyProtection="1">
      <protection locked="0" hidden="1"/>
    </xf>
    <xf numFmtId="0" fontId="34" fillId="8" borderId="0" xfId="0" applyFont="1" applyFill="1" applyAlignment="1" applyProtection="1">
      <alignment wrapText="1"/>
      <protection locked="0" hidden="1"/>
    </xf>
    <xf numFmtId="0" fontId="0" fillId="8" borderId="0" xfId="0" applyFill="1"/>
    <xf numFmtId="0" fontId="34" fillId="8" borderId="1" xfId="12" applyFont="1" applyFill="1" applyBorder="1" applyAlignment="1" applyProtection="1">
      <alignment horizontal="center" vertical="center" wrapText="1"/>
      <protection hidden="1"/>
    </xf>
    <xf numFmtId="0" fontId="34" fillId="8" borderId="2" xfId="12" applyFont="1" applyFill="1" applyBorder="1" applyAlignment="1" applyProtection="1">
      <alignment horizontal="center" vertical="center" wrapText="1"/>
      <protection hidden="1"/>
    </xf>
    <xf numFmtId="0" fontId="36" fillId="8" borderId="11" xfId="12" applyFont="1" applyFill="1" applyBorder="1" applyAlignment="1" applyProtection="1">
      <alignment vertical="center" wrapText="1"/>
      <protection hidden="1"/>
    </xf>
    <xf numFmtId="0" fontId="35" fillId="8" borderId="0" xfId="12" applyFont="1" applyFill="1" applyBorder="1" applyAlignment="1" applyProtection="1">
      <alignment vertical="center" wrapText="1"/>
      <protection hidden="1"/>
    </xf>
    <xf numFmtId="0" fontId="34" fillId="8" borderId="0" xfId="12" applyFont="1" applyFill="1" applyAlignment="1" applyProtection="1">
      <alignment horizontal="center" vertical="center"/>
      <protection hidden="1"/>
    </xf>
    <xf numFmtId="0" fontId="8" fillId="8" borderId="0" xfId="0" applyFont="1" applyFill="1" applyBorder="1" applyProtection="1">
      <protection hidden="1"/>
    </xf>
    <xf numFmtId="168" fontId="81" fillId="8" borderId="35" xfId="12" applyNumberFormat="1" applyFont="1" applyFill="1" applyBorder="1" applyAlignment="1" applyProtection="1">
      <alignment vertical="center" wrapText="1"/>
      <protection locked="0" hidden="1"/>
    </xf>
    <xf numFmtId="168" fontId="80" fillId="8" borderId="35" xfId="12" applyNumberFormat="1" applyFont="1" applyFill="1" applyBorder="1" applyAlignment="1" applyProtection="1">
      <alignment vertical="center"/>
      <protection hidden="1"/>
    </xf>
    <xf numFmtId="0" fontId="34" fillId="5" borderId="35" xfId="12" applyFont="1" applyFill="1" applyBorder="1" applyAlignment="1" applyProtection="1">
      <alignment vertical="center"/>
      <protection hidden="1"/>
    </xf>
    <xf numFmtId="0" fontId="35" fillId="8" borderId="0" xfId="12" applyFont="1" applyFill="1" applyBorder="1" applyAlignment="1" applyProtection="1">
      <alignment horizontal="center" vertical="center"/>
      <protection hidden="1"/>
    </xf>
    <xf numFmtId="0" fontId="14" fillId="8" borderId="0" xfId="12" applyFont="1" applyFill="1" applyBorder="1" applyAlignment="1" applyProtection="1">
      <alignment vertical="center"/>
      <protection hidden="1"/>
    </xf>
    <xf numFmtId="0" fontId="34" fillId="8" borderId="42" xfId="12" applyFont="1" applyFill="1" applyBorder="1" applyAlignment="1" applyProtection="1">
      <alignment vertical="center"/>
      <protection hidden="1"/>
    </xf>
    <xf numFmtId="0" fontId="64" fillId="8" borderId="0" xfId="12" applyFont="1" applyFill="1" applyBorder="1" applyAlignment="1" applyProtection="1">
      <alignment vertical="center"/>
      <protection hidden="1"/>
    </xf>
    <xf numFmtId="0" fontId="63" fillId="8" borderId="0" xfId="12" applyFont="1" applyFill="1" applyBorder="1" applyAlignment="1" applyProtection="1">
      <alignment horizontal="left" vertical="center"/>
      <protection locked="0" hidden="1"/>
    </xf>
    <xf numFmtId="14" fontId="46" fillId="8" borderId="0" xfId="12" applyNumberFormat="1" applyFont="1" applyFill="1" applyBorder="1" applyAlignment="1" applyProtection="1">
      <alignment vertical="center" wrapText="1"/>
      <protection hidden="1"/>
    </xf>
    <xf numFmtId="0" fontId="82" fillId="8" borderId="35" xfId="12" applyFont="1" applyFill="1" applyBorder="1" applyAlignment="1" applyProtection="1">
      <alignment horizontal="center" vertical="center"/>
      <protection locked="0" hidden="1"/>
    </xf>
    <xf numFmtId="0" fontId="84" fillId="8" borderId="35" xfId="12" applyFont="1" applyFill="1" applyBorder="1" applyAlignment="1" applyProtection="1">
      <alignment horizontal="center" vertical="center" wrapText="1"/>
      <protection locked="0" hidden="1"/>
    </xf>
    <xf numFmtId="0" fontId="85" fillId="8" borderId="35" xfId="12" applyFont="1" applyFill="1" applyBorder="1" applyAlignment="1" applyProtection="1">
      <alignment horizontal="center" vertical="center"/>
      <protection locked="0" hidden="1"/>
    </xf>
    <xf numFmtId="0" fontId="84" fillId="8" borderId="35" xfId="12" applyFont="1" applyFill="1" applyBorder="1" applyAlignment="1" applyProtection="1">
      <alignment horizontal="left" vertical="center" wrapText="1"/>
      <protection locked="0" hidden="1"/>
    </xf>
    <xf numFmtId="0" fontId="84" fillId="8" borderId="36" xfId="12" applyFont="1" applyFill="1" applyBorder="1" applyAlignment="1" applyProtection="1">
      <alignment horizontal="left" vertical="center" wrapText="1"/>
      <protection locked="0" hidden="1"/>
    </xf>
    <xf numFmtId="168" fontId="80" fillId="8" borderId="35" xfId="12" applyNumberFormat="1" applyFont="1" applyFill="1" applyBorder="1" applyAlignment="1" applyProtection="1">
      <alignment vertical="center"/>
      <protection locked="0" hidden="1"/>
    </xf>
    <xf numFmtId="0" fontId="80" fillId="8" borderId="35" xfId="12" applyFont="1" applyFill="1" applyBorder="1" applyAlignment="1" applyProtection="1">
      <alignment horizontal="center" vertical="center"/>
      <protection locked="0" hidden="1"/>
    </xf>
    <xf numFmtId="0" fontId="74" fillId="12" borderId="35" xfId="12" applyFont="1" applyFill="1" applyBorder="1" applyAlignment="1" applyProtection="1">
      <alignment horizontal="center" vertical="center"/>
      <protection hidden="1"/>
    </xf>
    <xf numFmtId="0" fontId="74" fillId="12" borderId="35" xfId="12" applyFont="1" applyFill="1" applyBorder="1" applyAlignment="1" applyProtection="1">
      <alignment horizontal="center" vertical="center" wrapText="1"/>
      <protection hidden="1"/>
    </xf>
    <xf numFmtId="0" fontId="74" fillId="12" borderId="36" xfId="12" applyFont="1" applyFill="1" applyBorder="1" applyAlignment="1" applyProtection="1">
      <alignment horizontal="center" vertical="center"/>
      <protection hidden="1"/>
    </xf>
    <xf numFmtId="0" fontId="35" fillId="8" borderId="1" xfId="12" applyFont="1" applyFill="1" applyBorder="1" applyAlignment="1" applyProtection="1">
      <alignment horizontal="center" vertical="center"/>
      <protection hidden="1"/>
    </xf>
    <xf numFmtId="14" fontId="86" fillId="8" borderId="0" xfId="12" applyNumberFormat="1" applyFont="1" applyFill="1" applyProtection="1">
      <protection hidden="1"/>
    </xf>
    <xf numFmtId="0" fontId="36" fillId="16" borderId="40" xfId="12" applyFont="1" applyFill="1" applyBorder="1" applyAlignment="1" applyProtection="1">
      <alignment horizontal="center" vertical="center"/>
      <protection hidden="1"/>
    </xf>
    <xf numFmtId="0" fontId="36" fillId="16" borderId="40" xfId="12" applyFont="1" applyFill="1" applyBorder="1" applyAlignment="1" applyProtection="1">
      <alignment horizontal="center" vertical="center" wrapText="1"/>
      <protection hidden="1"/>
    </xf>
    <xf numFmtId="0" fontId="34" fillId="0" borderId="0" xfId="12" applyFont="1" applyFill="1" applyBorder="1" applyAlignment="1" applyProtection="1">
      <alignment horizontal="center" vertical="center"/>
      <protection hidden="1"/>
    </xf>
    <xf numFmtId="0" fontId="34" fillId="0" borderId="0" xfId="12" applyFont="1" applyFill="1" applyAlignment="1" applyProtection="1">
      <alignment vertical="center"/>
      <protection hidden="1"/>
    </xf>
    <xf numFmtId="0" fontId="41" fillId="0" borderId="0" xfId="12" applyFont="1" applyFill="1" applyBorder="1" applyAlignment="1" applyProtection="1">
      <alignment horizontal="center" vertical="center"/>
      <protection locked="0" hidden="1"/>
    </xf>
    <xf numFmtId="0" fontId="34" fillId="0" borderId="0" xfId="12" applyFont="1" applyFill="1" applyBorder="1" applyProtection="1">
      <protection hidden="1"/>
    </xf>
    <xf numFmtId="0" fontId="34" fillId="0" borderId="0" xfId="12" applyFont="1" applyFill="1" applyBorder="1" applyAlignment="1" applyProtection="1">
      <alignment vertical="center"/>
      <protection hidden="1"/>
    </xf>
    <xf numFmtId="14" fontId="34" fillId="0" borderId="0" xfId="12" applyNumberFormat="1" applyFont="1" applyFill="1" applyAlignment="1" applyProtection="1">
      <alignment horizontal="left" vertical="center"/>
      <protection hidden="1"/>
    </xf>
    <xf numFmtId="14" fontId="45" fillId="0" borderId="0" xfId="0" applyNumberFormat="1" applyFont="1" applyFill="1" applyBorder="1" applyAlignment="1">
      <alignment horizontal="left" vertical="center"/>
    </xf>
    <xf numFmtId="0" fontId="36" fillId="0" borderId="0" xfId="12" applyFont="1" applyFill="1" applyBorder="1" applyAlignment="1" applyProtection="1">
      <alignment vertical="center"/>
      <protection hidden="1"/>
    </xf>
    <xf numFmtId="0" fontId="34" fillId="0" borderId="0" xfId="12" applyFont="1" applyFill="1" applyBorder="1" applyAlignment="1" applyProtection="1">
      <alignment horizontal="left" vertical="center"/>
      <protection hidden="1"/>
    </xf>
    <xf numFmtId="0" fontId="34" fillId="0" borderId="0" xfId="12" applyFont="1" applyFill="1" applyBorder="1" applyAlignment="1" applyProtection="1">
      <alignment horizontal="left" vertical="center" wrapText="1"/>
      <protection hidden="1"/>
    </xf>
    <xf numFmtId="165" fontId="34" fillId="0" borderId="0" xfId="12" applyNumberFormat="1" applyFont="1" applyFill="1" applyBorder="1" applyAlignment="1" applyProtection="1">
      <alignment vertical="center"/>
      <protection hidden="1"/>
    </xf>
    <xf numFmtId="165" fontId="34" fillId="0" borderId="0" xfId="12" applyNumberFormat="1" applyFont="1" applyFill="1" applyAlignment="1" applyProtection="1">
      <alignment vertical="center"/>
      <protection hidden="1"/>
    </xf>
    <xf numFmtId="165" fontId="34" fillId="0" borderId="0" xfId="12" applyNumberFormat="1" applyFont="1" applyFill="1" applyAlignment="1" applyProtection="1">
      <alignment horizontal="left" vertical="center"/>
      <protection hidden="1"/>
    </xf>
    <xf numFmtId="14" fontId="34" fillId="0" borderId="0" xfId="12" applyNumberFormat="1" applyFont="1" applyFill="1" applyBorder="1" applyAlignment="1" applyProtection="1">
      <alignment vertical="center"/>
      <protection hidden="1"/>
    </xf>
    <xf numFmtId="0" fontId="34" fillId="0" borderId="0" xfId="12" applyFont="1" applyFill="1" applyAlignment="1" applyProtection="1">
      <alignment vertical="center" wrapText="1"/>
      <protection hidden="1"/>
    </xf>
    <xf numFmtId="0" fontId="34" fillId="0" borderId="0" xfId="12" applyFont="1" applyFill="1" applyAlignment="1" applyProtection="1">
      <alignment horizontal="center" vertical="center"/>
      <protection hidden="1"/>
    </xf>
    <xf numFmtId="165" fontId="34" fillId="0" borderId="0" xfId="12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46" fillId="0" borderId="0" xfId="12" applyFont="1" applyFill="1" applyBorder="1" applyAlignment="1" applyProtection="1">
      <alignment vertical="center"/>
      <protection hidden="1"/>
    </xf>
    <xf numFmtId="14" fontId="83" fillId="0" borderId="0" xfId="12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0" xfId="12" applyFont="1" applyFill="1" applyBorder="1" applyProtection="1">
      <protection hidden="1"/>
    </xf>
    <xf numFmtId="14" fontId="83" fillId="0" borderId="0" xfId="12" applyNumberFormat="1" applyFont="1" applyFill="1" applyBorder="1" applyAlignment="1" applyProtection="1">
      <alignment horizontal="left" vertical="center"/>
      <protection locked="0" hidden="1"/>
    </xf>
    <xf numFmtId="0" fontId="14" fillId="0" borderId="0" xfId="12" applyFont="1" applyFill="1" applyBorder="1" applyAlignment="1" applyProtection="1">
      <alignment vertical="center"/>
      <protection hidden="1"/>
    </xf>
    <xf numFmtId="14" fontId="87" fillId="0" borderId="0" xfId="12" applyNumberFormat="1" applyFont="1" applyFill="1" applyBorder="1" applyAlignment="1" applyProtection="1">
      <alignment horizontal="left" vertical="center"/>
      <protection hidden="1"/>
    </xf>
    <xf numFmtId="165" fontId="87" fillId="0" borderId="0" xfId="12" applyNumberFormat="1" applyFont="1" applyFill="1" applyBorder="1" applyAlignment="1" applyProtection="1">
      <alignment horizontal="left" vertical="center"/>
      <protection hidden="1"/>
    </xf>
    <xf numFmtId="14" fontId="41" fillId="0" borderId="0" xfId="12" applyNumberFormat="1" applyFont="1" applyFill="1" applyBorder="1" applyAlignment="1" applyProtection="1">
      <alignment horizontal="left" vertical="center"/>
      <protection hidden="1"/>
    </xf>
    <xf numFmtId="0" fontId="34" fillId="0" borderId="0" xfId="12" applyFont="1" applyFill="1" applyBorder="1" applyAlignment="1" applyProtection="1">
      <alignment horizontal="left"/>
      <protection hidden="1"/>
    </xf>
    <xf numFmtId="165" fontId="34" fillId="18" borderId="0" xfId="12" applyNumberFormat="1" applyFont="1" applyFill="1" applyBorder="1" applyAlignment="1" applyProtection="1">
      <alignment horizontal="left" vertical="center"/>
      <protection hidden="1"/>
    </xf>
    <xf numFmtId="14" fontId="34" fillId="0" borderId="0" xfId="12" applyNumberFormat="1" applyFont="1" applyFill="1" applyBorder="1" applyAlignment="1" applyProtection="1">
      <alignment horizontal="left"/>
      <protection hidden="1"/>
    </xf>
    <xf numFmtId="14" fontId="34" fillId="0" borderId="0" xfId="12" applyNumberFormat="1" applyFont="1" applyFill="1" applyBorder="1" applyProtection="1">
      <protection hidden="1"/>
    </xf>
    <xf numFmtId="14" fontId="34" fillId="19" borderId="0" xfId="12" applyNumberFormat="1" applyFont="1" applyFill="1" applyBorder="1" applyAlignment="1" applyProtection="1">
      <alignment horizontal="left" vertical="center"/>
      <protection hidden="1"/>
    </xf>
    <xf numFmtId="0" fontId="35" fillId="20" borderId="0" xfId="12" applyFont="1" applyFill="1" applyBorder="1" applyAlignment="1" applyProtection="1">
      <alignment horizontal="center" vertical="center"/>
      <protection hidden="1"/>
    </xf>
    <xf numFmtId="0" fontId="34" fillId="8" borderId="1" xfId="12" applyFont="1" applyFill="1" applyBorder="1" applyAlignment="1" applyProtection="1">
      <alignment horizontal="center" vertical="center"/>
      <protection hidden="1"/>
    </xf>
    <xf numFmtId="14" fontId="34" fillId="21" borderId="0" xfId="12" applyNumberFormat="1" applyFont="1" applyFill="1" applyBorder="1" applyProtection="1">
      <protection hidden="1"/>
    </xf>
    <xf numFmtId="0" fontId="34" fillId="21" borderId="0" xfId="12" applyFont="1" applyFill="1" applyBorder="1" applyAlignment="1" applyProtection="1">
      <alignment horizontal="left"/>
      <protection hidden="1"/>
    </xf>
    <xf numFmtId="165" fontId="34" fillId="0" borderId="0" xfId="12" applyNumberFormat="1" applyFont="1" applyFill="1" applyBorder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8" fillId="0" borderId="0" xfId="0" applyFont="1" applyFill="1"/>
    <xf numFmtId="0" fontId="34" fillId="8" borderId="0" xfId="12" applyFont="1" applyFill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34" fillId="8" borderId="6" xfId="12" applyFont="1" applyFill="1" applyBorder="1" applyAlignment="1" applyProtection="1">
      <alignment horizontal="center" vertical="center" wrapText="1"/>
      <protection hidden="1"/>
    </xf>
    <xf numFmtId="165" fontId="14" fillId="23" borderId="47" xfId="0" applyNumberFormat="1" applyFont="1" applyFill="1" applyBorder="1" applyAlignment="1" applyProtection="1">
      <alignment horizontal="center" vertical="center" wrapText="1"/>
      <protection hidden="1"/>
    </xf>
    <xf numFmtId="0" fontId="87" fillId="23" borderId="47" xfId="0" applyNumberFormat="1" applyFont="1" applyFill="1" applyBorder="1" applyAlignment="1" applyProtection="1">
      <alignment horizontal="center" vertical="center" wrapText="1"/>
      <protection hidden="1"/>
    </xf>
    <xf numFmtId="0" fontId="34" fillId="23" borderId="47" xfId="0" applyFont="1" applyFill="1" applyBorder="1" applyAlignment="1" applyProtection="1">
      <alignment horizontal="center"/>
      <protection hidden="1"/>
    </xf>
    <xf numFmtId="0" fontId="34" fillId="23" borderId="47" xfId="0" applyFont="1" applyFill="1" applyBorder="1" applyAlignment="1" applyProtection="1">
      <alignment horizontal="center" vertical="center"/>
      <protection hidden="1"/>
    </xf>
    <xf numFmtId="14" fontId="34" fillId="23" borderId="47" xfId="0" applyNumberFormat="1" applyFont="1" applyFill="1" applyBorder="1" applyProtection="1">
      <protection hidden="1"/>
    </xf>
    <xf numFmtId="0" fontId="34" fillId="23" borderId="47" xfId="0" applyFont="1" applyFill="1" applyBorder="1" applyProtection="1">
      <protection hidden="1"/>
    </xf>
    <xf numFmtId="0" fontId="34" fillId="23" borderId="47" xfId="17" applyFont="1" applyFill="1" applyBorder="1" applyAlignment="1" applyProtection="1">
      <alignment horizontal="center" vertical="center"/>
      <protection hidden="1"/>
    </xf>
    <xf numFmtId="14" fontId="31" fillId="0" borderId="0" xfId="0" applyNumberFormat="1" applyFont="1" applyFill="1" applyBorder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wrapText="1"/>
      <protection hidden="1"/>
    </xf>
    <xf numFmtId="165" fontId="31" fillId="0" borderId="0" xfId="0" applyNumberFormat="1" applyFont="1" applyFill="1" applyBorder="1" applyAlignment="1" applyProtection="1">
      <alignment wrapText="1"/>
      <protection hidden="1"/>
    </xf>
    <xf numFmtId="0" fontId="31" fillId="5" borderId="48" xfId="0" applyFont="1" applyFill="1" applyBorder="1" applyAlignment="1" applyProtection="1">
      <alignment horizontal="center" vertical="center" wrapText="1"/>
      <protection hidden="1"/>
    </xf>
    <xf numFmtId="0" fontId="31" fillId="5" borderId="49" xfId="0" applyFont="1" applyFill="1" applyBorder="1" applyAlignment="1" applyProtection="1">
      <alignment horizontal="center" vertical="center" wrapText="1"/>
      <protection hidden="1"/>
    </xf>
    <xf numFmtId="14" fontId="8" fillId="0" borderId="0" xfId="0" applyNumberFormat="1" applyFont="1" applyFill="1"/>
    <xf numFmtId="14" fontId="0" fillId="0" borderId="0" xfId="0" applyNumberFormat="1" applyFill="1"/>
    <xf numFmtId="165" fontId="34" fillId="0" borderId="0" xfId="12" applyNumberFormat="1" applyFont="1" applyFill="1" applyBorder="1" applyProtection="1">
      <protection hidden="1"/>
    </xf>
    <xf numFmtId="0" fontId="74" fillId="12" borderId="0" xfId="12" applyFont="1" applyFill="1" applyBorder="1" applyAlignment="1" applyProtection="1">
      <alignment horizontal="center" vertical="center"/>
      <protection hidden="1"/>
    </xf>
    <xf numFmtId="0" fontId="8" fillId="14" borderId="0" xfId="0" applyFont="1" applyFill="1" applyAlignment="1" applyProtection="1">
      <alignment shrinkToFit="1"/>
      <protection hidden="1"/>
    </xf>
    <xf numFmtId="0" fontId="8" fillId="5" borderId="56" xfId="0" applyFont="1" applyFill="1" applyBorder="1" applyAlignment="1" applyProtection="1">
      <alignment horizontal="left" vertical="center" shrinkToFit="1"/>
      <protection hidden="1"/>
    </xf>
    <xf numFmtId="0" fontId="8" fillId="5" borderId="51" xfId="0" applyFont="1" applyFill="1" applyBorder="1" applyAlignment="1" applyProtection="1">
      <alignment horizontal="center" vertical="center" shrinkToFit="1"/>
      <protection hidden="1"/>
    </xf>
    <xf numFmtId="0" fontId="90" fillId="5" borderId="51" xfId="0" applyFont="1" applyFill="1" applyBorder="1" applyAlignment="1" applyProtection="1">
      <alignment horizontal="center" vertical="center" shrinkToFit="1"/>
      <protection hidden="1"/>
    </xf>
    <xf numFmtId="0" fontId="90" fillId="5" borderId="59" xfId="0" applyFont="1" applyFill="1" applyBorder="1" applyAlignment="1" applyProtection="1">
      <alignment horizontal="center" vertical="center" shrinkToFit="1"/>
      <protection hidden="1"/>
    </xf>
    <xf numFmtId="0" fontId="8" fillId="5" borderId="59" xfId="0" applyFont="1" applyFill="1" applyBorder="1" applyAlignment="1" applyProtection="1">
      <alignment shrinkToFit="1"/>
      <protection hidden="1"/>
    </xf>
    <xf numFmtId="0" fontId="8" fillId="5" borderId="55" xfId="0" applyFont="1" applyFill="1" applyBorder="1" applyAlignment="1" applyProtection="1">
      <alignment horizontal="center" vertical="center" wrapText="1" shrinkToFit="1"/>
      <protection hidden="1"/>
    </xf>
    <xf numFmtId="0" fontId="87" fillId="0" borderId="0" xfId="12" applyFont="1" applyFill="1" applyBorder="1" applyProtection="1">
      <protection hidden="1"/>
    </xf>
    <xf numFmtId="0" fontId="35" fillId="0" borderId="0" xfId="12" applyFont="1" applyFill="1" applyBorder="1" applyAlignment="1" applyProtection="1">
      <alignment horizontal="center" vertical="center"/>
      <protection hidden="1"/>
    </xf>
    <xf numFmtId="0" fontId="74" fillId="7" borderId="0" xfId="12" applyFont="1" applyFill="1" applyBorder="1" applyAlignment="1" applyProtection="1">
      <alignment horizontal="center" vertical="center"/>
      <protection hidden="1"/>
    </xf>
    <xf numFmtId="0" fontId="31" fillId="7" borderId="48" xfId="0" applyFont="1" applyFill="1" applyBorder="1" applyAlignment="1" applyProtection="1">
      <alignment horizontal="center" vertical="center" wrapText="1"/>
      <protection hidden="1"/>
    </xf>
    <xf numFmtId="0" fontId="74" fillId="27" borderId="0" xfId="12" applyFont="1" applyFill="1" applyBorder="1" applyAlignment="1" applyProtection="1">
      <alignment horizontal="center" vertical="center"/>
      <protection hidden="1"/>
    </xf>
    <xf numFmtId="0" fontId="31" fillId="27" borderId="48" xfId="0" applyFont="1" applyFill="1" applyBorder="1" applyAlignment="1" applyProtection="1">
      <alignment horizontal="center" vertical="center" wrapText="1"/>
      <protection hidden="1"/>
    </xf>
    <xf numFmtId="0" fontId="31" fillId="27" borderId="49" xfId="0" applyFont="1" applyFill="1" applyBorder="1" applyAlignment="1" applyProtection="1">
      <alignment horizontal="center" vertical="center" wrapText="1"/>
      <protection hidden="1"/>
    </xf>
    <xf numFmtId="0" fontId="31" fillId="7" borderId="49" xfId="0" applyFont="1" applyFill="1" applyBorder="1" applyAlignment="1" applyProtection="1">
      <alignment horizontal="center" vertical="center" wrapText="1"/>
      <protection hidden="1"/>
    </xf>
    <xf numFmtId="0" fontId="34" fillId="28" borderId="0" xfId="12" applyFont="1" applyFill="1" applyBorder="1" applyAlignment="1" applyProtection="1">
      <alignment horizontal="center" vertical="center"/>
      <protection hidden="1"/>
    </xf>
    <xf numFmtId="0" fontId="34" fillId="6" borderId="0" xfId="12" applyFont="1" applyFill="1" applyAlignment="1" applyProtection="1">
      <alignment horizontal="center" vertical="center"/>
      <protection hidden="1"/>
    </xf>
    <xf numFmtId="165" fontId="34" fillId="6" borderId="0" xfId="12" applyNumberFormat="1" applyFont="1" applyFill="1" applyBorder="1" applyAlignment="1" applyProtection="1">
      <alignment horizontal="left" vertical="center"/>
      <protection hidden="1"/>
    </xf>
    <xf numFmtId="0" fontId="34" fillId="6" borderId="0" xfId="12" applyFont="1" applyFill="1" applyBorder="1" applyAlignment="1" applyProtection="1">
      <alignment horizontal="center" vertical="center"/>
      <protection hidden="1"/>
    </xf>
    <xf numFmtId="14" fontId="34" fillId="6" borderId="0" xfId="12" applyNumberFormat="1" applyFont="1" applyFill="1" applyBorder="1" applyProtection="1">
      <protection hidden="1"/>
    </xf>
    <xf numFmtId="0" fontId="34" fillId="6" borderId="0" xfId="12" applyFont="1" applyFill="1" applyBorder="1" applyAlignment="1" applyProtection="1">
      <alignment vertical="center"/>
      <protection hidden="1"/>
    </xf>
    <xf numFmtId="0" fontId="34" fillId="6" borderId="0" xfId="12" applyFont="1" applyFill="1" applyBorder="1" applyAlignment="1" applyProtection="1">
      <alignment vertical="center" wrapText="1"/>
      <protection hidden="1"/>
    </xf>
    <xf numFmtId="165" fontId="34" fillId="6" borderId="0" xfId="12" applyNumberFormat="1" applyFont="1" applyFill="1" applyBorder="1" applyAlignment="1" applyProtection="1">
      <alignment vertical="center"/>
      <protection hidden="1"/>
    </xf>
    <xf numFmtId="14" fontId="34" fillId="6" borderId="0" xfId="12" applyNumberFormat="1" applyFont="1" applyFill="1" applyBorder="1" applyAlignment="1" applyProtection="1">
      <alignment vertical="center"/>
      <protection hidden="1"/>
    </xf>
    <xf numFmtId="165" fontId="34" fillId="6" borderId="0" xfId="12" applyNumberFormat="1" applyFont="1" applyFill="1" applyBorder="1" applyAlignment="1" applyProtection="1">
      <alignment horizontal="center" vertical="center"/>
      <protection hidden="1"/>
    </xf>
    <xf numFmtId="14" fontId="14" fillId="21" borderId="0" xfId="12" applyNumberFormat="1" applyFont="1" applyFill="1" applyBorder="1" applyAlignment="1" applyProtection="1">
      <alignment vertical="center"/>
      <protection hidden="1"/>
    </xf>
    <xf numFmtId="14" fontId="34" fillId="21" borderId="0" xfId="12" applyNumberFormat="1" applyFont="1" applyFill="1" applyBorder="1" applyAlignment="1" applyProtection="1">
      <alignment vertical="center"/>
      <protection hidden="1"/>
    </xf>
    <xf numFmtId="14" fontId="34" fillId="0" borderId="0" xfId="12" applyNumberFormat="1" applyFont="1" applyFill="1" applyBorder="1" applyAlignment="1" applyProtection="1">
      <alignment horizontal="center" vertical="center"/>
      <protection hidden="1"/>
    </xf>
    <xf numFmtId="165" fontId="34" fillId="0" borderId="0" xfId="12" applyNumberFormat="1" applyFont="1" applyFill="1" applyBorder="1" applyAlignment="1" applyProtection="1">
      <alignment horizontal="center" vertical="center"/>
      <protection hidden="1"/>
    </xf>
    <xf numFmtId="14" fontId="34" fillId="0" borderId="0" xfId="12" applyNumberFormat="1" applyFont="1" applyFill="1" applyAlignment="1" applyProtection="1">
      <alignment vertical="center"/>
      <protection hidden="1"/>
    </xf>
    <xf numFmtId="14" fontId="0" fillId="0" borderId="0" xfId="0" applyNumberFormat="1" applyFill="1" applyAlignment="1">
      <alignment horizontal="left"/>
    </xf>
    <xf numFmtId="0" fontId="0" fillId="15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61" fillId="17" borderId="0" xfId="12" applyFont="1" applyFill="1" applyProtection="1">
      <protection locked="0"/>
    </xf>
    <xf numFmtId="0" fontId="39" fillId="5" borderId="40" xfId="12" applyFont="1" applyFill="1" applyBorder="1" applyAlignment="1" applyProtection="1">
      <alignment horizontal="left" vertical="center"/>
      <protection locked="0"/>
    </xf>
    <xf numFmtId="169" fontId="30" fillId="5" borderId="40" xfId="12" applyNumberFormat="1" applyFont="1" applyFill="1" applyBorder="1" applyAlignment="1" applyProtection="1">
      <alignment vertical="center"/>
      <protection locked="0"/>
    </xf>
    <xf numFmtId="1" fontId="46" fillId="5" borderId="40" xfId="12" applyNumberFormat="1" applyFont="1" applyFill="1" applyBorder="1" applyAlignment="1" applyProtection="1">
      <alignment horizontal="center" vertical="center"/>
      <protection locked="0"/>
    </xf>
    <xf numFmtId="0" fontId="95" fillId="8" borderId="0" xfId="12" applyFont="1" applyFill="1" applyAlignment="1" applyProtection="1">
      <alignment horizontal="left" vertical="center"/>
      <protection hidden="1"/>
    </xf>
    <xf numFmtId="164" fontId="8" fillId="5" borderId="55" xfId="0" applyNumberFormat="1" applyFont="1" applyFill="1" applyBorder="1" applyAlignment="1" applyProtection="1">
      <alignment horizontal="left" vertical="center" shrinkToFit="1"/>
      <protection hidden="1"/>
    </xf>
    <xf numFmtId="0" fontId="8" fillId="5" borderId="55" xfId="0" applyFont="1" applyFill="1" applyBorder="1" applyAlignment="1" applyProtection="1">
      <alignment horizontal="left" vertical="center" shrinkToFit="1"/>
      <protection hidden="1"/>
    </xf>
    <xf numFmtId="0" fontId="8" fillId="5" borderId="55" xfId="0" applyFont="1" applyFill="1" applyBorder="1" applyAlignment="1" applyProtection="1">
      <alignment horizontal="center" vertical="center" shrinkToFit="1"/>
      <protection hidden="1"/>
    </xf>
    <xf numFmtId="0" fontId="0" fillId="5" borderId="0" xfId="0" applyFill="1" applyProtection="1">
      <protection hidden="1"/>
    </xf>
    <xf numFmtId="0" fontId="8" fillId="5" borderId="0" xfId="0" applyFont="1" applyFill="1" applyAlignment="1" applyProtection="1">
      <alignment horizontal="center" vertical="center"/>
      <protection hidden="1"/>
    </xf>
    <xf numFmtId="0" fontId="8" fillId="5" borderId="0" xfId="0" applyFont="1" applyFill="1" applyAlignment="1" applyProtection="1">
      <alignment horizontal="center"/>
      <protection hidden="1"/>
    </xf>
    <xf numFmtId="0" fontId="0" fillId="8" borderId="0" xfId="0" applyFill="1" applyAlignment="1">
      <alignment horizontal="center" vertical="center"/>
    </xf>
    <xf numFmtId="0" fontId="14" fillId="8" borderId="0" xfId="12" applyFont="1" applyFill="1" applyProtection="1">
      <protection hidden="1"/>
    </xf>
    <xf numFmtId="0" fontId="14" fillId="8" borderId="0" xfId="12" applyFont="1" applyFill="1" applyAlignment="1" applyProtection="1">
      <alignment horizontal="left" vertical="center"/>
      <protection hidden="1"/>
    </xf>
    <xf numFmtId="0" fontId="99" fillId="8" borderId="0" xfId="12" applyFont="1" applyFill="1" applyProtection="1">
      <protection hidden="1"/>
    </xf>
    <xf numFmtId="168" fontId="14" fillId="8" borderId="0" xfId="12" applyNumberFormat="1" applyFont="1" applyFill="1" applyAlignment="1" applyProtection="1">
      <alignment horizontal="left" vertical="center"/>
      <protection hidden="1"/>
    </xf>
    <xf numFmtId="17" fontId="99" fillId="8" borderId="0" xfId="12" applyNumberFormat="1" applyFont="1" applyFill="1" applyProtection="1">
      <protection hidden="1"/>
    </xf>
    <xf numFmtId="17" fontId="14" fillId="8" borderId="0" xfId="12" applyNumberFormat="1" applyFont="1" applyFill="1" applyAlignment="1" applyProtection="1">
      <alignment horizontal="left"/>
      <protection hidden="1"/>
    </xf>
    <xf numFmtId="0" fontId="15" fillId="8" borderId="0" xfId="0" applyFont="1" applyFill="1" applyBorder="1" applyAlignment="1">
      <alignment horizontal="right" vertical="center"/>
    </xf>
    <xf numFmtId="3" fontId="15" fillId="8" borderId="0" xfId="0" applyNumberFormat="1" applyFont="1" applyFill="1" applyBorder="1" applyAlignment="1">
      <alignment horizontal="left" vertical="center" wrapText="1"/>
    </xf>
    <xf numFmtId="14" fontId="14" fillId="8" borderId="0" xfId="12" applyNumberFormat="1" applyFont="1" applyFill="1" applyProtection="1">
      <protection hidden="1"/>
    </xf>
    <xf numFmtId="0" fontId="14" fillId="8" borderId="0" xfId="12" applyFont="1" applyFill="1" applyBorder="1" applyProtection="1">
      <protection hidden="1"/>
    </xf>
    <xf numFmtId="0" fontId="8" fillId="8" borderId="0" xfId="0" applyFont="1" applyFill="1" applyAlignment="1" applyProtection="1">
      <alignment vertical="top"/>
    </xf>
    <xf numFmtId="0" fontId="8" fillId="8" borderId="1" xfId="0" applyFont="1" applyFill="1" applyBorder="1" applyAlignment="1" applyProtection="1">
      <alignment horizontal="center"/>
      <protection hidden="1"/>
    </xf>
    <xf numFmtId="0" fontId="8" fillId="8" borderId="1" xfId="0" applyFont="1" applyFill="1" applyBorder="1" applyAlignment="1" applyProtection="1">
      <alignment horizontal="center" wrapText="1"/>
      <protection hidden="1"/>
    </xf>
    <xf numFmtId="0" fontId="14" fillId="8" borderId="0" xfId="12" applyFont="1" applyFill="1" applyAlignment="1" applyProtection="1">
      <alignment horizontal="left" indent="1"/>
      <protection hidden="1"/>
    </xf>
    <xf numFmtId="0" fontId="14" fillId="8" borderId="0" xfId="12" applyFont="1" applyFill="1" applyAlignment="1" applyProtection="1">
      <alignment vertical="center"/>
      <protection hidden="1"/>
    </xf>
    <xf numFmtId="14" fontId="98" fillId="8" borderId="0" xfId="12" applyNumberFormat="1" applyFont="1" applyFill="1" applyProtection="1">
      <protection hidden="1"/>
    </xf>
    <xf numFmtId="0" fontId="14" fillId="8" borderId="1" xfId="12" applyFont="1" applyFill="1" applyBorder="1" applyAlignment="1" applyProtection="1">
      <alignment horizontal="center" vertical="center" wrapText="1"/>
      <protection hidden="1"/>
    </xf>
    <xf numFmtId="0" fontId="14" fillId="8" borderId="2" xfId="12" applyFont="1" applyFill="1" applyBorder="1" applyAlignment="1" applyProtection="1">
      <alignment horizontal="center" vertical="center" wrapText="1"/>
      <protection hidden="1"/>
    </xf>
    <xf numFmtId="168" fontId="14" fillId="8" borderId="0" xfId="12" applyNumberFormat="1" applyFont="1" applyFill="1" applyProtection="1">
      <protection hidden="1"/>
    </xf>
    <xf numFmtId="0" fontId="8" fillId="8" borderId="0" xfId="0" applyFont="1" applyFill="1" applyBorder="1" applyAlignment="1" applyProtection="1">
      <alignment horizontal="center"/>
      <protection hidden="1"/>
    </xf>
    <xf numFmtId="168" fontId="8" fillId="8" borderId="0" xfId="0" applyNumberFormat="1" applyFont="1" applyFill="1" applyBorder="1" applyProtection="1">
      <protection hidden="1"/>
    </xf>
    <xf numFmtId="0" fontId="14" fillId="8" borderId="0" xfId="12" applyFont="1" applyFill="1" applyBorder="1" applyAlignment="1" applyProtection="1">
      <alignment horizontal="center" vertical="center"/>
      <protection hidden="1"/>
    </xf>
    <xf numFmtId="0" fontId="15" fillId="8" borderId="0" xfId="0" applyFont="1" applyFill="1" applyBorder="1" applyAlignment="1">
      <alignment horizontal="right"/>
    </xf>
    <xf numFmtId="168" fontId="14" fillId="8" borderId="0" xfId="12" applyNumberFormat="1" applyFont="1" applyFill="1" applyAlignment="1" applyProtection="1">
      <alignment horizontal="left"/>
      <protection hidden="1"/>
    </xf>
    <xf numFmtId="49" fontId="30" fillId="8" borderId="0" xfId="12" applyNumberFormat="1" applyFont="1" applyFill="1" applyBorder="1" applyAlignment="1" applyProtection="1">
      <alignment vertical="center"/>
      <protection locked="0" hidden="1"/>
    </xf>
    <xf numFmtId="0" fontId="46" fillId="8" borderId="0" xfId="12" applyFont="1" applyFill="1" applyBorder="1" applyAlignment="1" applyProtection="1">
      <alignment horizontal="center" vertical="center"/>
      <protection locked="0" hidden="1"/>
    </xf>
    <xf numFmtId="17" fontId="14" fillId="8" borderId="0" xfId="12" applyNumberFormat="1" applyFont="1" applyFill="1" applyProtection="1">
      <protection hidden="1"/>
    </xf>
    <xf numFmtId="0" fontId="30" fillId="8" borderId="0" xfId="12" applyFont="1" applyFill="1" applyBorder="1" applyAlignment="1" applyProtection="1">
      <alignment vertical="center"/>
      <protection hidden="1"/>
    </xf>
    <xf numFmtId="0" fontId="30" fillId="8" borderId="0" xfId="12" applyFont="1" applyFill="1" applyBorder="1" applyAlignment="1" applyProtection="1">
      <alignment horizontal="center" vertical="center"/>
      <protection hidden="1"/>
    </xf>
    <xf numFmtId="0" fontId="30" fillId="8" borderId="0" xfId="12" applyFont="1" applyFill="1" applyBorder="1" applyAlignment="1" applyProtection="1">
      <alignment vertical="center" wrapText="1"/>
      <protection hidden="1"/>
    </xf>
    <xf numFmtId="0" fontId="30" fillId="8" borderId="0" xfId="12" applyFont="1" applyFill="1" applyBorder="1" applyAlignment="1" applyProtection="1">
      <alignment horizontal="center" wrapText="1"/>
      <protection hidden="1"/>
    </xf>
    <xf numFmtId="17" fontId="30" fillId="8" borderId="0" xfId="12" applyNumberFormat="1" applyFont="1" applyFill="1" applyBorder="1" applyAlignment="1" applyProtection="1">
      <alignment horizontal="center" vertical="center"/>
      <protection locked="0" hidden="1"/>
    </xf>
    <xf numFmtId="0" fontId="94" fillId="8" borderId="0" xfId="12" applyFont="1" applyFill="1" applyBorder="1" applyAlignment="1" applyProtection="1">
      <alignment horizontal="center" vertical="center"/>
      <protection locked="0" hidden="1"/>
    </xf>
    <xf numFmtId="0" fontId="94" fillId="8" borderId="0" xfId="12" applyFont="1" applyFill="1" applyBorder="1" applyAlignment="1" applyProtection="1">
      <alignment horizontal="center" vertical="center"/>
      <protection hidden="1"/>
    </xf>
    <xf numFmtId="0" fontId="46" fillId="16" borderId="40" xfId="12" applyFont="1" applyFill="1" applyBorder="1" applyAlignment="1" applyProtection="1">
      <alignment horizontal="center" vertical="center" wrapText="1"/>
      <protection hidden="1"/>
    </xf>
    <xf numFmtId="0" fontId="30" fillId="8" borderId="0" xfId="12" applyFont="1" applyFill="1" applyBorder="1" applyAlignment="1" applyProtection="1">
      <alignment horizontal="center" vertical="center" wrapText="1"/>
      <protection hidden="1"/>
    </xf>
    <xf numFmtId="0" fontId="30" fillId="8" borderId="0" xfId="12" applyFont="1" applyFill="1" applyBorder="1" applyAlignment="1" applyProtection="1">
      <alignment vertical="center"/>
      <protection locked="0" hidden="1"/>
    </xf>
    <xf numFmtId="0" fontId="30" fillId="8" borderId="0" xfId="12" applyFont="1" applyFill="1" applyBorder="1" applyAlignment="1" applyProtection="1">
      <alignment horizontal="left" wrapText="1"/>
      <protection locked="0"/>
    </xf>
    <xf numFmtId="0" fontId="14" fillId="8" borderId="1" xfId="12" applyFont="1" applyFill="1" applyBorder="1" applyProtection="1">
      <protection hidden="1"/>
    </xf>
    <xf numFmtId="0" fontId="30" fillId="8" borderId="0" xfId="12" applyFont="1" applyFill="1" applyBorder="1" applyAlignment="1" applyProtection="1">
      <alignment horizontal="left" wrapText="1"/>
      <protection hidden="1"/>
    </xf>
    <xf numFmtId="0" fontId="94" fillId="8" borderId="0" xfId="12" applyFont="1" applyFill="1" applyBorder="1" applyAlignment="1" applyProtection="1">
      <alignment vertical="center"/>
      <protection locked="0" hidden="1"/>
    </xf>
    <xf numFmtId="0" fontId="14" fillId="8" borderId="2" xfId="12" applyFont="1" applyFill="1" applyBorder="1" applyAlignment="1" applyProtection="1">
      <alignment horizontal="center" vertical="center"/>
      <protection hidden="1"/>
    </xf>
    <xf numFmtId="0" fontId="101" fillId="8" borderId="0" xfId="12" applyFont="1" applyFill="1" applyBorder="1" applyAlignment="1" applyProtection="1">
      <alignment horizontal="center" vertical="center"/>
      <protection hidden="1"/>
    </xf>
    <xf numFmtId="0" fontId="99" fillId="8" borderId="0" xfId="12" applyFont="1" applyFill="1" applyProtection="1">
      <protection locked="0" hidden="1"/>
    </xf>
    <xf numFmtId="0" fontId="14" fillId="8" borderId="0" xfId="12" applyFont="1" applyFill="1" applyAlignment="1" applyProtection="1">
      <alignment horizontal="left" vertical="center"/>
      <protection locked="0" hidden="1"/>
    </xf>
    <xf numFmtId="0" fontId="30" fillId="8" borderId="17" xfId="12" applyFont="1" applyFill="1" applyBorder="1" applyAlignment="1" applyProtection="1">
      <alignment horizontal="left" vertical="center" wrapText="1"/>
      <protection hidden="1"/>
    </xf>
    <xf numFmtId="0" fontId="8" fillId="8" borderId="0" xfId="0" applyFont="1" applyFill="1" applyBorder="1" applyAlignment="1" applyProtection="1">
      <alignment horizontal="center" vertical="center"/>
      <protection hidden="1"/>
    </xf>
    <xf numFmtId="0" fontId="8" fillId="8" borderId="15" xfId="0" applyFont="1" applyFill="1" applyBorder="1" applyProtection="1">
      <protection hidden="1"/>
    </xf>
    <xf numFmtId="0" fontId="8" fillId="8" borderId="1" xfId="0" applyFont="1" applyFill="1" applyBorder="1" applyProtection="1">
      <protection hidden="1"/>
    </xf>
    <xf numFmtId="2" fontId="14" fillId="8" borderId="0" xfId="12" applyNumberFormat="1" applyFont="1" applyFill="1" applyProtection="1">
      <protection hidden="1"/>
    </xf>
    <xf numFmtId="0" fontId="14" fillId="8" borderId="0" xfId="12" applyFont="1" applyFill="1" applyAlignment="1" applyProtection="1">
      <alignment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horizontal="center"/>
    </xf>
    <xf numFmtId="0" fontId="8" fillId="31" borderId="0" xfId="0" applyFont="1" applyFill="1" applyAlignment="1" applyProtection="1">
      <alignment shrinkToFit="1"/>
      <protection hidden="1"/>
    </xf>
    <xf numFmtId="0" fontId="92" fillId="31" borderId="0" xfId="0" applyFont="1" applyFill="1" applyAlignment="1" applyProtection="1">
      <alignment shrinkToFit="1"/>
      <protection hidden="1"/>
    </xf>
    <xf numFmtId="14" fontId="8" fillId="0" borderId="0" xfId="0" applyNumberFormat="1" applyFont="1" applyFill="1" applyAlignment="1">
      <alignment horizontal="left"/>
    </xf>
    <xf numFmtId="165" fontId="8" fillId="0" borderId="0" xfId="0" applyNumberFormat="1" applyFont="1" applyFill="1"/>
    <xf numFmtId="0" fontId="36" fillId="8" borderId="11" xfId="12" applyFont="1" applyFill="1" applyBorder="1" applyAlignment="1" applyProtection="1">
      <alignment vertical="center"/>
      <protection hidden="1"/>
    </xf>
    <xf numFmtId="0" fontId="40" fillId="5" borderId="38" xfId="12" applyFont="1" applyFill="1" applyBorder="1" applyAlignment="1" applyProtection="1">
      <alignment horizontal="center" vertical="center"/>
      <protection locked="0"/>
    </xf>
    <xf numFmtId="0" fontId="14" fillId="8" borderId="0" xfId="12" applyFont="1" applyFill="1" applyAlignment="1" applyProtection="1">
      <alignment horizontal="center" vertical="center"/>
      <protection hidden="1"/>
    </xf>
    <xf numFmtId="0" fontId="14" fillId="8" borderId="0" xfId="12" applyFont="1" applyFill="1" applyAlignment="1" applyProtection="1">
      <alignment horizontal="center"/>
      <protection hidden="1"/>
    </xf>
    <xf numFmtId="0" fontId="14" fillId="8" borderId="1" xfId="12" applyFont="1" applyFill="1" applyBorder="1" applyAlignment="1" applyProtection="1">
      <alignment horizontal="center"/>
      <protection hidden="1"/>
    </xf>
    <xf numFmtId="0" fontId="14" fillId="8" borderId="1" xfId="12" applyFont="1" applyFill="1" applyBorder="1" applyAlignment="1" applyProtection="1">
      <alignment horizontal="center" vertical="center"/>
      <protection hidden="1"/>
    </xf>
    <xf numFmtId="0" fontId="14" fillId="8" borderId="0" xfId="12" applyFont="1" applyFill="1" applyProtection="1">
      <protection locked="0" hidden="1"/>
    </xf>
    <xf numFmtId="0" fontId="14" fillId="8" borderId="0" xfId="12" applyFont="1" applyFill="1" applyAlignment="1" applyProtection="1">
      <alignment horizontal="center" vertical="center"/>
      <protection hidden="1"/>
    </xf>
    <xf numFmtId="0" fontId="36" fillId="8" borderId="11" xfId="12" applyFont="1" applyFill="1" applyBorder="1" applyAlignment="1" applyProtection="1">
      <alignment horizontal="left" vertical="center"/>
      <protection hidden="1"/>
    </xf>
    <xf numFmtId="0" fontId="36" fillId="8" borderId="13" xfId="12" applyFont="1" applyFill="1" applyBorder="1" applyAlignment="1" applyProtection="1">
      <alignment horizontal="left" vertical="center"/>
      <protection hidden="1"/>
    </xf>
    <xf numFmtId="0" fontId="14" fillId="8" borderId="0" xfId="12" applyFont="1" applyFill="1" applyAlignment="1" applyProtection="1">
      <alignment horizontal="center"/>
      <protection hidden="1"/>
    </xf>
    <xf numFmtId="168" fontId="14" fillId="20" borderId="0" xfId="12" applyNumberFormat="1" applyFont="1" applyFill="1" applyAlignment="1" applyProtection="1">
      <alignment horizontal="left" vertical="center"/>
      <protection hidden="1"/>
    </xf>
    <xf numFmtId="0" fontId="35" fillId="8" borderId="68" xfId="12" applyFont="1" applyFill="1" applyBorder="1" applyAlignment="1" applyProtection="1">
      <alignment horizontal="center" vertical="center"/>
      <protection hidden="1"/>
    </xf>
    <xf numFmtId="0" fontId="35" fillId="8" borderId="69" xfId="12" applyFont="1" applyFill="1" applyBorder="1" applyAlignment="1" applyProtection="1">
      <alignment horizontal="center" vertical="center"/>
      <protection hidden="1"/>
    </xf>
    <xf numFmtId="0" fontId="82" fillId="8" borderId="35" xfId="12" applyFont="1" applyFill="1" applyBorder="1" applyAlignment="1" applyProtection="1">
      <alignment horizontal="center" vertical="center" wrapText="1"/>
      <protection locked="0" hidden="1"/>
    </xf>
    <xf numFmtId="0" fontId="15" fillId="8" borderId="0" xfId="0" applyFont="1" applyFill="1" applyBorder="1" applyAlignment="1">
      <alignment horizontal="left" vertical="center"/>
    </xf>
    <xf numFmtId="1" fontId="15" fillId="8" borderId="0" xfId="0" applyNumberFormat="1" applyFont="1" applyFill="1" applyBorder="1" applyAlignment="1">
      <alignment horizontal="left" vertical="center"/>
    </xf>
    <xf numFmtId="0" fontId="14" fillId="8" borderId="0" xfId="12" applyFont="1" applyFill="1" applyAlignment="1" applyProtection="1">
      <alignment horizontal="left"/>
      <protection hidden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34" fillId="0" borderId="0" xfId="12" applyNumberFormat="1" applyFont="1" applyFill="1" applyBorder="1" applyAlignment="1" applyProtection="1">
      <alignment horizontal="center"/>
      <protection hidden="1"/>
    </xf>
    <xf numFmtId="0" fontId="8" fillId="0" borderId="0" xfId="19" applyBorder="1" applyProtection="1">
      <protection hidden="1"/>
    </xf>
    <xf numFmtId="0" fontId="8" fillId="0" borderId="0" xfId="19" applyNumberFormat="1" applyBorder="1" applyAlignment="1" applyProtection="1">
      <alignment horizontal="left" vertical="center"/>
      <protection hidden="1"/>
    </xf>
    <xf numFmtId="0" fontId="10" fillId="32" borderId="0" xfId="19" applyNumberFormat="1" applyFont="1" applyFill="1" applyBorder="1" applyAlignment="1" applyProtection="1">
      <alignment horizontal="left" vertical="center"/>
      <protection hidden="1"/>
    </xf>
    <xf numFmtId="0" fontId="8" fillId="0" borderId="0" xfId="19" applyFill="1" applyBorder="1" applyAlignment="1" applyProtection="1">
      <protection hidden="1"/>
    </xf>
    <xf numFmtId="0" fontId="18" fillId="8" borderId="0" xfId="0" applyFont="1" applyFill="1" applyBorder="1" applyAlignment="1">
      <alignment wrapText="1"/>
    </xf>
    <xf numFmtId="0" fontId="35" fillId="8" borderId="82" xfId="12" applyFont="1" applyFill="1" applyBorder="1" applyAlignment="1" applyProtection="1">
      <alignment vertical="center" wrapText="1"/>
      <protection hidden="1"/>
    </xf>
    <xf numFmtId="0" fontId="36" fillId="8" borderId="82" xfId="12" applyFont="1" applyFill="1" applyBorder="1" applyAlignment="1" applyProtection="1">
      <alignment vertical="center"/>
      <protection hidden="1"/>
    </xf>
    <xf numFmtId="0" fontId="34" fillId="8" borderId="80" xfId="12" applyFont="1" applyFill="1" applyBorder="1" applyAlignment="1" applyProtection="1">
      <alignment horizontal="left"/>
      <protection hidden="1"/>
    </xf>
    <xf numFmtId="0" fontId="34" fillId="8" borderId="82" xfId="12" applyFont="1" applyFill="1" applyBorder="1" applyAlignment="1" applyProtection="1">
      <alignment horizontal="left"/>
      <protection hidden="1"/>
    </xf>
    <xf numFmtId="0" fontId="34" fillId="8" borderId="81" xfId="12" applyFont="1" applyFill="1" applyBorder="1" applyAlignment="1" applyProtection="1">
      <alignment horizontal="left"/>
      <protection hidden="1"/>
    </xf>
    <xf numFmtId="0" fontId="8" fillId="8" borderId="80" xfId="0" applyFont="1" applyFill="1" applyBorder="1" applyAlignment="1" applyProtection="1">
      <alignment horizontal="left"/>
      <protection hidden="1"/>
    </xf>
    <xf numFmtId="0" fontId="8" fillId="8" borderId="82" xfId="0" applyFont="1" applyFill="1" applyBorder="1" applyAlignment="1" applyProtection="1">
      <alignment horizontal="left"/>
      <protection hidden="1"/>
    </xf>
    <xf numFmtId="0" fontId="8" fillId="8" borderId="81" xfId="0" applyFont="1" applyFill="1" applyBorder="1" applyAlignment="1" applyProtection="1">
      <alignment horizontal="left"/>
      <protection hidden="1"/>
    </xf>
    <xf numFmtId="1" fontId="34" fillId="8" borderId="0" xfId="12" applyNumberFormat="1" applyFont="1" applyFill="1" applyProtection="1">
      <protection hidden="1"/>
    </xf>
    <xf numFmtId="0" fontId="28" fillId="8" borderId="0" xfId="0" applyFont="1" applyFill="1" applyBorder="1" applyProtection="1">
      <protection hidden="1"/>
    </xf>
    <xf numFmtId="1" fontId="0" fillId="8" borderId="0" xfId="0" applyNumberFormat="1" applyFill="1" applyBorder="1" applyProtection="1">
      <protection hidden="1"/>
    </xf>
    <xf numFmtId="0" fontId="15" fillId="56" borderId="3" xfId="0" applyFont="1" applyFill="1" applyBorder="1" applyAlignment="1">
      <alignment vertical="center"/>
    </xf>
    <xf numFmtId="0" fontId="15" fillId="56" borderId="5" xfId="0" applyFont="1" applyFill="1" applyBorder="1" applyAlignment="1">
      <alignment horizontal="left" vertical="center"/>
    </xf>
    <xf numFmtId="0" fontId="15" fillId="56" borderId="6" xfId="0" applyFont="1" applyFill="1" applyBorder="1" applyAlignment="1">
      <alignment vertical="center"/>
    </xf>
    <xf numFmtId="0" fontId="15" fillId="56" borderId="7" xfId="0" applyFont="1" applyFill="1" applyBorder="1" applyAlignment="1">
      <alignment horizontal="left" vertical="center"/>
    </xf>
    <xf numFmtId="0" fontId="15" fillId="56" borderId="3" xfId="0" applyFont="1" applyFill="1" applyBorder="1"/>
    <xf numFmtId="1" fontId="15" fillId="56" borderId="4" xfId="0" applyNumberFormat="1" applyFont="1" applyFill="1" applyBorder="1"/>
    <xf numFmtId="0" fontId="15" fillId="56" borderId="14" xfId="0" applyFont="1" applyFill="1" applyBorder="1" applyAlignment="1">
      <alignment horizontal="left"/>
    </xf>
    <xf numFmtId="1" fontId="15" fillId="56" borderId="0" xfId="0" applyNumberFormat="1" applyFont="1" applyFill="1" applyBorder="1"/>
    <xf numFmtId="0" fontId="15" fillId="56" borderId="2" xfId="0" applyFont="1" applyFill="1" applyBorder="1" applyAlignment="1">
      <alignment horizontal="left"/>
    </xf>
    <xf numFmtId="0" fontId="15" fillId="56" borderId="8" xfId="0" applyFont="1" applyFill="1" applyBorder="1"/>
    <xf numFmtId="1" fontId="15" fillId="56" borderId="9" xfId="0" applyNumberFormat="1" applyFont="1" applyFill="1" applyBorder="1"/>
    <xf numFmtId="0" fontId="15" fillId="56" borderId="15" xfId="0" applyFont="1" applyFill="1" applyBorder="1" applyAlignment="1">
      <alignment horizontal="left"/>
    </xf>
    <xf numFmtId="0" fontId="15" fillId="56" borderId="10" xfId="0" applyFont="1" applyFill="1" applyBorder="1" applyAlignment="1">
      <alignment horizontal="left"/>
    </xf>
    <xf numFmtId="0" fontId="15" fillId="56" borderId="12" xfId="0" applyFont="1" applyFill="1" applyBorder="1"/>
    <xf numFmtId="1" fontId="15" fillId="56" borderId="13" xfId="0" applyNumberFormat="1" applyFont="1" applyFill="1" applyBorder="1"/>
    <xf numFmtId="0" fontId="15" fillId="56" borderId="13" xfId="0" applyFont="1" applyFill="1" applyBorder="1" applyAlignment="1">
      <alignment horizontal="left"/>
    </xf>
    <xf numFmtId="0" fontId="46" fillId="0" borderId="38" xfId="12" applyFont="1" applyFill="1" applyBorder="1" applyAlignment="1" applyProtection="1">
      <alignment horizontal="center" vertical="center"/>
      <protection locked="0" hidden="1"/>
    </xf>
    <xf numFmtId="0" fontId="81" fillId="8" borderId="35" xfId="12" applyNumberFormat="1" applyFont="1" applyFill="1" applyBorder="1" applyAlignment="1" applyProtection="1">
      <alignment horizontal="center" vertical="center" wrapText="1"/>
      <protection locked="0" hidden="1"/>
    </xf>
    <xf numFmtId="0" fontId="35" fillId="5" borderId="35" xfId="12" applyFont="1" applyFill="1" applyBorder="1" applyAlignment="1" applyProtection="1">
      <alignment horizontal="center" vertical="center" wrapText="1"/>
      <protection locked="0" hidden="1"/>
    </xf>
    <xf numFmtId="0" fontId="80" fillId="8" borderId="35" xfId="12" applyFont="1" applyFill="1" applyBorder="1" applyAlignment="1" applyProtection="1">
      <alignment vertical="center"/>
      <protection locked="0" hidden="1"/>
    </xf>
    <xf numFmtId="0" fontId="8" fillId="0" borderId="0" xfId="19" applyBorder="1" applyAlignment="1" applyProtection="1">
      <protection hidden="1"/>
    </xf>
    <xf numFmtId="0" fontId="115" fillId="0" borderId="26" xfId="19" applyFont="1" applyBorder="1" applyAlignment="1" applyProtection="1">
      <alignment horizontal="left" vertical="center" wrapText="1"/>
      <protection hidden="1"/>
    </xf>
    <xf numFmtId="0" fontId="115" fillId="0" borderId="26" xfId="19" applyFont="1" applyBorder="1" applyAlignment="1" applyProtection="1">
      <alignment horizontal="center" vertical="center" wrapText="1"/>
      <protection hidden="1"/>
    </xf>
    <xf numFmtId="0" fontId="114" fillId="0" borderId="28" xfId="19" applyFont="1" applyBorder="1" applyAlignment="1" applyProtection="1">
      <alignment horizontal="center" vertical="center" wrapText="1"/>
      <protection hidden="1"/>
    </xf>
    <xf numFmtId="0" fontId="114" fillId="0" borderId="26" xfId="19" applyFont="1" applyBorder="1" applyAlignment="1" applyProtection="1">
      <alignment horizontal="center" vertical="center" wrapText="1"/>
      <protection hidden="1"/>
    </xf>
    <xf numFmtId="0" fontId="115" fillId="0" borderId="26" xfId="19" applyFont="1" applyBorder="1" applyAlignment="1" applyProtection="1">
      <alignment horizontal="right" vertical="center" wrapText="1"/>
      <protection hidden="1"/>
    </xf>
    <xf numFmtId="0" fontId="115" fillId="0" borderId="26" xfId="19" applyFont="1" applyBorder="1" applyAlignment="1" applyProtection="1">
      <alignment horizontal="right" vertical="center"/>
      <protection hidden="1"/>
    </xf>
    <xf numFmtId="0" fontId="15" fillId="0" borderId="26" xfId="19" applyFont="1" applyBorder="1" applyAlignment="1" applyProtection="1">
      <alignment vertical="center"/>
      <protection hidden="1"/>
    </xf>
    <xf numFmtId="0" fontId="15" fillId="0" borderId="26" xfId="19" applyFont="1" applyBorder="1" applyAlignment="1" applyProtection="1">
      <alignment horizontal="center" vertical="center"/>
      <protection hidden="1"/>
    </xf>
    <xf numFmtId="0" fontId="8" fillId="0" borderId="27" xfId="19" applyBorder="1" applyProtection="1">
      <protection hidden="1"/>
    </xf>
    <xf numFmtId="0" fontId="13" fillId="0" borderId="26" xfId="19" applyFont="1" applyFill="1" applyBorder="1" applyAlignment="1" applyProtection="1">
      <protection hidden="1"/>
    </xf>
    <xf numFmtId="0" fontId="8" fillId="0" borderId="27" xfId="19" applyFill="1" applyBorder="1" applyAlignment="1" applyProtection="1">
      <protection hidden="1"/>
    </xf>
    <xf numFmtId="0" fontId="112" fillId="0" borderId="0" xfId="19" applyFont="1" applyBorder="1" applyAlignment="1" applyProtection="1">
      <alignment horizontal="left" vertical="center" wrapText="1"/>
      <protection hidden="1"/>
    </xf>
    <xf numFmtId="0" fontId="10" fillId="0" borderId="0" xfId="19" applyFont="1" applyBorder="1" applyAlignment="1" applyProtection="1">
      <protection hidden="1"/>
    </xf>
    <xf numFmtId="0" fontId="10" fillId="32" borderId="27" xfId="19" applyNumberFormat="1" applyFont="1" applyFill="1" applyBorder="1" applyAlignment="1" applyProtection="1">
      <alignment horizontal="left" vertical="center"/>
      <protection hidden="1"/>
    </xf>
    <xf numFmtId="0" fontId="10" fillId="0" borderId="84" xfId="0" applyFont="1" applyFill="1" applyBorder="1" applyAlignment="1" applyProtection="1">
      <alignment horizontal="right" vertical="top"/>
      <protection hidden="1"/>
    </xf>
    <xf numFmtId="0" fontId="10" fillId="32" borderId="4" xfId="19" applyNumberFormat="1" applyFont="1" applyFill="1" applyBorder="1" applyAlignment="1" applyProtection="1">
      <alignment horizontal="left" vertical="center"/>
      <protection hidden="1"/>
    </xf>
    <xf numFmtId="1" fontId="15" fillId="0" borderId="1" xfId="19" applyNumberFormat="1" applyFont="1" applyBorder="1" applyAlignment="1" applyProtection="1">
      <alignment horizontal="center"/>
      <protection hidden="1"/>
    </xf>
    <xf numFmtId="1" fontId="112" fillId="0" borderId="1" xfId="19" applyNumberFormat="1" applyFont="1" applyBorder="1" applyAlignment="1" applyProtection="1">
      <alignment horizontal="center" vertical="center" wrapText="1"/>
      <protection hidden="1"/>
    </xf>
    <xf numFmtId="0" fontId="13" fillId="0" borderId="9" xfId="19" applyFont="1" applyBorder="1" applyAlignment="1" applyProtection="1">
      <alignment horizontal="center" vertical="center"/>
      <protection hidden="1"/>
    </xf>
    <xf numFmtId="0" fontId="8" fillId="0" borderId="13" xfId="19" applyBorder="1" applyProtection="1">
      <protection hidden="1"/>
    </xf>
    <xf numFmtId="0" fontId="114" fillId="0" borderId="13" xfId="19" applyFont="1" applyBorder="1" applyAlignment="1" applyProtection="1">
      <alignment horizontal="center" vertical="center" wrapText="1"/>
      <protection hidden="1"/>
    </xf>
    <xf numFmtId="0" fontId="114" fillId="0" borderId="86" xfId="19" applyFont="1" applyBorder="1" applyAlignment="1" applyProtection="1">
      <alignment vertical="center" wrapText="1"/>
      <protection hidden="1"/>
    </xf>
    <xf numFmtId="0" fontId="114" fillId="0" borderId="13" xfId="19" applyFont="1" applyBorder="1" applyAlignment="1" applyProtection="1">
      <alignment vertical="center" wrapText="1"/>
      <protection hidden="1"/>
    </xf>
    <xf numFmtId="0" fontId="115" fillId="0" borderId="1" xfId="19" applyFont="1" applyBorder="1" applyAlignment="1" applyProtection="1">
      <alignment horizontal="center" vertical="center" wrapText="1"/>
      <protection hidden="1"/>
    </xf>
    <xf numFmtId="0" fontId="114" fillId="0" borderId="11" xfId="19" applyFont="1" applyBorder="1" applyAlignment="1" applyProtection="1">
      <alignment horizontal="left" vertical="center" wrapText="1"/>
      <protection hidden="1"/>
    </xf>
    <xf numFmtId="0" fontId="114" fillId="0" borderId="0" xfId="19" applyFont="1" applyBorder="1" applyAlignment="1" applyProtection="1">
      <alignment vertical="center" wrapText="1"/>
      <protection hidden="1"/>
    </xf>
    <xf numFmtId="0" fontId="114" fillId="0" borderId="0" xfId="19" applyFont="1" applyBorder="1" applyAlignment="1" applyProtection="1">
      <alignment horizontal="left" vertical="center" wrapText="1"/>
      <protection hidden="1"/>
    </xf>
    <xf numFmtId="0" fontId="13" fillId="0" borderId="0" xfId="19" applyFont="1" applyBorder="1" applyAlignment="1" applyProtection="1">
      <alignment horizontal="left" vertical="center" wrapText="1"/>
      <protection hidden="1"/>
    </xf>
    <xf numFmtId="0" fontId="112" fillId="0" borderId="0" xfId="19" applyFont="1" applyBorder="1" applyAlignment="1" applyProtection="1">
      <alignment vertical="center" wrapText="1"/>
      <protection hidden="1"/>
    </xf>
    <xf numFmtId="0" fontId="115" fillId="0" borderId="26" xfId="19" applyFont="1" applyBorder="1" applyAlignment="1" applyProtection="1">
      <alignment horizontal="right" vertical="top"/>
      <protection hidden="1"/>
    </xf>
    <xf numFmtId="0" fontId="8" fillId="29" borderId="0" xfId="0" applyFont="1" applyFill="1" applyBorder="1" applyProtection="1">
      <protection hidden="1"/>
    </xf>
    <xf numFmtId="1" fontId="115" fillId="0" borderId="1" xfId="19" applyNumberFormat="1" applyFont="1" applyBorder="1" applyAlignment="1" applyProtection="1">
      <alignment horizontal="left" vertical="top" wrapText="1"/>
      <protection hidden="1"/>
    </xf>
    <xf numFmtId="1" fontId="53" fillId="5" borderId="48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19" applyFont="1" applyBorder="1" applyAlignment="1" applyProtection="1">
      <alignment horizontal="left" vertical="top" wrapText="1"/>
      <protection hidden="1"/>
    </xf>
    <xf numFmtId="0" fontId="10" fillId="0" borderId="84" xfId="0" applyFont="1" applyFill="1" applyBorder="1" applyAlignment="1" applyProtection="1">
      <alignment horizontal="left" vertical="top"/>
      <protection hidden="1"/>
    </xf>
    <xf numFmtId="0" fontId="10" fillId="0" borderId="85" xfId="0" applyFont="1" applyFill="1" applyBorder="1" applyAlignment="1" applyProtection="1">
      <alignment horizontal="right" vertical="top"/>
      <protection hidden="1"/>
    </xf>
    <xf numFmtId="17" fontId="10" fillId="0" borderId="96" xfId="19" applyNumberFormat="1" applyFont="1" applyBorder="1" applyAlignment="1" applyProtection="1">
      <alignment horizontal="center" vertical="center" wrapText="1"/>
      <protection hidden="1"/>
    </xf>
    <xf numFmtId="173" fontId="11" fillId="0" borderId="96" xfId="19" applyNumberFormat="1" applyFont="1" applyBorder="1" applyAlignment="1" applyProtection="1">
      <alignment horizontal="center" vertical="center" wrapText="1"/>
      <protection hidden="1"/>
    </xf>
    <xf numFmtId="0" fontId="114" fillId="0" borderId="33" xfId="19" applyFont="1" applyBorder="1" applyAlignment="1" applyProtection="1">
      <alignment horizontal="center" vertical="center" wrapText="1"/>
      <protection hidden="1"/>
    </xf>
    <xf numFmtId="0" fontId="15" fillId="0" borderId="33" xfId="19" applyFont="1" applyBorder="1" applyAlignment="1" applyProtection="1">
      <alignment horizontal="center" vertical="center"/>
      <protection hidden="1"/>
    </xf>
    <xf numFmtId="0" fontId="10" fillId="32" borderId="31" xfId="19" applyNumberFormat="1" applyFont="1" applyFill="1" applyBorder="1" applyAlignment="1" applyProtection="1">
      <alignment horizontal="left" vertical="center"/>
      <protection hidden="1"/>
    </xf>
    <xf numFmtId="0" fontId="15" fillId="0" borderId="95" xfId="19" applyFont="1" applyFill="1" applyBorder="1" applyAlignment="1" applyProtection="1">
      <protection hidden="1"/>
    </xf>
    <xf numFmtId="0" fontId="115" fillId="0" borderId="18" xfId="19" applyFont="1" applyBorder="1" applyAlignment="1" applyProtection="1">
      <alignment horizontal="right" vertical="top"/>
      <protection hidden="1"/>
    </xf>
    <xf numFmtId="0" fontId="53" fillId="21" borderId="98" xfId="12" applyFont="1" applyFill="1" applyBorder="1" applyAlignment="1" applyProtection="1">
      <alignment horizontal="center" vertical="center"/>
      <protection locked="0" hidden="1"/>
    </xf>
    <xf numFmtId="0" fontId="4" fillId="0" borderId="0" xfId="20" applyProtection="1">
      <protection hidden="1"/>
    </xf>
    <xf numFmtId="0" fontId="147" fillId="0" borderId="0" xfId="20" applyFont="1" applyProtection="1">
      <protection hidden="1"/>
    </xf>
    <xf numFmtId="0" fontId="4" fillId="0" borderId="26" xfId="20" applyBorder="1" applyProtection="1">
      <protection hidden="1"/>
    </xf>
    <xf numFmtId="0" fontId="15" fillId="0" borderId="0" xfId="19" applyFont="1" applyBorder="1" applyAlignment="1" applyProtection="1">
      <alignment vertical="center"/>
      <protection hidden="1"/>
    </xf>
    <xf numFmtId="0" fontId="15" fillId="0" borderId="0" xfId="19" applyFont="1" applyBorder="1" applyAlignment="1" applyProtection="1">
      <alignment horizontal="left" vertical="center"/>
      <protection hidden="1"/>
    </xf>
    <xf numFmtId="0" fontId="15" fillId="0" borderId="27" xfId="19" applyFont="1" applyBorder="1" applyAlignment="1" applyProtection="1">
      <alignment horizontal="left" vertical="center"/>
      <protection hidden="1"/>
    </xf>
    <xf numFmtId="0" fontId="53" fillId="29" borderId="0" xfId="0" applyFont="1" applyFill="1" applyAlignment="1"/>
    <xf numFmtId="0" fontId="11" fillId="29" borderId="0" xfId="0" applyFont="1" applyFill="1" applyProtection="1">
      <protection hidden="1"/>
    </xf>
    <xf numFmtId="17" fontId="53" fillId="21" borderId="98" xfId="12" applyNumberFormat="1" applyFont="1" applyFill="1" applyBorder="1" applyAlignment="1" applyProtection="1">
      <alignment horizontal="center" vertical="center"/>
      <protection hidden="1"/>
    </xf>
    <xf numFmtId="0" fontId="53" fillId="21" borderId="98" xfId="12" applyFont="1" applyFill="1" applyBorder="1" applyAlignment="1" applyProtection="1">
      <alignment horizontal="center" vertical="center"/>
      <protection hidden="1"/>
    </xf>
    <xf numFmtId="0" fontId="53" fillId="21" borderId="98" xfId="0" applyFont="1" applyFill="1" applyBorder="1" applyAlignment="1" applyProtection="1">
      <alignment vertical="center" wrapText="1"/>
      <protection hidden="1"/>
    </xf>
    <xf numFmtId="0" fontId="53" fillId="21" borderId="98" xfId="0" applyFont="1" applyFill="1" applyBorder="1" applyAlignment="1" applyProtection="1">
      <alignment horizontal="center" vertical="center"/>
      <protection locked="0" hidden="1"/>
    </xf>
    <xf numFmtId="165" fontId="53" fillId="21" borderId="98" xfId="0" applyNumberFormat="1" applyFont="1" applyFill="1" applyBorder="1" applyAlignment="1" applyProtection="1">
      <alignment horizontal="center" vertical="center"/>
      <protection locked="0" hidden="1"/>
    </xf>
    <xf numFmtId="2" fontId="53" fillId="21" borderId="98" xfId="0" applyNumberFormat="1" applyFont="1" applyFill="1" applyBorder="1" applyAlignment="1" applyProtection="1">
      <alignment horizontal="center" vertical="center"/>
      <protection locked="0" hidden="1"/>
    </xf>
    <xf numFmtId="0" fontId="88" fillId="0" borderId="0" xfId="0" applyFont="1" applyProtection="1">
      <protection hidden="1"/>
    </xf>
    <xf numFmtId="0" fontId="88" fillId="0" borderId="0" xfId="0" applyFont="1"/>
    <xf numFmtId="0" fontId="11" fillId="0" borderId="0" xfId="0" applyFont="1" applyAlignment="1">
      <alignment horizontal="center"/>
    </xf>
    <xf numFmtId="0" fontId="153" fillId="0" borderId="0" xfId="1" applyFont="1" applyAlignment="1" applyProtection="1"/>
    <xf numFmtId="0" fontId="4" fillId="21" borderId="0" xfId="20" applyFill="1" applyProtection="1">
      <protection hidden="1"/>
    </xf>
    <xf numFmtId="0" fontId="112" fillId="0" borderId="0" xfId="19" applyFont="1" applyBorder="1" applyAlignment="1" applyProtection="1">
      <alignment vertical="top" wrapText="1"/>
      <protection hidden="1"/>
    </xf>
    <xf numFmtId="0" fontId="114" fillId="0" borderId="0" xfId="19" applyFont="1" applyBorder="1" applyAlignment="1" applyProtection="1">
      <alignment horizontal="left" vertical="top" wrapText="1"/>
      <protection hidden="1"/>
    </xf>
    <xf numFmtId="0" fontId="119" fillId="0" borderId="0" xfId="19" applyFont="1" applyBorder="1" applyAlignment="1" applyProtection="1">
      <alignment horizontal="right" vertical="top" wrapText="1"/>
      <protection hidden="1"/>
    </xf>
    <xf numFmtId="2" fontId="52" fillId="0" borderId="0" xfId="19" applyNumberFormat="1" applyFont="1" applyBorder="1" applyAlignment="1" applyProtection="1">
      <alignment horizontal="left" vertical="top" shrinkToFit="1"/>
      <protection hidden="1"/>
    </xf>
    <xf numFmtId="2" fontId="154" fillId="0" borderId="0" xfId="19" applyNumberFormat="1" applyFont="1" applyBorder="1" applyAlignment="1" applyProtection="1">
      <alignment horizontal="left" vertical="top" shrinkToFit="1"/>
      <protection hidden="1"/>
    </xf>
    <xf numFmtId="0" fontId="15" fillId="0" borderId="0" xfId="19" applyFont="1" applyBorder="1" applyAlignment="1" applyProtection="1">
      <alignment horizontal="left" vertical="center" shrinkToFit="1"/>
      <protection hidden="1"/>
    </xf>
    <xf numFmtId="0" fontId="8" fillId="0" borderId="0" xfId="19" applyBorder="1" applyAlignment="1" applyProtection="1">
      <alignment shrinkToFit="1"/>
      <protection hidden="1"/>
    </xf>
    <xf numFmtId="0" fontId="10" fillId="32" borderId="0" xfId="19" applyNumberFormat="1" applyFont="1" applyFill="1" applyBorder="1" applyAlignment="1" applyProtection="1">
      <alignment horizontal="left" vertical="center" shrinkToFit="1"/>
      <protection hidden="1"/>
    </xf>
    <xf numFmtId="0" fontId="10" fillId="32" borderId="4" xfId="19" applyNumberFormat="1" applyFont="1" applyFill="1" applyBorder="1" applyAlignment="1" applyProtection="1">
      <alignment horizontal="left" vertical="center" shrinkToFit="1"/>
      <protection hidden="1"/>
    </xf>
    <xf numFmtId="0" fontId="8" fillId="0" borderId="0" xfId="19" applyFill="1" applyBorder="1" applyAlignment="1" applyProtection="1">
      <alignment shrinkToFit="1"/>
      <protection hidden="1"/>
    </xf>
    <xf numFmtId="0" fontId="4" fillId="0" borderId="0" xfId="20" applyAlignment="1" applyProtection="1">
      <alignment shrinkToFit="1"/>
      <protection hidden="1"/>
    </xf>
    <xf numFmtId="2" fontId="157" fillId="0" borderId="0" xfId="19" applyNumberFormat="1" applyFont="1" applyBorder="1" applyAlignment="1" applyProtection="1">
      <alignment horizontal="left" vertical="top" shrinkToFit="1"/>
      <protection hidden="1"/>
    </xf>
    <xf numFmtId="2" fontId="140" fillId="0" borderId="27" xfId="19" applyNumberFormat="1" applyFont="1" applyBorder="1" applyAlignment="1" applyProtection="1">
      <alignment horizontal="left" vertical="top" shrinkToFit="1"/>
      <protection hidden="1"/>
    </xf>
    <xf numFmtId="2" fontId="158" fillId="0" borderId="27" xfId="20" applyNumberFormat="1" applyFont="1" applyBorder="1" applyAlignment="1" applyProtection="1">
      <alignment shrinkToFit="1"/>
      <protection hidden="1"/>
    </xf>
    <xf numFmtId="2" fontId="94" fillId="0" borderId="84" xfId="0" applyNumberFormat="1" applyFont="1" applyFill="1" applyBorder="1" applyAlignment="1" applyProtection="1">
      <alignment horizontal="right" vertical="top" shrinkToFit="1"/>
      <protection hidden="1"/>
    </xf>
    <xf numFmtId="2" fontId="94" fillId="0" borderId="84" xfId="0" applyNumberFormat="1" applyFont="1" applyFill="1" applyBorder="1" applyAlignment="1" applyProtection="1">
      <alignment horizontal="left" vertical="top" shrinkToFit="1"/>
      <protection hidden="1"/>
    </xf>
    <xf numFmtId="2" fontId="95" fillId="0" borderId="84" xfId="20" applyNumberFormat="1" applyFont="1" applyBorder="1" applyAlignment="1" applyProtection="1">
      <alignment shrinkToFit="1"/>
      <protection hidden="1"/>
    </xf>
    <xf numFmtId="2" fontId="94" fillId="0" borderId="85" xfId="0" applyNumberFormat="1" applyFont="1" applyFill="1" applyBorder="1" applyAlignment="1" applyProtection="1">
      <alignment horizontal="right" vertical="top" shrinkToFit="1"/>
      <protection hidden="1"/>
    </xf>
    <xf numFmtId="0" fontId="8" fillId="0" borderId="0" xfId="19" applyFont="1" applyBorder="1" applyProtection="1">
      <protection hidden="1"/>
    </xf>
    <xf numFmtId="0" fontId="8" fillId="0" borderId="0" xfId="19" applyFont="1" applyFill="1" applyBorder="1" applyAlignment="1" applyProtection="1">
      <protection hidden="1"/>
    </xf>
    <xf numFmtId="0" fontId="3" fillId="0" borderId="0" xfId="20" applyFont="1" applyProtection="1">
      <protection hidden="1"/>
    </xf>
    <xf numFmtId="0" fontId="8" fillId="0" borderId="0" xfId="19" applyFont="1" applyBorder="1" applyAlignment="1" applyProtection="1">
      <alignment horizontal="right" wrapText="1"/>
      <protection hidden="1"/>
    </xf>
    <xf numFmtId="0" fontId="15" fillId="0" borderId="0" xfId="19" applyFont="1" applyBorder="1" applyAlignment="1" applyProtection="1">
      <alignment horizontal="right" vertical="top" wrapText="1"/>
      <protection hidden="1"/>
    </xf>
    <xf numFmtId="0" fontId="66" fillId="0" borderId="26" xfId="0" applyFont="1" applyFill="1" applyBorder="1" applyAlignment="1" applyProtection="1">
      <alignment horizontal="justify" vertical="justify" wrapText="1"/>
      <protection hidden="1"/>
    </xf>
    <xf numFmtId="0" fontId="66" fillId="0" borderId="0" xfId="0" applyFont="1" applyFill="1" applyBorder="1" applyAlignment="1" applyProtection="1">
      <alignment horizontal="justify" vertical="justify" wrapText="1"/>
      <protection hidden="1"/>
    </xf>
    <xf numFmtId="0" fontId="66" fillId="0" borderId="27" xfId="0" applyFont="1" applyFill="1" applyBorder="1" applyAlignment="1" applyProtection="1">
      <alignment horizontal="justify" vertical="justify" wrapText="1"/>
      <protection hidden="1"/>
    </xf>
    <xf numFmtId="0" fontId="46" fillId="8" borderId="0" xfId="12" applyFont="1" applyFill="1" applyBorder="1" applyAlignment="1" applyProtection="1">
      <alignment horizontal="center" vertical="center"/>
      <protection hidden="1"/>
    </xf>
    <xf numFmtId="166" fontId="100" fillId="8" borderId="0" xfId="12" applyNumberFormat="1" applyFont="1" applyFill="1" applyBorder="1" applyAlignment="1" applyProtection="1">
      <alignment vertical="center"/>
      <protection locked="0" hidden="1"/>
    </xf>
    <xf numFmtId="49" fontId="53" fillId="21" borderId="98" xfId="0" applyNumberFormat="1" applyFont="1" applyFill="1" applyBorder="1" applyAlignment="1" applyProtection="1">
      <alignment horizontal="center" vertical="center"/>
      <protection locked="0"/>
    </xf>
    <xf numFmtId="0" fontId="64" fillId="8" borderId="80" xfId="12" applyFont="1" applyFill="1" applyBorder="1" applyAlignment="1" applyProtection="1">
      <alignment vertical="center"/>
      <protection hidden="1"/>
    </xf>
    <xf numFmtId="0" fontId="34" fillId="8" borderId="0" xfId="12" applyFont="1" applyFill="1" applyAlignment="1" applyProtection="1">
      <alignment horizontal="center"/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14" fontId="14" fillId="20" borderId="0" xfId="12" applyNumberFormat="1" applyFont="1" applyFill="1" applyAlignment="1" applyProtection="1">
      <alignment horizontal="center" vertical="center"/>
      <protection hidden="1"/>
    </xf>
    <xf numFmtId="0" fontId="72" fillId="5" borderId="0" xfId="0" applyFont="1" applyFill="1" applyAlignment="1" applyProtection="1">
      <alignment horizontal="center" vertical="center" wrapText="1"/>
      <protection hidden="1"/>
    </xf>
    <xf numFmtId="0" fontId="0" fillId="13" borderId="0" xfId="0" applyFill="1" applyProtection="1">
      <protection hidden="1"/>
    </xf>
    <xf numFmtId="0" fontId="8" fillId="13" borderId="0" xfId="0" applyFont="1" applyFill="1" applyAlignment="1" applyProtection="1">
      <alignment horizontal="center" vertical="center"/>
      <protection hidden="1"/>
    </xf>
    <xf numFmtId="0" fontId="0" fillId="21" borderId="0" xfId="0" applyFill="1" applyAlignment="1" applyProtection="1">
      <alignment horizontal="left" vertical="top"/>
      <protection hidden="1"/>
    </xf>
    <xf numFmtId="0" fontId="0" fillId="5" borderId="0" xfId="0" applyFill="1" applyAlignment="1" applyProtection="1">
      <alignment horizontal="left" vertical="center"/>
      <protection locked="0" hidden="1"/>
    </xf>
    <xf numFmtId="0" fontId="0" fillId="13" borderId="0" xfId="0" applyFill="1" applyAlignment="1" applyProtection="1">
      <alignment horizontal="left" vertical="center"/>
      <protection locked="0" hidden="1"/>
    </xf>
    <xf numFmtId="0" fontId="0" fillId="21" borderId="0" xfId="0" applyFill="1" applyAlignment="1" applyProtection="1">
      <alignment horizontal="left"/>
      <protection hidden="1"/>
    </xf>
    <xf numFmtId="0" fontId="71" fillId="5" borderId="0" xfId="0" applyFont="1" applyFill="1" applyAlignment="1" applyProtection="1">
      <alignment horizontal="center" vertical="center" wrapText="1"/>
      <protection hidden="1"/>
    </xf>
    <xf numFmtId="0" fontId="71" fillId="13" borderId="0" xfId="0" applyFont="1" applyFill="1" applyAlignment="1" applyProtection="1">
      <alignment horizontal="center" vertical="center" wrapText="1"/>
      <protection hidden="1"/>
    </xf>
    <xf numFmtId="0" fontId="0" fillId="5" borderId="0" xfId="0" applyFill="1" applyAlignment="1" applyProtection="1">
      <alignment horizontal="justify" vertical="top" wrapText="1"/>
      <protection hidden="1"/>
    </xf>
    <xf numFmtId="0" fontId="0" fillId="13" borderId="0" xfId="0" applyFill="1" applyAlignment="1" applyProtection="1">
      <alignment horizontal="justify" vertical="top" wrapText="1"/>
      <protection hidden="1"/>
    </xf>
    <xf numFmtId="0" fontId="8" fillId="5" borderId="0" xfId="0" applyFont="1" applyFill="1" applyAlignment="1" applyProtection="1">
      <alignment horizontal="justify" vertical="top" wrapText="1"/>
      <protection hidden="1"/>
    </xf>
    <xf numFmtId="0" fontId="8" fillId="13" borderId="0" xfId="0" applyFont="1" applyFill="1" applyAlignment="1" applyProtection="1">
      <alignment horizontal="justify" vertical="top" wrapText="1"/>
      <protection hidden="1"/>
    </xf>
    <xf numFmtId="0" fontId="8" fillId="5" borderId="0" xfId="0" applyFont="1" applyFill="1" applyAlignment="1" applyProtection="1">
      <alignment horizontal="justify" vertical="top"/>
      <protection hidden="1"/>
    </xf>
    <xf numFmtId="0" fontId="8" fillId="13" borderId="0" xfId="0" applyFont="1" applyFill="1" applyAlignment="1" applyProtection="1">
      <alignment horizontal="justify" vertical="top"/>
      <protection hidden="1"/>
    </xf>
    <xf numFmtId="0" fontId="8" fillId="21" borderId="0" xfId="0" applyFont="1" applyFill="1" applyProtection="1">
      <protection hidden="1"/>
    </xf>
    <xf numFmtId="0" fontId="8" fillId="5" borderId="0" xfId="0" applyFont="1" applyFill="1" applyProtection="1">
      <protection hidden="1"/>
    </xf>
    <xf numFmtId="0" fontId="8" fillId="13" borderId="0" xfId="0" applyFont="1" applyFill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0" fillId="21" borderId="0" xfId="0" applyFill="1" applyProtection="1">
      <protection hidden="1"/>
    </xf>
    <xf numFmtId="0" fontId="8" fillId="5" borderId="0" xfId="0" applyFont="1" applyFill="1" applyAlignment="1" applyProtection="1">
      <alignment vertical="top" wrapText="1"/>
      <protection hidden="1"/>
    </xf>
    <xf numFmtId="0" fontId="8" fillId="13" borderId="0" xfId="0" applyFont="1" applyFill="1" applyAlignment="1" applyProtection="1">
      <alignment vertical="top" wrapText="1"/>
      <protection hidden="1"/>
    </xf>
    <xf numFmtId="0" fontId="0" fillId="13" borderId="0" xfId="0" applyFill="1" applyAlignment="1" applyProtection="1">
      <alignment horizontal="left"/>
      <protection hidden="1"/>
    </xf>
    <xf numFmtId="0" fontId="28" fillId="22" borderId="0" xfId="0" applyFont="1" applyFill="1" applyProtection="1">
      <protection hidden="1"/>
    </xf>
    <xf numFmtId="0" fontId="0" fillId="0" borderId="0" xfId="0" applyProtection="1">
      <protection hidden="1"/>
    </xf>
    <xf numFmtId="14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0" fontId="0" fillId="7" borderId="0" xfId="0" applyFill="1" applyProtection="1">
      <protection hidden="1"/>
    </xf>
    <xf numFmtId="14" fontId="0" fillId="7" borderId="0" xfId="0" applyNumberFormat="1" applyFill="1" applyProtection="1">
      <protection hidden="1"/>
    </xf>
    <xf numFmtId="165" fontId="0" fillId="7" borderId="0" xfId="0" applyNumberFormat="1" applyFill="1" applyProtection="1">
      <protection hidden="1"/>
    </xf>
    <xf numFmtId="0" fontId="0" fillId="27" borderId="0" xfId="0" applyFill="1" applyProtection="1">
      <protection hidden="1"/>
    </xf>
    <xf numFmtId="14" fontId="0" fillId="27" borderId="0" xfId="0" applyNumberFormat="1" applyFill="1" applyProtection="1">
      <protection hidden="1"/>
    </xf>
    <xf numFmtId="165" fontId="0" fillId="27" borderId="0" xfId="0" applyNumberFormat="1" applyFill="1" applyProtection="1">
      <protection hidden="1"/>
    </xf>
    <xf numFmtId="0" fontId="0" fillId="10" borderId="0" xfId="0" applyFill="1" applyProtection="1">
      <protection hidden="1"/>
    </xf>
    <xf numFmtId="14" fontId="78" fillId="8" borderId="1" xfId="12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8" fillId="0" borderId="48" xfId="0" applyFont="1" applyBorder="1" applyAlignment="1" applyProtection="1">
      <alignment horizontal="center"/>
      <protection hidden="1"/>
    </xf>
    <xf numFmtId="0" fontId="8" fillId="0" borderId="53" xfId="0" applyFont="1" applyBorder="1" applyAlignment="1" applyProtection="1">
      <alignment horizontal="center"/>
      <protection hidden="1"/>
    </xf>
    <xf numFmtId="0" fontId="0" fillId="0" borderId="48" xfId="0" applyBorder="1" applyProtection="1">
      <protection hidden="1"/>
    </xf>
    <xf numFmtId="0" fontId="0" fillId="7" borderId="48" xfId="0" applyFill="1" applyBorder="1" applyAlignment="1" applyProtection="1">
      <alignment horizontal="center"/>
      <protection hidden="1"/>
    </xf>
    <xf numFmtId="0" fontId="8" fillId="7" borderId="48" xfId="0" applyFont="1" applyFill="1" applyBorder="1" applyAlignment="1" applyProtection="1">
      <alignment horizontal="center"/>
      <protection hidden="1"/>
    </xf>
    <xf numFmtId="0" fontId="8" fillId="7" borderId="53" xfId="0" applyFont="1" applyFill="1" applyBorder="1" applyAlignment="1" applyProtection="1">
      <alignment horizontal="center"/>
      <protection hidden="1"/>
    </xf>
    <xf numFmtId="0" fontId="0" fillId="7" borderId="48" xfId="0" applyFill="1" applyBorder="1" applyProtection="1">
      <protection hidden="1"/>
    </xf>
    <xf numFmtId="0" fontId="0" fillId="27" borderId="48" xfId="0" applyFill="1" applyBorder="1" applyAlignment="1" applyProtection="1">
      <alignment horizontal="center"/>
      <protection hidden="1"/>
    </xf>
    <xf numFmtId="0" fontId="8" fillId="27" borderId="48" xfId="0" applyFont="1" applyFill="1" applyBorder="1" applyAlignment="1" applyProtection="1">
      <alignment horizontal="center"/>
      <protection hidden="1"/>
    </xf>
    <xf numFmtId="0" fontId="8" fillId="27" borderId="53" xfId="0" applyFont="1" applyFill="1" applyBorder="1" applyAlignment="1" applyProtection="1">
      <alignment horizontal="center"/>
      <protection hidden="1"/>
    </xf>
    <xf numFmtId="0" fontId="0" fillId="27" borderId="48" xfId="0" applyFill="1" applyBorder="1" applyProtection="1">
      <protection hidden="1"/>
    </xf>
    <xf numFmtId="17" fontId="0" fillId="0" borderId="0" xfId="0" applyNumberFormat="1" applyProtection="1">
      <protection hidden="1"/>
    </xf>
    <xf numFmtId="165" fontId="17" fillId="5" borderId="62" xfId="0" applyNumberFormat="1" applyFont="1" applyFill="1" applyBorder="1" applyAlignment="1" applyProtection="1">
      <alignment horizontal="left" vertical="center"/>
      <protection hidden="1"/>
    </xf>
    <xf numFmtId="165" fontId="9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17" fontId="0" fillId="7" borderId="0" xfId="0" applyNumberFormat="1" applyFill="1" applyProtection="1">
      <protection hidden="1"/>
    </xf>
    <xf numFmtId="165" fontId="17" fillId="7" borderId="62" xfId="0" applyNumberFormat="1" applyFont="1" applyFill="1" applyBorder="1" applyAlignment="1" applyProtection="1">
      <alignment horizontal="left" vertical="center"/>
      <protection hidden="1"/>
    </xf>
    <xf numFmtId="2" fontId="0" fillId="7" borderId="0" xfId="0" applyNumberFormat="1" applyFill="1" applyProtection="1">
      <protection hidden="1"/>
    </xf>
    <xf numFmtId="0" fontId="8" fillId="7" borderId="0" xfId="0" applyFont="1" applyFill="1" applyAlignment="1" applyProtection="1">
      <alignment horizontal="center" vertical="center"/>
      <protection hidden="1"/>
    </xf>
    <xf numFmtId="17" fontId="0" fillId="27" borderId="0" xfId="0" applyNumberFormat="1" applyFill="1" applyProtection="1">
      <protection hidden="1"/>
    </xf>
    <xf numFmtId="2" fontId="0" fillId="27" borderId="0" xfId="0" applyNumberFormat="1" applyFill="1" applyProtection="1">
      <protection hidden="1"/>
    </xf>
    <xf numFmtId="17" fontId="0" fillId="0" borderId="0" xfId="0" applyNumberFormat="1" applyBorder="1" applyProtection="1">
      <protection hidden="1"/>
    </xf>
    <xf numFmtId="165" fontId="17" fillId="5" borderId="0" xfId="0" applyNumberFormat="1" applyFont="1" applyFill="1" applyBorder="1" applyAlignment="1" applyProtection="1">
      <alignment horizontal="left" vertical="center"/>
      <protection hidden="1"/>
    </xf>
    <xf numFmtId="2" fontId="0" fillId="0" borderId="0" xfId="0" applyNumberForma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wrapText="1"/>
      <protection hidden="1"/>
    </xf>
    <xf numFmtId="17" fontId="0" fillId="7" borderId="0" xfId="0" applyNumberFormat="1" applyFill="1" applyBorder="1" applyProtection="1">
      <protection hidden="1"/>
    </xf>
    <xf numFmtId="165" fontId="17" fillId="7" borderId="0" xfId="0" applyNumberFormat="1" applyFont="1" applyFill="1" applyBorder="1" applyAlignment="1" applyProtection="1">
      <alignment horizontal="left" vertical="center"/>
      <protection hidden="1"/>
    </xf>
    <xf numFmtId="17" fontId="0" fillId="27" borderId="0" xfId="0" applyNumberFormat="1" applyFill="1" applyBorder="1" applyProtection="1">
      <protection hidden="1"/>
    </xf>
    <xf numFmtId="165" fontId="17" fillId="27" borderId="0" xfId="0" applyNumberFormat="1" applyFont="1" applyFill="1" applyBorder="1" applyAlignment="1" applyProtection="1">
      <alignment horizontal="left" vertical="center"/>
      <protection hidden="1"/>
    </xf>
    <xf numFmtId="0" fontId="0" fillId="27" borderId="0" xfId="0" applyFill="1" applyBorder="1" applyProtection="1">
      <protection hidden="1"/>
    </xf>
    <xf numFmtId="14" fontId="78" fillId="8" borderId="0" xfId="12" applyNumberFormat="1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14" fontId="0" fillId="0" borderId="0" xfId="0" applyNumberFormat="1" applyAlignment="1" applyProtection="1">
      <alignment wrapText="1"/>
      <protection hidden="1"/>
    </xf>
    <xf numFmtId="0" fontId="0" fillId="0" borderId="0" xfId="0" applyNumberFormat="1" applyFill="1" applyBorder="1" applyProtection="1">
      <protection hidden="1"/>
    </xf>
    <xf numFmtId="14" fontId="0" fillId="22" borderId="0" xfId="0" applyNumberFormat="1" applyFill="1" applyProtection="1">
      <protection hidden="1"/>
    </xf>
    <xf numFmtId="0" fontId="28" fillId="0" borderId="0" xfId="0" applyFon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8" fillId="25" borderId="0" xfId="0" applyFont="1" applyFill="1" applyBorder="1" applyProtection="1">
      <protection hidden="1"/>
    </xf>
    <xf numFmtId="0" fontId="0" fillId="25" borderId="0" xfId="0" applyFill="1" applyBorder="1" applyProtection="1">
      <protection hidden="1"/>
    </xf>
    <xf numFmtId="0" fontId="0" fillId="25" borderId="0" xfId="0" applyFill="1" applyProtection="1">
      <protection hidden="1"/>
    </xf>
    <xf numFmtId="0" fontId="0" fillId="6" borderId="0" xfId="0" applyFill="1" applyProtection="1">
      <protection hidden="1"/>
    </xf>
    <xf numFmtId="14" fontId="9" fillId="6" borderId="0" xfId="0" applyNumberFormat="1" applyFont="1" applyFill="1" applyProtection="1">
      <protection hidden="1"/>
    </xf>
    <xf numFmtId="14" fontId="0" fillId="6" borderId="0" xfId="0" applyNumberFormat="1" applyFill="1" applyProtection="1">
      <protection hidden="1"/>
    </xf>
    <xf numFmtId="2" fontId="0" fillId="10" borderId="0" xfId="0" applyNumberFormat="1" applyFill="1" applyProtection="1">
      <protection hidden="1"/>
    </xf>
    <xf numFmtId="0" fontId="8" fillId="24" borderId="0" xfId="0" applyFont="1" applyFill="1" applyProtection="1">
      <protection hidden="1"/>
    </xf>
    <xf numFmtId="0" fontId="0" fillId="24" borderId="0" xfId="0" applyFill="1" applyProtection="1">
      <protection hidden="1"/>
    </xf>
    <xf numFmtId="14" fontId="0" fillId="24" borderId="0" xfId="0" applyNumberFormat="1" applyFill="1" applyProtection="1">
      <protection hidden="1"/>
    </xf>
    <xf numFmtId="14" fontId="0" fillId="9" borderId="0" xfId="0" applyNumberFormat="1" applyFill="1" applyProtection="1">
      <protection hidden="1"/>
    </xf>
    <xf numFmtId="165" fontId="0" fillId="9" borderId="0" xfId="0" applyNumberFormat="1" applyFill="1" applyProtection="1">
      <protection hidden="1"/>
    </xf>
    <xf numFmtId="0" fontId="0" fillId="9" borderId="0" xfId="0" applyFill="1" applyProtection="1">
      <protection hidden="1"/>
    </xf>
    <xf numFmtId="0" fontId="8" fillId="10" borderId="0" xfId="0" applyFont="1" applyFill="1" applyProtection="1">
      <protection hidden="1"/>
    </xf>
    <xf numFmtId="0" fontId="10" fillId="24" borderId="0" xfId="0" applyFont="1" applyFill="1" applyProtection="1">
      <protection hidden="1"/>
    </xf>
    <xf numFmtId="0" fontId="8" fillId="24" borderId="0" xfId="0" applyFont="1" applyFill="1" applyAlignment="1" applyProtection="1">
      <alignment horizontal="center" vertical="center"/>
      <protection hidden="1"/>
    </xf>
    <xf numFmtId="0" fontId="0" fillId="24" borderId="0" xfId="0" applyFill="1" applyAlignment="1" applyProtection="1">
      <alignment wrapText="1"/>
      <protection hidden="1"/>
    </xf>
    <xf numFmtId="14" fontId="0" fillId="24" borderId="0" xfId="0" applyNumberFormat="1" applyFill="1" applyAlignment="1" applyProtection="1">
      <alignment horizontal="center"/>
      <protection hidden="1"/>
    </xf>
    <xf numFmtId="0" fontId="0" fillId="27" borderId="0" xfId="0" applyFill="1" applyAlignment="1" applyProtection="1">
      <alignment horizontal="center" vertical="center"/>
      <protection hidden="1"/>
    </xf>
    <xf numFmtId="0" fontId="0" fillId="24" borderId="0" xfId="0" applyFill="1" applyAlignment="1" applyProtection="1">
      <alignment horizontal="left"/>
      <protection hidden="1"/>
    </xf>
    <xf numFmtId="0" fontId="0" fillId="24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5" fontId="0" fillId="24" borderId="0" xfId="0" applyNumberFormat="1" applyFill="1" applyAlignment="1" applyProtection="1">
      <alignment horizontal="center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0" fontId="0" fillId="9" borderId="0" xfId="0" applyFill="1" applyAlignment="1" applyProtection="1">
      <alignment horizontal="left"/>
      <protection hidden="1"/>
    </xf>
    <xf numFmtId="0" fontId="0" fillId="9" borderId="0" xfId="0" applyFill="1" applyAlignment="1" applyProtection="1">
      <alignment horizontal="center" vertical="center"/>
      <protection hidden="1"/>
    </xf>
    <xf numFmtId="14" fontId="8" fillId="24" borderId="0" xfId="0" applyNumberFormat="1" applyFont="1" applyFill="1" applyProtection="1">
      <protection hidden="1"/>
    </xf>
    <xf numFmtId="0" fontId="0" fillId="26" borderId="0" xfId="0" applyFill="1" applyAlignment="1" applyProtection="1">
      <alignment horizontal="center"/>
      <protection hidden="1"/>
    </xf>
    <xf numFmtId="0" fontId="0" fillId="26" borderId="0" xfId="0" applyFill="1" applyProtection="1">
      <protection hidden="1"/>
    </xf>
    <xf numFmtId="0" fontId="164" fillId="20" borderId="0" xfId="20" applyFont="1" applyFill="1" applyAlignment="1" applyProtection="1">
      <alignment horizontal="center" vertical="center" wrapText="1"/>
      <protection hidden="1"/>
    </xf>
    <xf numFmtId="0" fontId="162" fillId="0" borderId="0" xfId="20" applyFont="1" applyProtection="1">
      <protection hidden="1"/>
    </xf>
    <xf numFmtId="0" fontId="163" fillId="0" borderId="0" xfId="20" applyFont="1" applyFill="1" applyProtection="1">
      <protection hidden="1"/>
    </xf>
    <xf numFmtId="0" fontId="8" fillId="0" borderId="95" xfId="19" applyBorder="1" applyAlignment="1" applyProtection="1">
      <alignment horizontal="center" vertical="center" wrapText="1"/>
      <protection locked="0"/>
    </xf>
    <xf numFmtId="0" fontId="15" fillId="0" borderId="95" xfId="19" applyFont="1" applyFill="1" applyBorder="1" applyAlignment="1" applyProtection="1">
      <alignment horizontal="center"/>
      <protection locked="0"/>
    </xf>
    <xf numFmtId="0" fontId="15" fillId="0" borderId="20" xfId="19" applyFont="1" applyBorder="1" applyAlignment="1" applyProtection="1">
      <alignment horizontal="center"/>
      <protection locked="0"/>
    </xf>
    <xf numFmtId="0" fontId="10" fillId="0" borderId="22" xfId="19" applyFont="1" applyBorder="1" applyAlignment="1" applyProtection="1">
      <alignment vertical="center" wrapText="1"/>
      <protection locked="0"/>
    </xf>
    <xf numFmtId="0" fontId="15" fillId="0" borderId="0" xfId="19" applyFont="1" applyBorder="1" applyAlignment="1" applyProtection="1">
      <alignment horizontal="left"/>
      <protection locked="0"/>
    </xf>
    <xf numFmtId="0" fontId="10" fillId="0" borderId="0" xfId="19" applyFont="1" applyBorder="1" applyAlignment="1" applyProtection="1">
      <alignment horizontal="left"/>
      <protection locked="0"/>
    </xf>
    <xf numFmtId="0" fontId="10" fillId="0" borderId="0" xfId="19" applyFont="1" applyBorder="1" applyAlignment="1" applyProtection="1">
      <alignment horizontal="left" shrinkToFit="1"/>
      <protection locked="0"/>
    </xf>
    <xf numFmtId="0" fontId="4" fillId="0" borderId="0" xfId="20" applyBorder="1" applyProtection="1">
      <protection locked="0"/>
    </xf>
    <xf numFmtId="0" fontId="4" fillId="0" borderId="0" xfId="20" applyBorder="1" applyAlignment="1" applyProtection="1">
      <alignment shrinkToFit="1"/>
      <protection locked="0"/>
    </xf>
    <xf numFmtId="0" fontId="3" fillId="0" borderId="0" xfId="20" applyFont="1" applyBorder="1" applyProtection="1">
      <protection locked="0"/>
    </xf>
    <xf numFmtId="0" fontId="4" fillId="0" borderId="0" xfId="20" applyProtection="1">
      <protection locked="0"/>
    </xf>
    <xf numFmtId="0" fontId="4" fillId="0" borderId="0" xfId="20" applyAlignment="1" applyProtection="1">
      <alignment shrinkToFit="1"/>
      <protection locked="0"/>
    </xf>
    <xf numFmtId="0" fontId="3" fillId="0" borderId="0" xfId="20" applyFont="1" applyProtection="1">
      <protection locked="0"/>
    </xf>
    <xf numFmtId="0" fontId="0" fillId="0" borderId="0" xfId="0"/>
    <xf numFmtId="0" fontId="88" fillId="0" borderId="0" xfId="0" applyFont="1" applyAlignment="1">
      <alignment horizontal="right" vertical="center"/>
    </xf>
    <xf numFmtId="0" fontId="88" fillId="0" borderId="0" xfId="0" applyFont="1" applyAlignment="1">
      <alignment vertical="center" wrapText="1"/>
    </xf>
    <xf numFmtId="0" fontId="88" fillId="0" borderId="0" xfId="0" applyFont="1" applyAlignment="1">
      <alignment horizontal="right"/>
    </xf>
    <xf numFmtId="2" fontId="156" fillId="0" borderId="84" xfId="19" applyNumberFormat="1" applyFont="1" applyBorder="1" applyAlignment="1" applyProtection="1">
      <alignment horizontal="center" vertical="top" wrapText="1" shrinkToFit="1"/>
      <protection hidden="1"/>
    </xf>
    <xf numFmtId="2" fontId="156" fillId="0" borderId="27" xfId="19" applyNumberFormat="1" applyFont="1" applyBorder="1" applyAlignment="1" applyProtection="1">
      <alignment horizontal="center" vertical="top" wrapText="1" shrinkToFit="1"/>
      <protection hidden="1"/>
    </xf>
    <xf numFmtId="2" fontId="156" fillId="0" borderId="0" xfId="19" applyNumberFormat="1" applyFont="1" applyBorder="1" applyAlignment="1" applyProtection="1">
      <alignment horizontal="left" vertical="top" wrapText="1" shrinkToFit="1"/>
      <protection hidden="1"/>
    </xf>
    <xf numFmtId="0" fontId="10" fillId="0" borderId="0" xfId="19" applyFont="1" applyBorder="1" applyAlignment="1" applyProtection="1">
      <alignment horizontal="right" wrapText="1"/>
      <protection hidden="1"/>
    </xf>
    <xf numFmtId="0" fontId="115" fillId="0" borderId="113" xfId="19" applyFont="1" applyBorder="1" applyAlignment="1" applyProtection="1">
      <alignment horizontal="right" vertical="center"/>
      <protection hidden="1"/>
    </xf>
    <xf numFmtId="0" fontId="10" fillId="0" borderId="116" xfId="0" applyFont="1" applyFill="1" applyBorder="1" applyAlignment="1" applyProtection="1">
      <alignment horizontal="right" vertical="top"/>
      <protection hidden="1"/>
    </xf>
    <xf numFmtId="2" fontId="94" fillId="0" borderId="116" xfId="0" applyNumberFormat="1" applyFont="1" applyFill="1" applyBorder="1" applyAlignment="1" applyProtection="1">
      <alignment horizontal="right" vertical="top" shrinkToFit="1"/>
      <protection hidden="1"/>
    </xf>
    <xf numFmtId="0" fontId="90" fillId="0" borderId="0" xfId="0" applyFont="1" applyFill="1" applyProtection="1">
      <protection hidden="1"/>
    </xf>
    <xf numFmtId="0" fontId="96" fillId="0" borderId="0" xfId="0" applyFont="1" applyFill="1" applyProtection="1">
      <protection hidden="1"/>
    </xf>
    <xf numFmtId="0" fontId="8" fillId="0" borderId="26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0" fontId="8" fillId="0" borderId="27" xfId="0" applyFont="1" applyFill="1" applyBorder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0" fontId="53" fillId="0" borderId="0" xfId="0" applyFont="1" applyFill="1" applyBorder="1" applyAlignment="1" applyProtection="1">
      <alignment vertical="top"/>
      <protection hidden="1"/>
    </xf>
    <xf numFmtId="0" fontId="53" fillId="0" borderId="0" xfId="0" applyFont="1" applyFill="1" applyBorder="1" applyAlignment="1" applyProtection="1">
      <alignment horizontal="left" vertical="top"/>
      <protection hidden="1"/>
    </xf>
    <xf numFmtId="0" fontId="8" fillId="0" borderId="27" xfId="0" applyFont="1" applyFill="1" applyBorder="1" applyAlignment="1" applyProtection="1">
      <alignment horizontal="center" vertical="top"/>
      <protection hidden="1"/>
    </xf>
    <xf numFmtId="2" fontId="53" fillId="0" borderId="0" xfId="0" applyNumberFormat="1" applyFont="1" applyFill="1" applyBorder="1" applyAlignment="1" applyProtection="1">
      <alignment horizontal="left" vertical="top"/>
      <protection hidden="1"/>
    </xf>
    <xf numFmtId="2" fontId="53" fillId="0" borderId="27" xfId="0" applyNumberFormat="1" applyFont="1" applyFill="1" applyBorder="1" applyAlignment="1" applyProtection="1">
      <alignment horizontal="left" vertical="top"/>
      <protection hidden="1"/>
    </xf>
    <xf numFmtId="0" fontId="10" fillId="0" borderId="2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0" fontId="8" fillId="0" borderId="27" xfId="0" applyFont="1" applyFill="1" applyBorder="1" applyAlignment="1" applyProtection="1">
      <alignment horizontal="left" vertical="top"/>
      <protection hidden="1"/>
    </xf>
    <xf numFmtId="0" fontId="8" fillId="0" borderId="20" xfId="0" applyFont="1" applyFill="1" applyBorder="1" applyAlignment="1" applyProtection="1">
      <alignment vertical="top"/>
      <protection hidden="1"/>
    </xf>
    <xf numFmtId="0" fontId="9" fillId="0" borderId="22" xfId="0" applyFont="1" applyFill="1" applyBorder="1" applyAlignment="1" applyProtection="1">
      <alignment vertical="top"/>
      <protection hidden="1"/>
    </xf>
    <xf numFmtId="0" fontId="9" fillId="0" borderId="22" xfId="0" applyFont="1" applyFill="1" applyBorder="1" applyAlignment="1" applyProtection="1">
      <alignment horizontal="left" vertical="top"/>
      <protection hidden="1"/>
    </xf>
    <xf numFmtId="0" fontId="8" fillId="0" borderId="22" xfId="0" applyFont="1" applyFill="1" applyBorder="1" applyAlignment="1" applyProtection="1">
      <alignment vertical="top"/>
      <protection hidden="1"/>
    </xf>
    <xf numFmtId="0" fontId="8" fillId="0" borderId="22" xfId="0" applyFont="1" applyFill="1" applyBorder="1" applyAlignment="1" applyProtection="1">
      <alignment horizontal="left" vertical="top"/>
      <protection hidden="1"/>
    </xf>
    <xf numFmtId="0" fontId="8" fillId="0" borderId="23" xfId="0" applyFont="1" applyFill="1" applyBorder="1" applyAlignment="1" applyProtection="1">
      <alignment horizontal="left" vertical="top"/>
      <protection hidden="1"/>
    </xf>
    <xf numFmtId="0" fontId="8" fillId="0" borderId="0" xfId="0" applyFont="1" applyFill="1" applyAlignment="1" applyProtection="1">
      <alignment vertical="top"/>
      <protection hidden="1"/>
    </xf>
    <xf numFmtId="0" fontId="9" fillId="0" borderId="0" xfId="0" applyFont="1" applyFill="1" applyAlignment="1" applyProtection="1">
      <alignment vertical="top"/>
      <protection hidden="1"/>
    </xf>
    <xf numFmtId="0" fontId="9" fillId="0" borderId="0" xfId="0" applyFont="1" applyFill="1" applyAlignment="1" applyProtection="1">
      <alignment horizontal="left" vertical="top"/>
      <protection hidden="1"/>
    </xf>
    <xf numFmtId="0" fontId="8" fillId="0" borderId="0" xfId="0" applyFont="1" applyFill="1" applyAlignment="1" applyProtection="1">
      <alignment horizontal="left" vertical="top"/>
      <protection hidden="1"/>
    </xf>
    <xf numFmtId="0" fontId="8" fillId="0" borderId="0" xfId="0" applyFont="1" applyFill="1" applyAlignment="1" applyProtection="1">
      <alignment horizontal="right" vertical="top"/>
      <protection hidden="1"/>
    </xf>
    <xf numFmtId="0" fontId="14" fillId="20" borderId="0" xfId="12" applyFont="1" applyFill="1" applyAlignment="1" applyProtection="1">
      <alignment horizontal="left" vertical="center"/>
      <protection hidden="1"/>
    </xf>
    <xf numFmtId="0" fontId="14" fillId="20" borderId="0" xfId="12" applyFont="1" applyFill="1" applyBorder="1" applyProtection="1">
      <protection hidden="1"/>
    </xf>
    <xf numFmtId="0" fontId="9" fillId="5" borderId="48" xfId="0" applyFont="1" applyFill="1" applyBorder="1" applyAlignment="1" applyProtection="1">
      <alignment horizontal="center" vertical="center" wrapText="1" shrinkToFit="1"/>
      <protection hidden="1"/>
    </xf>
    <xf numFmtId="2" fontId="154" fillId="0" borderId="0" xfId="19" applyNumberFormat="1" applyFont="1" applyBorder="1" applyAlignment="1" applyProtection="1">
      <alignment horizontal="right" vertical="top" shrinkToFit="1"/>
      <protection hidden="1"/>
    </xf>
    <xf numFmtId="2" fontId="52" fillId="0" borderId="0" xfId="19" applyNumberFormat="1" applyFont="1" applyBorder="1" applyAlignment="1" applyProtection="1">
      <alignment horizontal="right" vertical="top" shrinkToFit="1"/>
      <protection hidden="1"/>
    </xf>
    <xf numFmtId="2" fontId="154" fillId="0" borderId="114" xfId="19" applyNumberFormat="1" applyFont="1" applyBorder="1" applyAlignment="1" applyProtection="1">
      <alignment horizontal="right" vertical="top" shrinkToFit="1"/>
      <protection hidden="1"/>
    </xf>
    <xf numFmtId="2" fontId="52" fillId="0" borderId="9" xfId="19" applyNumberFormat="1" applyFont="1" applyBorder="1" applyAlignment="1" applyProtection="1">
      <alignment horizontal="right" vertical="top" shrinkToFit="1"/>
      <protection hidden="1"/>
    </xf>
    <xf numFmtId="2" fontId="157" fillId="0" borderId="0" xfId="19" applyNumberFormat="1" applyFont="1" applyBorder="1" applyAlignment="1" applyProtection="1">
      <alignment horizontal="right" vertical="top" shrinkToFit="1"/>
      <protection hidden="1"/>
    </xf>
    <xf numFmtId="2" fontId="52" fillId="0" borderId="0" xfId="0" applyNumberFormat="1" applyFont="1" applyFill="1" applyBorder="1" applyAlignment="1" applyProtection="1">
      <alignment horizontal="right" vertical="top" shrinkToFit="1"/>
      <protection hidden="1"/>
    </xf>
    <xf numFmtId="2" fontId="52" fillId="0" borderId="114" xfId="19" applyNumberFormat="1" applyFont="1" applyBorder="1" applyAlignment="1" applyProtection="1">
      <alignment horizontal="right" vertical="top" shrinkToFit="1"/>
      <protection hidden="1"/>
    </xf>
    <xf numFmtId="2" fontId="140" fillId="0" borderId="27" xfId="19" applyNumberFormat="1" applyFont="1" applyBorder="1" applyAlignment="1" applyProtection="1">
      <alignment horizontal="right" vertical="top" shrinkToFit="1"/>
      <protection hidden="1"/>
    </xf>
    <xf numFmtId="2" fontId="140" fillId="0" borderId="117" xfId="19" applyNumberFormat="1" applyFont="1" applyBorder="1" applyAlignment="1" applyProtection="1">
      <alignment horizontal="right" vertical="top" shrinkToFit="1"/>
      <protection hidden="1"/>
    </xf>
    <xf numFmtId="2" fontId="167" fillId="0" borderId="27" xfId="20" applyNumberFormat="1" applyFont="1" applyBorder="1" applyAlignment="1" applyProtection="1">
      <alignment horizontal="right" shrinkToFit="1"/>
      <protection hidden="1"/>
    </xf>
    <xf numFmtId="2" fontId="155" fillId="0" borderId="27" xfId="19" applyNumberFormat="1" applyFont="1" applyBorder="1" applyAlignment="1" applyProtection="1">
      <alignment horizontal="right" vertical="top" shrinkToFit="1"/>
      <protection hidden="1"/>
    </xf>
    <xf numFmtId="2" fontId="155" fillId="0" borderId="27" xfId="21" applyNumberFormat="1" applyFont="1" applyBorder="1" applyAlignment="1" applyProtection="1">
      <alignment horizontal="right" vertical="top" shrinkToFit="1"/>
      <protection hidden="1"/>
    </xf>
    <xf numFmtId="2" fontId="140" fillId="0" borderId="27" xfId="21" applyNumberFormat="1" applyFont="1" applyBorder="1" applyAlignment="1" applyProtection="1">
      <alignment horizontal="right" shrinkToFit="1"/>
      <protection hidden="1"/>
    </xf>
    <xf numFmtId="2" fontId="140" fillId="0" borderId="27" xfId="21" applyNumberFormat="1" applyFont="1" applyBorder="1" applyAlignment="1" applyProtection="1">
      <alignment horizontal="right" vertical="top" shrinkToFit="1"/>
      <protection hidden="1"/>
    </xf>
    <xf numFmtId="2" fontId="155" fillId="0" borderId="29" xfId="21" applyNumberFormat="1" applyFont="1" applyBorder="1" applyAlignment="1" applyProtection="1">
      <alignment horizontal="right" vertical="top" shrinkToFit="1"/>
      <protection hidden="1"/>
    </xf>
    <xf numFmtId="0" fontId="10" fillId="5" borderId="55" xfId="0" applyFont="1" applyFill="1" applyBorder="1" applyAlignment="1" applyProtection="1">
      <alignment horizontal="center" vertical="center" wrapText="1" shrinkToFit="1"/>
      <protection hidden="1"/>
    </xf>
    <xf numFmtId="14" fontId="0" fillId="0" borderId="0" xfId="0" applyNumberFormat="1" applyBorder="1" applyProtection="1">
      <protection hidden="1"/>
    </xf>
    <xf numFmtId="165" fontId="0" fillId="0" borderId="0" xfId="0" applyNumberFormat="1" applyBorder="1" applyProtection="1">
      <protection hidden="1"/>
    </xf>
    <xf numFmtId="0" fontId="8" fillId="60" borderId="0" xfId="0" applyFont="1" applyFill="1" applyAlignment="1" applyProtection="1">
      <alignment shrinkToFit="1"/>
      <protection hidden="1"/>
    </xf>
    <xf numFmtId="0" fontId="169" fillId="60" borderId="0" xfId="0" applyFont="1" applyFill="1" applyAlignment="1" applyProtection="1">
      <alignment shrinkToFit="1"/>
      <protection hidden="1"/>
    </xf>
    <xf numFmtId="0" fontId="92" fillId="60" borderId="0" xfId="0" applyFont="1" applyFill="1" applyAlignment="1" applyProtection="1">
      <alignment shrinkToFit="1"/>
      <protection hidden="1"/>
    </xf>
    <xf numFmtId="0" fontId="10" fillId="60" borderId="0" xfId="0" applyFont="1" applyFill="1" applyAlignment="1" applyProtection="1">
      <alignment horizontal="center" shrinkToFit="1"/>
      <protection hidden="1"/>
    </xf>
    <xf numFmtId="0" fontId="89" fillId="60" borderId="0" xfId="0" applyFont="1" applyFill="1" applyAlignment="1" applyProtection="1">
      <alignment horizontal="center" shrinkToFit="1"/>
      <protection hidden="1"/>
    </xf>
    <xf numFmtId="0" fontId="8" fillId="60" borderId="0" xfId="0" applyFont="1" applyFill="1" applyAlignment="1" applyProtection="1">
      <alignment horizontal="center" vertical="center" shrinkToFit="1"/>
      <protection hidden="1"/>
    </xf>
    <xf numFmtId="0" fontId="92" fillId="60" borderId="0" xfId="0" applyFont="1" applyFill="1" applyAlignment="1" applyProtection="1">
      <alignment horizontal="center" vertical="center" shrinkToFit="1"/>
      <protection hidden="1"/>
    </xf>
    <xf numFmtId="0" fontId="56" fillId="60" borderId="0" xfId="0" applyFont="1" applyFill="1" applyProtection="1">
      <protection hidden="1"/>
    </xf>
    <xf numFmtId="0" fontId="29" fillId="60" borderId="0" xfId="0" applyFont="1" applyFill="1" applyProtection="1">
      <protection hidden="1"/>
    </xf>
    <xf numFmtId="0" fontId="89" fillId="60" borderId="0" xfId="0" applyFont="1" applyFill="1" applyProtection="1">
      <protection hidden="1"/>
    </xf>
    <xf numFmtId="0" fontId="59" fillId="60" borderId="0" xfId="0" applyFont="1" applyFill="1" applyProtection="1">
      <protection hidden="1"/>
    </xf>
    <xf numFmtId="0" fontId="0" fillId="60" borderId="0" xfId="0" applyFill="1" applyAlignment="1" applyProtection="1">
      <alignment horizontal="left"/>
      <protection hidden="1"/>
    </xf>
    <xf numFmtId="0" fontId="60" fillId="60" borderId="0" xfId="0" applyFont="1" applyFill="1" applyProtection="1">
      <protection hidden="1"/>
    </xf>
    <xf numFmtId="0" fontId="0" fillId="60" borderId="0" xfId="0" applyFill="1" applyProtection="1">
      <protection hidden="1"/>
    </xf>
    <xf numFmtId="0" fontId="93" fillId="60" borderId="0" xfId="0" applyFont="1" applyFill="1" applyAlignment="1" applyProtection="1">
      <alignment shrinkToFit="1"/>
      <protection hidden="1"/>
    </xf>
    <xf numFmtId="0" fontId="106" fillId="60" borderId="0" xfId="0" applyFont="1" applyFill="1" applyAlignment="1" applyProtection="1">
      <alignment shrinkToFit="1"/>
      <protection hidden="1"/>
    </xf>
    <xf numFmtId="0" fontId="106" fillId="60" borderId="0" xfId="0" applyFont="1" applyFill="1" applyProtection="1">
      <protection hidden="1"/>
    </xf>
    <xf numFmtId="0" fontId="32" fillId="60" borderId="0" xfId="0" applyFont="1" applyFill="1" applyProtection="1">
      <protection hidden="1"/>
    </xf>
    <xf numFmtId="0" fontId="10" fillId="60" borderId="0" xfId="0" applyFont="1" applyFill="1" applyProtection="1">
      <protection hidden="1"/>
    </xf>
    <xf numFmtId="0" fontId="8" fillId="60" borderId="0" xfId="0" applyFont="1" applyFill="1" applyAlignment="1" applyProtection="1">
      <alignment horizontal="center" vertical="center"/>
      <protection hidden="1"/>
    </xf>
    <xf numFmtId="0" fontId="8" fillId="60" borderId="0" xfId="0" applyFont="1" applyFill="1" applyAlignment="1" applyProtection="1">
      <alignment horizontal="center"/>
      <protection hidden="1"/>
    </xf>
    <xf numFmtId="1" fontId="10" fillId="60" borderId="0" xfId="0" applyNumberFormat="1" applyFont="1" applyFill="1" applyProtection="1">
      <protection hidden="1"/>
    </xf>
    <xf numFmtId="170" fontId="8" fillId="5" borderId="55" xfId="0" applyNumberFormat="1" applyFont="1" applyFill="1" applyBorder="1" applyAlignment="1" applyProtection="1">
      <alignment horizontal="left" shrinkToFit="1"/>
      <protection hidden="1"/>
    </xf>
    <xf numFmtId="0" fontId="93" fillId="60" borderId="0" xfId="0" applyFont="1" applyFill="1" applyProtection="1">
      <protection hidden="1"/>
    </xf>
    <xf numFmtId="0" fontId="91" fillId="60" borderId="0" xfId="0" applyFont="1" applyFill="1" applyProtection="1">
      <protection hidden="1"/>
    </xf>
    <xf numFmtId="0" fontId="93" fillId="15" borderId="0" xfId="0" applyFont="1" applyFill="1" applyAlignment="1" applyProtection="1">
      <alignment shrinkToFit="1"/>
      <protection locked="0"/>
    </xf>
    <xf numFmtId="0" fontId="170" fillId="15" borderId="0" xfId="0" applyFont="1" applyFill="1" applyAlignment="1" applyProtection="1">
      <alignment shrinkToFit="1"/>
      <protection hidden="1"/>
    </xf>
    <xf numFmtId="1" fontId="99" fillId="5" borderId="48" xfId="0" applyNumberFormat="1" applyFont="1" applyFill="1" applyBorder="1" applyAlignment="1" applyProtection="1">
      <alignment horizontal="center" vertical="center" shrinkToFit="1"/>
      <protection hidden="1"/>
    </xf>
    <xf numFmtId="1" fontId="99" fillId="5" borderId="48" xfId="0" applyNumberFormat="1" applyFont="1" applyFill="1" applyBorder="1" applyAlignment="1" applyProtection="1">
      <alignment shrinkToFit="1"/>
      <protection hidden="1"/>
    </xf>
    <xf numFmtId="0" fontId="99" fillId="5" borderId="48" xfId="0" applyFont="1" applyFill="1" applyBorder="1" applyAlignment="1" applyProtection="1">
      <alignment horizontal="center" vertical="center" shrinkToFit="1"/>
      <protection hidden="1"/>
    </xf>
    <xf numFmtId="0" fontId="69" fillId="15" borderId="83" xfId="0" applyFont="1" applyFill="1" applyBorder="1" applyAlignment="1" applyProtection="1">
      <alignment horizontal="left"/>
      <protection locked="0" hidden="1"/>
    </xf>
    <xf numFmtId="49" fontId="69" fillId="15" borderId="83" xfId="0" applyNumberFormat="1" applyFont="1" applyFill="1" applyBorder="1" applyAlignment="1" applyProtection="1">
      <alignment horizontal="left"/>
      <protection locked="0" hidden="1"/>
    </xf>
    <xf numFmtId="14" fontId="69" fillId="5" borderId="83" xfId="0" applyNumberFormat="1" applyFont="1" applyFill="1" applyBorder="1" applyProtection="1">
      <protection locked="0"/>
    </xf>
    <xf numFmtId="49" fontId="69" fillId="5" borderId="83" xfId="0" applyNumberFormat="1" applyFont="1" applyFill="1" applyBorder="1" applyProtection="1">
      <protection locked="0"/>
    </xf>
    <xf numFmtId="0" fontId="69" fillId="5" borderId="83" xfId="0" applyFont="1" applyFill="1" applyBorder="1" applyProtection="1">
      <protection locked="0"/>
    </xf>
    <xf numFmtId="0" fontId="14" fillId="8" borderId="0" xfId="12" applyFont="1" applyFill="1" applyAlignment="1" applyProtection="1">
      <alignment horizontal="right"/>
      <protection hidden="1"/>
    </xf>
    <xf numFmtId="0" fontId="91" fillId="60" borderId="0" xfId="0" applyFont="1" applyFill="1" applyAlignment="1" applyProtection="1">
      <alignment horizontal="center"/>
      <protection hidden="1"/>
    </xf>
    <xf numFmtId="1" fontId="99" fillId="5" borderId="48" xfId="0" applyNumberFormat="1" applyFont="1" applyFill="1" applyBorder="1" applyAlignment="1" applyProtection="1">
      <alignment horizontal="center" vertical="center" shrinkToFit="1"/>
      <protection locked="0" hidden="1"/>
    </xf>
    <xf numFmtId="1" fontId="11" fillId="60" borderId="50" xfId="0" applyNumberFormat="1" applyFont="1" applyFill="1" applyBorder="1" applyAlignment="1" applyProtection="1">
      <alignment horizontal="center" vertical="center" shrinkToFit="1"/>
      <protection hidden="1"/>
    </xf>
    <xf numFmtId="0" fontId="8" fillId="5" borderId="48" xfId="0" applyFont="1" applyFill="1" applyBorder="1" applyAlignment="1" applyProtection="1">
      <alignment horizontal="center" vertical="center" wrapText="1" shrinkToFit="1"/>
      <protection hidden="1"/>
    </xf>
    <xf numFmtId="0" fontId="8" fillId="5" borderId="59" xfId="0" applyFont="1" applyFill="1" applyBorder="1" applyAlignment="1" applyProtection="1">
      <alignment horizontal="center" vertical="center" shrinkToFit="1"/>
      <protection hidden="1"/>
    </xf>
    <xf numFmtId="0" fontId="8" fillId="0" borderId="57" xfId="0" applyFont="1" applyFill="1" applyBorder="1" applyAlignment="1" applyProtection="1">
      <alignment horizontal="center" vertical="center" shrinkToFit="1"/>
      <protection hidden="1"/>
    </xf>
    <xf numFmtId="0" fontId="8" fillId="0" borderId="60" xfId="0" applyFont="1" applyFill="1" applyBorder="1" applyAlignment="1" applyProtection="1">
      <alignment horizontal="center" vertical="center" shrinkToFit="1"/>
      <protection hidden="1"/>
    </xf>
    <xf numFmtId="0" fontId="11" fillId="0" borderId="92" xfId="0" applyFont="1" applyFill="1" applyBorder="1" applyAlignment="1" applyProtection="1">
      <alignment horizontal="center" vertical="center" shrinkToFit="1"/>
      <protection hidden="1"/>
    </xf>
    <xf numFmtId="1" fontId="88" fillId="0" borderId="93" xfId="0" applyNumberFormat="1" applyFont="1" applyFill="1" applyBorder="1" applyAlignment="1" applyProtection="1">
      <alignment horizontal="center" vertical="center" shrinkToFit="1"/>
      <protection hidden="1"/>
    </xf>
    <xf numFmtId="1" fontId="11" fillId="0" borderId="93" xfId="0" applyNumberFormat="1" applyFont="1" applyFill="1" applyBorder="1" applyAlignment="1" applyProtection="1">
      <alignment horizontal="center" vertical="center" shrinkToFit="1"/>
      <protection hidden="1"/>
    </xf>
    <xf numFmtId="0" fontId="8" fillId="5" borderId="119" xfId="0" applyFont="1" applyFill="1" applyBorder="1" applyAlignment="1" applyProtection="1">
      <alignment horizontal="center" vertical="center" wrapText="1" shrinkToFit="1"/>
      <protection hidden="1"/>
    </xf>
    <xf numFmtId="1" fontId="99" fillId="5" borderId="119" xfId="0" applyNumberFormat="1" applyFont="1" applyFill="1" applyBorder="1" applyAlignment="1" applyProtection="1">
      <alignment horizontal="center" vertical="center" shrinkToFit="1"/>
      <protection hidden="1"/>
    </xf>
    <xf numFmtId="0" fontId="8" fillId="5" borderId="120" xfId="0" applyFont="1" applyFill="1" applyBorder="1" applyAlignment="1" applyProtection="1">
      <alignment horizontal="center" vertical="center" shrinkToFit="1"/>
      <protection hidden="1"/>
    </xf>
    <xf numFmtId="0" fontId="8" fillId="5" borderId="121" xfId="0" applyFont="1" applyFill="1" applyBorder="1" applyAlignment="1" applyProtection="1">
      <alignment horizontal="center" vertical="center" shrinkToFit="1"/>
      <protection hidden="1"/>
    </xf>
    <xf numFmtId="1" fontId="11" fillId="60" borderId="51" xfId="0" applyNumberFormat="1" applyFont="1" applyFill="1" applyBorder="1" applyAlignment="1" applyProtection="1">
      <alignment horizontal="center" vertical="center" shrinkToFit="1"/>
      <protection hidden="1"/>
    </xf>
    <xf numFmtId="0" fontId="11" fillId="60" borderId="122" xfId="0" applyFont="1" applyFill="1" applyBorder="1" applyAlignment="1" applyProtection="1">
      <alignment horizontal="center" vertical="center" shrinkToFit="1"/>
      <protection hidden="1"/>
    </xf>
    <xf numFmtId="1" fontId="88" fillId="60" borderId="122" xfId="0" applyNumberFormat="1" applyFont="1" applyFill="1" applyBorder="1" applyAlignment="1" applyProtection="1">
      <alignment horizontal="center" vertical="center" shrinkToFit="1"/>
      <protection hidden="1"/>
    </xf>
    <xf numFmtId="0" fontId="8" fillId="60" borderId="122" xfId="0" applyFont="1" applyFill="1" applyBorder="1" applyAlignment="1" applyProtection="1">
      <alignment horizontal="center" vertical="center" shrinkToFit="1"/>
      <protection hidden="1"/>
    </xf>
    <xf numFmtId="0" fontId="0" fillId="6" borderId="0" xfId="0" applyFill="1"/>
    <xf numFmtId="0" fontId="94" fillId="25" borderId="36" xfId="12" applyFont="1" applyFill="1" applyBorder="1" applyAlignment="1" applyProtection="1">
      <alignment vertical="center"/>
      <protection locked="0" hidden="1"/>
    </xf>
    <xf numFmtId="0" fontId="94" fillId="25" borderId="70" xfId="12" applyFont="1" applyFill="1" applyBorder="1" applyAlignment="1" applyProtection="1">
      <alignment vertical="center"/>
      <protection locked="0" hidden="1"/>
    </xf>
    <xf numFmtId="0" fontId="94" fillId="25" borderId="37" xfId="12" applyFont="1" applyFill="1" applyBorder="1" applyAlignment="1" applyProtection="1">
      <alignment vertical="center"/>
      <protection locked="0" hidden="1"/>
    </xf>
    <xf numFmtId="0" fontId="165" fillId="8" borderId="0" xfId="0" applyFont="1" applyFill="1" applyProtection="1"/>
    <xf numFmtId="0" fontId="172" fillId="0" borderId="0" xfId="0" applyFont="1" applyProtection="1">
      <protection hidden="1"/>
    </xf>
    <xf numFmtId="0" fontId="172" fillId="0" borderId="0" xfId="0" applyFont="1" applyAlignment="1" applyProtection="1">
      <alignment horizontal="center" vertical="top" wrapText="1"/>
      <protection hidden="1"/>
    </xf>
    <xf numFmtId="0" fontId="172" fillId="0" borderId="0" xfId="0" applyFont="1" applyAlignment="1" applyProtection="1">
      <alignment horizontal="center" vertical="center" wrapText="1"/>
      <protection hidden="1"/>
    </xf>
    <xf numFmtId="0" fontId="172" fillId="0" borderId="0" xfId="0" applyFont="1" applyAlignment="1" applyProtection="1">
      <alignment horizontal="center" vertical="top"/>
      <protection hidden="1"/>
    </xf>
    <xf numFmtId="0" fontId="172" fillId="5" borderId="0" xfId="0" applyFont="1" applyFill="1" applyAlignment="1" applyProtection="1">
      <alignment horizontal="center" vertical="top"/>
      <protection hidden="1"/>
    </xf>
    <xf numFmtId="0" fontId="172" fillId="0" borderId="0" xfId="0" applyFont="1" applyAlignment="1" applyProtection="1">
      <alignment horizontal="right" vertical="top"/>
      <protection hidden="1"/>
    </xf>
    <xf numFmtId="0" fontId="173" fillId="0" borderId="0" xfId="0" applyFont="1" applyAlignment="1" applyProtection="1">
      <alignment vertical="top"/>
      <protection hidden="1"/>
    </xf>
    <xf numFmtId="0" fontId="173" fillId="0" borderId="0" xfId="0" applyFont="1" applyAlignment="1" applyProtection="1">
      <protection hidden="1"/>
    </xf>
    <xf numFmtId="0" fontId="172" fillId="0" borderId="0" xfId="0" applyFont="1" applyAlignment="1" applyProtection="1">
      <alignment wrapText="1"/>
      <protection hidden="1"/>
    </xf>
    <xf numFmtId="0" fontId="172" fillId="0" borderId="0" xfId="0" applyFont="1" applyAlignment="1" applyProtection="1">
      <alignment vertical="top"/>
      <protection hidden="1"/>
    </xf>
    <xf numFmtId="0" fontId="174" fillId="0" borderId="0" xfId="0" applyFont="1" applyAlignment="1" applyProtection="1">
      <alignment vertical="top"/>
      <protection hidden="1"/>
    </xf>
    <xf numFmtId="0" fontId="172" fillId="0" borderId="0" xfId="0" applyFont="1" applyAlignment="1" applyProtection="1">
      <alignment vertical="top" wrapText="1"/>
      <protection hidden="1"/>
    </xf>
    <xf numFmtId="0" fontId="173" fillId="0" borderId="0" xfId="0" applyFont="1" applyProtection="1">
      <protection hidden="1"/>
    </xf>
    <xf numFmtId="0" fontId="173" fillId="0" borderId="0" xfId="0" applyFont="1" applyAlignment="1" applyProtection="1">
      <alignment horizontal="left"/>
      <protection hidden="1"/>
    </xf>
    <xf numFmtId="2" fontId="172" fillId="0" borderId="0" xfId="0" applyNumberFormat="1" applyFont="1" applyAlignment="1" applyProtection="1">
      <alignment horizontal="left" vertical="top"/>
      <protection hidden="1"/>
    </xf>
    <xf numFmtId="2" fontId="172" fillId="8" borderId="0" xfId="0" applyNumberFormat="1" applyFont="1" applyFill="1" applyAlignment="1" applyProtection="1">
      <alignment horizontal="left" vertical="top"/>
      <protection hidden="1"/>
    </xf>
    <xf numFmtId="49" fontId="172" fillId="8" borderId="0" xfId="0" applyNumberFormat="1" applyFont="1" applyFill="1" applyAlignment="1" applyProtection="1">
      <alignment vertical="top"/>
      <protection locked="0"/>
    </xf>
    <xf numFmtId="0" fontId="36" fillId="12" borderId="126" xfId="12" applyFont="1" applyFill="1" applyBorder="1" applyAlignment="1" applyProtection="1">
      <alignment vertical="center"/>
      <protection hidden="1"/>
    </xf>
    <xf numFmtId="0" fontId="30" fillId="8" borderId="109" xfId="12" applyFont="1" applyFill="1" applyBorder="1" applyAlignment="1" applyProtection="1">
      <alignment vertical="center"/>
      <protection hidden="1"/>
    </xf>
    <xf numFmtId="0" fontId="11" fillId="0" borderId="95" xfId="19" applyFont="1" applyBorder="1" applyAlignment="1" applyProtection="1">
      <alignment horizontal="center" vertical="center"/>
      <protection hidden="1"/>
    </xf>
    <xf numFmtId="0" fontId="2" fillId="0" borderId="0" xfId="20" applyFont="1" applyProtection="1">
      <protection hidden="1"/>
    </xf>
    <xf numFmtId="0" fontId="173" fillId="0" borderId="0" xfId="0" applyFont="1" applyAlignment="1" applyProtection="1">
      <alignment horizontal="left" vertical="top"/>
      <protection locked="0" hidden="1"/>
    </xf>
    <xf numFmtId="14" fontId="9" fillId="0" borderId="0" xfId="0" applyNumberFormat="1" applyFont="1" applyProtection="1">
      <protection hidden="1"/>
    </xf>
    <xf numFmtId="0" fontId="34" fillId="8" borderId="80" xfId="12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 vertical="top"/>
      <protection hidden="1"/>
    </xf>
    <xf numFmtId="0" fontId="97" fillId="0" borderId="0" xfId="0" applyFont="1" applyFill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97" fillId="0" borderId="22" xfId="0" applyFont="1" applyFill="1" applyBorder="1" applyAlignment="1" applyProtection="1">
      <alignment horizontal="left" vertical="top" wrapText="1"/>
      <protection hidden="1"/>
    </xf>
    <xf numFmtId="0" fontId="90" fillId="0" borderId="0" xfId="0" applyNumberFormat="1" applyFont="1" applyFill="1" applyAlignment="1" applyProtection="1">
      <alignment horizontal="center" vertical="top"/>
      <protection hidden="1"/>
    </xf>
    <xf numFmtId="0" fontId="181" fillId="0" borderId="0" xfId="0" applyNumberFormat="1" applyFont="1" applyFill="1" applyAlignment="1" applyProtection="1">
      <alignment horizontal="center" vertical="center"/>
      <protection hidden="1"/>
    </xf>
    <xf numFmtId="0" fontId="182" fillId="0" borderId="0" xfId="0" applyNumberFormat="1" applyFont="1" applyFill="1" applyAlignment="1" applyProtection="1">
      <alignment horizontal="center" vertical="center"/>
      <protection hidden="1"/>
    </xf>
    <xf numFmtId="0" fontId="182" fillId="0" borderId="0" xfId="0" applyNumberFormat="1" applyFont="1" applyFill="1" applyAlignment="1" applyProtection="1">
      <alignment horizontal="center" vertical="top"/>
      <protection hidden="1"/>
    </xf>
    <xf numFmtId="0" fontId="90" fillId="0" borderId="0" xfId="0" applyNumberFormat="1" applyFont="1" applyFill="1" applyAlignment="1" applyProtection="1">
      <alignment horizontal="center"/>
      <protection hidden="1"/>
    </xf>
    <xf numFmtId="0" fontId="181" fillId="0" borderId="0" xfId="0" applyNumberFormat="1" applyFont="1" applyFill="1" applyAlignment="1" applyProtection="1">
      <alignment horizontal="center" vertical="top"/>
      <protection hidden="1"/>
    </xf>
    <xf numFmtId="0" fontId="90" fillId="0" borderId="0" xfId="0" applyNumberFormat="1" applyFont="1" applyFill="1" applyAlignment="1" applyProtection="1">
      <alignment horizontal="center" vertical="top" wrapText="1"/>
      <protection hidden="1"/>
    </xf>
    <xf numFmtId="0" fontId="90" fillId="0" borderId="0" xfId="0" applyNumberFormat="1" applyFont="1" applyFill="1" applyAlignment="1" applyProtection="1">
      <alignment horizontal="center" vertical="center"/>
      <protection hidden="1"/>
    </xf>
    <xf numFmtId="0" fontId="163" fillId="0" borderId="0" xfId="20" applyFont="1" applyProtection="1">
      <protection hidden="1"/>
    </xf>
    <xf numFmtId="0" fontId="99" fillId="8" borderId="0" xfId="12" applyFont="1" applyFill="1" applyAlignment="1" applyProtection="1">
      <alignment vertical="center"/>
      <protection hidden="1"/>
    </xf>
    <xf numFmtId="3" fontId="77" fillId="8" borderId="0" xfId="12" applyNumberFormat="1" applyFont="1" applyFill="1" applyBorder="1" applyAlignment="1">
      <alignment vertical="top"/>
    </xf>
    <xf numFmtId="3" fontId="34" fillId="8" borderId="0" xfId="12" applyNumberFormat="1" applyFont="1" applyFill="1" applyProtection="1">
      <protection hidden="1"/>
    </xf>
    <xf numFmtId="0" fontId="8" fillId="8" borderId="0" xfId="0" applyFont="1" applyFill="1"/>
    <xf numFmtId="0" fontId="14" fillId="8" borderId="0" xfId="12" applyFont="1" applyFill="1" applyAlignment="1" applyProtection="1">
      <alignment horizontal="center" vertical="center"/>
      <protection hidden="1"/>
    </xf>
    <xf numFmtId="0" fontId="14" fillId="8" borderId="0" xfId="12" applyFont="1" applyFill="1" applyAlignment="1" applyProtection="1">
      <alignment horizontal="center"/>
      <protection hidden="1"/>
    </xf>
    <xf numFmtId="0" fontId="17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35" fillId="8" borderId="36" xfId="12" applyFont="1" applyFill="1" applyBorder="1" applyAlignment="1" applyProtection="1">
      <alignment vertical="center" wrapText="1"/>
      <protection hidden="1"/>
    </xf>
    <xf numFmtId="0" fontId="14" fillId="61" borderId="0" xfId="12" applyFont="1" applyFill="1" applyProtection="1">
      <protection hidden="1"/>
    </xf>
    <xf numFmtId="0" fontId="81" fillId="8" borderId="35" xfId="12" applyFont="1" applyFill="1" applyBorder="1" applyAlignment="1" applyProtection="1">
      <alignment horizontal="center" vertical="center" wrapText="1"/>
      <protection locked="0" hidden="1"/>
    </xf>
    <xf numFmtId="14" fontId="34" fillId="0" borderId="0" xfId="12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3" fillId="21" borderId="98" xfId="12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8" fillId="6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6" borderId="0" xfId="0" applyFont="1" applyFill="1" applyProtection="1">
      <protection hidden="1"/>
    </xf>
    <xf numFmtId="165" fontId="8" fillId="15" borderId="0" xfId="0" applyNumberFormat="1" applyFont="1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4" fillId="6" borderId="0" xfId="12" applyFont="1" applyFill="1" applyProtection="1">
      <protection hidden="1"/>
    </xf>
    <xf numFmtId="165" fontId="0" fillId="0" borderId="0" xfId="0" applyNumberFormat="1" applyFill="1"/>
    <xf numFmtId="165" fontId="34" fillId="8" borderId="0" xfId="12" applyNumberFormat="1" applyFont="1" applyFill="1" applyBorder="1" applyAlignment="1" applyProtection="1">
      <alignment horizontal="left"/>
      <protection hidden="1"/>
    </xf>
    <xf numFmtId="0" fontId="34" fillId="0" borderId="0" xfId="12" applyNumberFormat="1" applyFont="1" applyFill="1" applyBorder="1" applyAlignment="1" applyProtection="1">
      <alignment horizontal="left"/>
      <protection hidden="1"/>
    </xf>
    <xf numFmtId="0" fontId="8" fillId="0" borderId="0" xfId="0" applyFont="1" applyFill="1" applyAlignment="1">
      <alignment horizontal="center" vertical="center"/>
    </xf>
    <xf numFmtId="165" fontId="34" fillId="8" borderId="0" xfId="12" applyNumberFormat="1" applyFont="1" applyFill="1" applyProtection="1">
      <protection hidden="1"/>
    </xf>
    <xf numFmtId="165" fontId="0" fillId="0" borderId="0" xfId="0" applyNumberFormat="1" applyFill="1" applyAlignment="1">
      <alignment horizontal="center"/>
    </xf>
    <xf numFmtId="165" fontId="8" fillId="0" borderId="0" xfId="0" applyNumberFormat="1" applyFont="1" applyFill="1" applyAlignment="1">
      <alignment horizontal="left"/>
    </xf>
    <xf numFmtId="165" fontId="31" fillId="0" borderId="0" xfId="0" applyNumberFormat="1" applyFont="1" applyProtection="1">
      <protection hidden="1"/>
    </xf>
    <xf numFmtId="165" fontId="0" fillId="0" borderId="0" xfId="0" applyNumberFormat="1" applyFill="1" applyAlignment="1">
      <alignment horizontal="left"/>
    </xf>
    <xf numFmtId="165" fontId="34" fillId="15" borderId="0" xfId="12" applyNumberFormat="1" applyFont="1" applyFill="1" applyBorder="1" applyAlignment="1" applyProtection="1">
      <alignment horizontal="left"/>
      <protection hidden="1"/>
    </xf>
    <xf numFmtId="1" fontId="35" fillId="5" borderId="35" xfId="12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Border="1" applyProtection="1"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2" fontId="0" fillId="21" borderId="0" xfId="0" applyNumberFormat="1" applyFill="1" applyProtection="1">
      <protection hidden="1"/>
    </xf>
    <xf numFmtId="17" fontId="0" fillId="0" borderId="0" xfId="0" applyNumberFormat="1" applyFill="1" applyBorder="1" applyProtection="1">
      <protection hidden="1"/>
    </xf>
    <xf numFmtId="0" fontId="8" fillId="27" borderId="0" xfId="0" applyFont="1" applyFill="1" applyProtection="1">
      <protection hidden="1"/>
    </xf>
    <xf numFmtId="0" fontId="8" fillId="7" borderId="0" xfId="0" applyFont="1" applyFill="1" applyProtection="1">
      <protection hidden="1"/>
    </xf>
    <xf numFmtId="0" fontId="8" fillId="5" borderId="55" xfId="0" applyFont="1" applyFill="1" applyBorder="1" applyAlignment="1" applyProtection="1">
      <alignment horizontal="left" vertical="top" wrapText="1" shrinkToFit="1"/>
      <protection hidden="1"/>
    </xf>
    <xf numFmtId="0" fontId="74" fillId="12" borderId="129" xfId="12" applyFont="1" applyFill="1" applyBorder="1" applyAlignment="1" applyProtection="1">
      <alignment horizontal="center" vertical="center"/>
      <protection hidden="1"/>
    </xf>
    <xf numFmtId="0" fontId="74" fillId="12" borderId="130" xfId="12" applyFont="1" applyFill="1" applyBorder="1" applyAlignment="1" applyProtection="1">
      <alignment horizontal="center" vertical="center"/>
      <protection hidden="1"/>
    </xf>
    <xf numFmtId="0" fontId="61" fillId="20" borderId="83" xfId="12" applyFont="1" applyFill="1" applyBorder="1" applyAlignment="1" applyProtection="1">
      <alignment horizontal="center" vertical="center"/>
      <protection locked="0" hidden="1"/>
    </xf>
    <xf numFmtId="0" fontId="4" fillId="0" borderId="0" xfId="20" applyAlignment="1" applyProtection="1">
      <alignment horizontal="center" vertical="center"/>
      <protection hidden="1"/>
    </xf>
    <xf numFmtId="1" fontId="115" fillId="0" borderId="1" xfId="19" applyNumberFormat="1" applyFont="1" applyBorder="1" applyAlignment="1" applyProtection="1">
      <alignment horizontal="center" vertical="center" wrapText="1"/>
      <protection hidden="1"/>
    </xf>
    <xf numFmtId="0" fontId="34" fillId="5" borderId="35" xfId="12" applyFont="1" applyFill="1" applyBorder="1" applyAlignment="1" applyProtection="1">
      <alignment vertical="center"/>
      <protection locked="0" hidden="1"/>
    </xf>
    <xf numFmtId="168" fontId="35" fillId="5" borderId="35" xfId="12" applyNumberFormat="1" applyFont="1" applyFill="1" applyBorder="1" applyAlignment="1" applyProtection="1">
      <alignment horizontal="center" vertical="center" wrapText="1"/>
      <protection locked="0" hidden="1"/>
    </xf>
    <xf numFmtId="0" fontId="39" fillId="5" borderId="35" xfId="12" applyFont="1" applyFill="1" applyBorder="1" applyAlignment="1" applyProtection="1">
      <alignment horizontal="center" vertical="center"/>
      <protection locked="0" hidden="1"/>
    </xf>
    <xf numFmtId="165" fontId="189" fillId="0" borderId="0" xfId="0" applyNumberFormat="1" applyFont="1" applyProtection="1">
      <protection hidden="1"/>
    </xf>
    <xf numFmtId="0" fontId="189" fillId="0" borderId="0" xfId="0" applyFont="1" applyProtection="1">
      <protection hidden="1"/>
    </xf>
    <xf numFmtId="0" fontId="189" fillId="30" borderId="0" xfId="0" applyFont="1" applyFill="1" applyProtection="1">
      <protection hidden="1"/>
    </xf>
    <xf numFmtId="17" fontId="189" fillId="30" borderId="0" xfId="0" applyNumberFormat="1" applyFont="1" applyFill="1" applyProtection="1">
      <protection hidden="1"/>
    </xf>
    <xf numFmtId="165" fontId="189" fillId="30" borderId="0" xfId="0" applyNumberFormat="1" applyFont="1" applyFill="1" applyProtection="1">
      <protection hidden="1"/>
    </xf>
    <xf numFmtId="2" fontId="189" fillId="30" borderId="0" xfId="0" applyNumberFormat="1" applyFont="1" applyFill="1" applyProtection="1">
      <protection hidden="1"/>
    </xf>
    <xf numFmtId="0" fontId="189" fillId="30" borderId="0" xfId="0" applyFont="1" applyFill="1" applyBorder="1" applyProtection="1">
      <protection hidden="1"/>
    </xf>
    <xf numFmtId="170" fontId="29" fillId="5" borderId="109" xfId="0" applyNumberFormat="1" applyFont="1" applyFill="1" applyBorder="1" applyProtection="1">
      <protection locked="0" hidden="1"/>
    </xf>
    <xf numFmtId="0" fontId="14" fillId="8" borderId="109" xfId="12" applyFont="1" applyFill="1" applyBorder="1" applyAlignment="1" applyProtection="1">
      <alignment vertical="center"/>
      <protection locked="0" hidden="1"/>
    </xf>
    <xf numFmtId="0" fontId="39" fillId="5" borderId="35" xfId="12" applyFont="1" applyFill="1" applyBorder="1" applyAlignment="1" applyProtection="1">
      <alignment horizontal="left" vertical="center" wrapText="1"/>
      <protection locked="0" hidden="1"/>
    </xf>
    <xf numFmtId="168" fontId="39" fillId="5" borderId="35" xfId="12" applyNumberFormat="1" applyFont="1" applyFill="1" applyBorder="1" applyAlignment="1" applyProtection="1">
      <alignment horizontal="center" vertical="center" wrapText="1"/>
      <protection locked="0" hidden="1"/>
    </xf>
    <xf numFmtId="168" fontId="80" fillId="25" borderId="35" xfId="12" applyNumberFormat="1" applyFont="1" applyFill="1" applyBorder="1" applyAlignment="1" applyProtection="1">
      <alignment vertical="center"/>
      <protection locked="0" hidden="1"/>
    </xf>
    <xf numFmtId="0" fontId="80" fillId="25" borderId="35" xfId="12" applyFont="1" applyFill="1" applyBorder="1" applyAlignment="1" applyProtection="1">
      <alignment horizontal="center" vertical="center"/>
      <protection locked="0" hidden="1"/>
    </xf>
    <xf numFmtId="17" fontId="39" fillId="5" borderId="35" xfId="12" applyNumberFormat="1" applyFont="1" applyFill="1" applyBorder="1" applyAlignment="1" applyProtection="1">
      <alignment horizontal="center" vertical="center"/>
      <protection locked="0" hidden="1"/>
    </xf>
    <xf numFmtId="0" fontId="104" fillId="5" borderId="118" xfId="12" applyFont="1" applyFill="1" applyBorder="1" applyAlignment="1" applyProtection="1">
      <alignment horizontal="center" vertical="center"/>
      <protection locked="0" hidden="1"/>
    </xf>
    <xf numFmtId="0" fontId="19" fillId="0" borderId="0" xfId="1" applyFill="1" applyAlignment="1" applyProtection="1">
      <alignment vertical="top"/>
      <protection hidden="1"/>
    </xf>
    <xf numFmtId="0" fontId="172" fillId="0" borderId="0" xfId="0" applyFont="1" applyAlignment="1" applyProtection="1">
      <alignment vertical="top" wrapText="1"/>
      <protection locked="0"/>
    </xf>
    <xf numFmtId="0" fontId="172" fillId="0" borderId="0" xfId="0" applyFont="1" applyAlignment="1" applyProtection="1">
      <alignment wrapText="1"/>
      <protection locked="0"/>
    </xf>
    <xf numFmtId="0" fontId="173" fillId="0" borderId="0" xfId="0" applyFont="1" applyAlignment="1" applyProtection="1">
      <alignment wrapText="1"/>
      <protection locked="0"/>
    </xf>
    <xf numFmtId="0" fontId="173" fillId="0" borderId="0" xfId="0" applyFont="1" applyAlignment="1" applyProtection="1">
      <alignment vertical="top"/>
      <protection locked="0" hidden="1"/>
    </xf>
    <xf numFmtId="0" fontId="173" fillId="0" borderId="0" xfId="0" applyFont="1" applyProtection="1">
      <protection locked="0" hidden="1"/>
    </xf>
    <xf numFmtId="0" fontId="173" fillId="0" borderId="0" xfId="0" applyFont="1" applyAlignment="1" applyProtection="1">
      <alignment horizontal="left"/>
      <protection locked="0" hidden="1"/>
    </xf>
    <xf numFmtId="0" fontId="35" fillId="8" borderId="35" xfId="12" applyFont="1" applyFill="1" applyBorder="1" applyAlignment="1" applyProtection="1">
      <alignment horizontal="center" vertical="center" wrapText="1"/>
      <protection hidden="1"/>
    </xf>
    <xf numFmtId="2" fontId="8" fillId="0" borderId="0" xfId="0" applyNumberFormat="1" applyFont="1" applyProtection="1">
      <protection hidden="1"/>
    </xf>
    <xf numFmtId="14" fontId="88" fillId="6" borderId="0" xfId="0" applyNumberFormat="1" applyFont="1" applyFill="1" applyProtection="1">
      <protection hidden="1"/>
    </xf>
    <xf numFmtId="0" fontId="88" fillId="6" borderId="0" xfId="0" applyFont="1" applyFill="1" applyProtection="1">
      <protection hidden="1"/>
    </xf>
    <xf numFmtId="1" fontId="15" fillId="56" borderId="5" xfId="0" applyNumberFormat="1" applyFont="1" applyFill="1" applyBorder="1" applyAlignment="1">
      <alignment horizontal="center" vertical="center"/>
    </xf>
    <xf numFmtId="1" fontId="15" fillId="56" borderId="7" xfId="0" applyNumberFormat="1" applyFont="1" applyFill="1" applyBorder="1" applyAlignment="1">
      <alignment horizontal="center" vertical="center"/>
    </xf>
    <xf numFmtId="0" fontId="15" fillId="64" borderId="8" xfId="0" applyFont="1" applyFill="1" applyBorder="1" applyAlignment="1">
      <alignment vertical="center"/>
    </xf>
    <xf numFmtId="1" fontId="15" fillId="64" borderId="10" xfId="0" applyNumberFormat="1" applyFont="1" applyFill="1" applyBorder="1" applyAlignment="1">
      <alignment horizontal="center" vertical="center"/>
    </xf>
    <xf numFmtId="0" fontId="34" fillId="64" borderId="0" xfId="12" applyFont="1" applyFill="1" applyProtection="1">
      <protection hidden="1"/>
    </xf>
    <xf numFmtId="0" fontId="34" fillId="64" borderId="0" xfId="12" applyFont="1" applyFill="1" applyAlignment="1" applyProtection="1">
      <alignment horizontal="center" vertical="center"/>
      <protection hidden="1"/>
    </xf>
    <xf numFmtId="0" fontId="183" fillId="0" borderId="0" xfId="0" applyNumberFormat="1" applyFont="1" applyFill="1" applyAlignment="1" applyProtection="1">
      <alignment horizontal="center" vertical="top"/>
      <protection hidden="1"/>
    </xf>
    <xf numFmtId="0" fontId="10" fillId="0" borderId="131" xfId="0" applyFont="1" applyFill="1" applyBorder="1" applyAlignment="1" applyProtection="1">
      <alignment vertical="top"/>
      <protection hidden="1"/>
    </xf>
    <xf numFmtId="0" fontId="10" fillId="0" borderId="134" xfId="0" applyFont="1" applyFill="1" applyBorder="1" applyAlignment="1" applyProtection="1">
      <alignment vertical="top"/>
      <protection hidden="1"/>
    </xf>
    <xf numFmtId="0" fontId="10" fillId="0" borderId="135" xfId="0" applyFont="1" applyFill="1" applyBorder="1" applyAlignment="1" applyProtection="1">
      <alignment vertical="top"/>
      <protection hidden="1"/>
    </xf>
    <xf numFmtId="0" fontId="10" fillId="0" borderId="135" xfId="0" applyFont="1" applyFill="1" applyBorder="1" applyAlignment="1" applyProtection="1">
      <alignment horizontal="left" vertical="top"/>
      <protection hidden="1"/>
    </xf>
    <xf numFmtId="0" fontId="10" fillId="0" borderId="136" xfId="0" applyFont="1" applyFill="1" applyBorder="1" applyAlignment="1" applyProtection="1">
      <alignment horizontal="left" vertical="top"/>
      <protection hidden="1"/>
    </xf>
    <xf numFmtId="1" fontId="10" fillId="0" borderId="135" xfId="0" applyNumberFormat="1" applyFont="1" applyFill="1" applyBorder="1" applyAlignment="1" applyProtection="1">
      <alignment horizontal="center" vertical="top"/>
      <protection hidden="1"/>
    </xf>
    <xf numFmtId="1" fontId="10" fillId="0" borderId="135" xfId="0" applyNumberFormat="1" applyFont="1" applyFill="1" applyBorder="1" applyAlignment="1" applyProtection="1">
      <alignment horizontal="left" vertical="top"/>
      <protection hidden="1"/>
    </xf>
    <xf numFmtId="1" fontId="10" fillId="0" borderId="136" xfId="0" applyNumberFormat="1" applyFont="1" applyFill="1" applyBorder="1" applyAlignment="1" applyProtection="1">
      <alignment horizontal="left" vertical="top"/>
      <protection hidden="1"/>
    </xf>
    <xf numFmtId="49" fontId="10" fillId="0" borderId="135" xfId="0" applyNumberFormat="1" applyFont="1" applyFill="1" applyBorder="1" applyAlignment="1" applyProtection="1">
      <alignment horizontal="left" vertical="top"/>
      <protection hidden="1"/>
    </xf>
    <xf numFmtId="49" fontId="10" fillId="0" borderId="136" xfId="0" applyNumberFormat="1" applyFont="1" applyFill="1" applyBorder="1" applyAlignment="1" applyProtection="1">
      <alignment horizontal="left" vertical="top"/>
      <protection hidden="1"/>
    </xf>
    <xf numFmtId="0" fontId="10" fillId="0" borderId="135" xfId="0" applyFont="1" applyFill="1" applyBorder="1" applyAlignment="1" applyProtection="1">
      <alignment horizontal="right" vertical="top"/>
      <protection hidden="1"/>
    </xf>
    <xf numFmtId="0" fontId="10" fillId="0" borderId="135" xfId="0" applyFont="1" applyFill="1" applyBorder="1" applyAlignment="1" applyProtection="1">
      <alignment vertical="top"/>
      <protection locked="0" hidden="1"/>
    </xf>
    <xf numFmtId="0" fontId="11" fillId="0" borderId="135" xfId="0" applyFont="1" applyFill="1" applyBorder="1" applyAlignment="1" applyProtection="1">
      <alignment vertical="top"/>
      <protection hidden="1"/>
    </xf>
    <xf numFmtId="0" fontId="10" fillId="0" borderId="136" xfId="0" applyFont="1" applyFill="1" applyBorder="1" applyAlignment="1" applyProtection="1">
      <alignment vertical="top"/>
      <protection hidden="1"/>
    </xf>
    <xf numFmtId="0" fontId="10" fillId="0" borderId="135" xfId="0" applyFont="1" applyFill="1" applyBorder="1" applyAlignment="1" applyProtection="1">
      <alignment horizontal="right" vertical="center"/>
      <protection hidden="1"/>
    </xf>
    <xf numFmtId="0" fontId="52" fillId="0" borderId="135" xfId="0" applyFont="1" applyFill="1" applyBorder="1" applyAlignment="1" applyProtection="1">
      <alignment horizontal="left" vertical="center"/>
      <protection hidden="1"/>
    </xf>
    <xf numFmtId="0" fontId="53" fillId="0" borderId="135" xfId="0" applyFont="1" applyFill="1" applyBorder="1" applyAlignment="1" applyProtection="1">
      <alignment horizontal="right" vertical="top"/>
      <protection hidden="1"/>
    </xf>
    <xf numFmtId="0" fontId="52" fillId="0" borderId="136" xfId="0" applyFont="1" applyFill="1" applyBorder="1" applyAlignment="1" applyProtection="1">
      <alignment horizontal="left" vertical="center"/>
      <protection hidden="1"/>
    </xf>
    <xf numFmtId="0" fontId="15" fillId="0" borderId="135" xfId="0" applyFont="1" applyFill="1" applyBorder="1" applyAlignment="1" applyProtection="1">
      <alignment vertical="top"/>
      <protection hidden="1"/>
    </xf>
    <xf numFmtId="0" fontId="8" fillId="0" borderId="135" xfId="0" applyFont="1" applyFill="1" applyBorder="1" applyAlignment="1" applyProtection="1">
      <alignment horizontal="right" vertical="top"/>
      <protection hidden="1"/>
    </xf>
    <xf numFmtId="0" fontId="54" fillId="0" borderId="135" xfId="0" applyFont="1" applyFill="1" applyBorder="1" applyAlignment="1" applyProtection="1">
      <alignment vertical="top"/>
      <protection hidden="1"/>
    </xf>
    <xf numFmtId="0" fontId="8" fillId="0" borderId="135" xfId="0" applyFont="1" applyFill="1" applyBorder="1" applyAlignment="1" applyProtection="1">
      <alignment vertical="top"/>
      <protection hidden="1"/>
    </xf>
    <xf numFmtId="0" fontId="53" fillId="0" borderId="135" xfId="0" applyFont="1" applyFill="1" applyBorder="1" applyAlignment="1" applyProtection="1">
      <alignment horizontal="right" vertical="center"/>
      <protection hidden="1"/>
    </xf>
    <xf numFmtId="1" fontId="52" fillId="0" borderId="135" xfId="0" applyNumberFormat="1" applyFont="1" applyFill="1" applyBorder="1" applyAlignment="1" applyProtection="1">
      <alignment horizontal="left" vertical="center"/>
      <protection hidden="1"/>
    </xf>
    <xf numFmtId="0" fontId="10" fillId="0" borderId="135" xfId="0" applyFont="1" applyFill="1" applyBorder="1" applyAlignment="1" applyProtection="1">
      <alignment horizontal="center"/>
      <protection hidden="1"/>
    </xf>
    <xf numFmtId="0" fontId="31" fillId="0" borderId="137" xfId="0" applyFont="1" applyFill="1" applyBorder="1" applyAlignment="1" applyProtection="1">
      <alignment horizontal="center" vertical="center" wrapText="1"/>
      <protection hidden="1"/>
    </xf>
    <xf numFmtId="0" fontId="10" fillId="0" borderId="135" xfId="0" applyFont="1" applyFill="1" applyBorder="1" applyAlignment="1" applyProtection="1">
      <alignment horizontal="center" vertical="center"/>
      <protection hidden="1"/>
    </xf>
    <xf numFmtId="0" fontId="15" fillId="0" borderId="137" xfId="0" applyNumberFormat="1" applyFont="1" applyFill="1" applyBorder="1" applyAlignment="1" applyProtection="1">
      <alignment horizontal="center" vertical="center" wrapText="1"/>
      <protection locked="0" hidden="1"/>
    </xf>
    <xf numFmtId="0" fontId="53" fillId="0" borderId="139" xfId="0" applyNumberFormat="1" applyFont="1" applyFill="1" applyBorder="1" applyAlignment="1" applyProtection="1">
      <alignment horizontal="center" vertical="center"/>
      <protection hidden="1"/>
    </xf>
    <xf numFmtId="0" fontId="53" fillId="0" borderId="136" xfId="0" applyNumberFormat="1" applyFont="1" applyFill="1" applyBorder="1" applyAlignment="1" applyProtection="1">
      <alignment horizontal="left" vertical="center"/>
      <protection hidden="1"/>
    </xf>
    <xf numFmtId="1" fontId="140" fillId="0" borderId="135" xfId="0" applyNumberFormat="1" applyFont="1" applyFill="1" applyBorder="1" applyAlignment="1" applyProtection="1">
      <alignment horizontal="left" vertical="top"/>
      <protection hidden="1"/>
    </xf>
    <xf numFmtId="1" fontId="79" fillId="0" borderId="135" xfId="0" applyNumberFormat="1" applyFont="1" applyFill="1" applyBorder="1" applyAlignment="1" applyProtection="1">
      <alignment horizontal="left" vertical="center"/>
      <protection hidden="1"/>
    </xf>
    <xf numFmtId="1" fontId="140" fillId="0" borderId="135" xfId="0" applyNumberFormat="1" applyFont="1" applyFill="1" applyBorder="1" applyAlignment="1" applyProtection="1">
      <alignment horizontal="left" vertical="center"/>
      <protection hidden="1"/>
    </xf>
    <xf numFmtId="0" fontId="79" fillId="0" borderId="135" xfId="0" applyFont="1" applyFill="1" applyBorder="1" applyAlignment="1" applyProtection="1">
      <alignment horizontal="left"/>
      <protection hidden="1"/>
    </xf>
    <xf numFmtId="0" fontId="11" fillId="0" borderId="135" xfId="0" applyFont="1" applyFill="1" applyBorder="1" applyProtection="1">
      <protection hidden="1"/>
    </xf>
    <xf numFmtId="0" fontId="11" fillId="0" borderId="136" xfId="0" applyFont="1" applyFill="1" applyBorder="1" applyProtection="1">
      <protection hidden="1"/>
    </xf>
    <xf numFmtId="1" fontId="79" fillId="0" borderId="135" xfId="0" applyNumberFormat="1" applyFont="1" applyFill="1" applyBorder="1" applyAlignment="1" applyProtection="1">
      <alignment horizontal="left"/>
      <protection hidden="1"/>
    </xf>
    <xf numFmtId="1" fontId="79" fillId="0" borderId="136" xfId="0" applyNumberFormat="1" applyFont="1" applyFill="1" applyBorder="1" applyAlignment="1" applyProtection="1">
      <alignment horizontal="left"/>
      <protection hidden="1"/>
    </xf>
    <xf numFmtId="0" fontId="53" fillId="0" borderId="135" xfId="0" applyFont="1" applyFill="1" applyBorder="1" applyAlignment="1" applyProtection="1">
      <alignment vertical="top"/>
      <protection hidden="1"/>
    </xf>
    <xf numFmtId="1" fontId="52" fillId="0" borderId="136" xfId="0" applyNumberFormat="1" applyFont="1" applyFill="1" applyBorder="1" applyAlignment="1" applyProtection="1">
      <alignment horizontal="left" vertical="center"/>
      <protection hidden="1"/>
    </xf>
    <xf numFmtId="0" fontId="96" fillId="0" borderId="135" xfId="0" applyFont="1" applyFill="1" applyBorder="1" applyProtection="1">
      <protection hidden="1"/>
    </xf>
    <xf numFmtId="0" fontId="151" fillId="0" borderId="135" xfId="0" applyFont="1" applyFill="1" applyBorder="1" applyAlignment="1" applyProtection="1">
      <alignment horizontal="right" vertical="center"/>
      <protection hidden="1"/>
    </xf>
    <xf numFmtId="0" fontId="10" fillId="0" borderId="135" xfId="0" applyFont="1" applyFill="1" applyBorder="1" applyAlignment="1" applyProtection="1">
      <alignment horizontal="right"/>
      <protection hidden="1"/>
    </xf>
    <xf numFmtId="0" fontId="11" fillId="0" borderId="135" xfId="0" applyFont="1" applyFill="1" applyBorder="1" applyAlignment="1" applyProtection="1">
      <alignment horizontal="left"/>
      <protection hidden="1"/>
    </xf>
    <xf numFmtId="0" fontId="96" fillId="0" borderId="136" xfId="0" applyFont="1" applyFill="1" applyBorder="1" applyProtection="1">
      <protection hidden="1"/>
    </xf>
    <xf numFmtId="0" fontId="10" fillId="0" borderId="135" xfId="0" applyFont="1" applyFill="1" applyBorder="1" applyAlignment="1" applyProtection="1">
      <alignment vertical="top" wrapText="1"/>
      <protection hidden="1"/>
    </xf>
    <xf numFmtId="0" fontId="15" fillId="0" borderId="135" xfId="0" applyFont="1" applyFill="1" applyBorder="1" applyAlignment="1" applyProtection="1">
      <alignment horizontal="center" vertical="center"/>
      <protection hidden="1"/>
    </xf>
    <xf numFmtId="0" fontId="135" fillId="0" borderId="135" xfId="0" applyFont="1" applyFill="1" applyBorder="1" applyAlignment="1" applyProtection="1">
      <alignment horizontal="center" vertical="center"/>
      <protection hidden="1"/>
    </xf>
    <xf numFmtId="0" fontId="135" fillId="0" borderId="136" xfId="0" applyFont="1" applyFill="1" applyBorder="1" applyAlignment="1" applyProtection="1">
      <alignment horizontal="center" vertical="center"/>
      <protection hidden="1"/>
    </xf>
    <xf numFmtId="1" fontId="53" fillId="0" borderId="135" xfId="0" applyNumberFormat="1" applyFont="1" applyFill="1" applyBorder="1" applyAlignment="1" applyProtection="1">
      <alignment horizontal="left" vertical="top"/>
      <protection hidden="1"/>
    </xf>
    <xf numFmtId="1" fontId="150" fillId="0" borderId="136" xfId="0" applyNumberFormat="1" applyFont="1" applyFill="1" applyBorder="1" applyAlignment="1" applyProtection="1">
      <alignment horizontal="left" vertical="center"/>
      <protection hidden="1"/>
    </xf>
    <xf numFmtId="0" fontId="150" fillId="0" borderId="136" xfId="0" applyFont="1" applyFill="1" applyBorder="1" applyAlignment="1" applyProtection="1">
      <alignment horizontal="left" vertical="center"/>
      <protection hidden="1"/>
    </xf>
    <xf numFmtId="1" fontId="8" fillId="0" borderId="135" xfId="0" applyNumberFormat="1" applyFont="1" applyFill="1" applyBorder="1" applyAlignment="1" applyProtection="1">
      <alignment vertical="top"/>
      <protection hidden="1"/>
    </xf>
    <xf numFmtId="3" fontId="52" fillId="0" borderId="136" xfId="0" applyNumberFormat="1" applyFont="1" applyFill="1" applyBorder="1" applyAlignment="1" applyProtection="1">
      <alignment horizontal="left" vertical="center"/>
      <protection hidden="1"/>
    </xf>
    <xf numFmtId="0" fontId="10" fillId="0" borderId="135" xfId="0" applyFont="1" applyFill="1" applyBorder="1" applyAlignment="1" applyProtection="1">
      <alignment horizontal="left" vertical="top" wrapText="1"/>
      <protection hidden="1"/>
    </xf>
    <xf numFmtId="0" fontId="8" fillId="0" borderId="135" xfId="0" applyFont="1" applyFill="1" applyBorder="1" applyAlignment="1" applyProtection="1">
      <alignment vertical="top" shrinkToFit="1"/>
      <protection hidden="1"/>
    </xf>
    <xf numFmtId="0" fontId="8" fillId="0" borderId="135" xfId="0" applyFont="1" applyFill="1" applyBorder="1" applyAlignment="1" applyProtection="1">
      <alignment horizontal="right"/>
      <protection hidden="1"/>
    </xf>
    <xf numFmtId="0" fontId="8" fillId="0" borderId="135" xfId="0" applyFont="1" applyFill="1" applyBorder="1" applyProtection="1">
      <protection hidden="1"/>
    </xf>
    <xf numFmtId="0" fontId="8" fillId="0" borderId="136" xfId="0" applyFont="1" applyFill="1" applyBorder="1" applyProtection="1">
      <protection hidden="1"/>
    </xf>
    <xf numFmtId="0" fontId="10" fillId="0" borderId="135" xfId="0" applyFont="1" applyFill="1" applyBorder="1" applyAlignment="1" applyProtection="1">
      <alignment horizontal="right" vertical="top" wrapText="1"/>
      <protection hidden="1"/>
    </xf>
    <xf numFmtId="2" fontId="52" fillId="0" borderId="135" xfId="0" applyNumberFormat="1" applyFont="1" applyFill="1" applyBorder="1" applyAlignment="1" applyProtection="1">
      <alignment horizontal="left" vertical="top" shrinkToFit="1"/>
      <protection hidden="1"/>
    </xf>
    <xf numFmtId="0" fontId="52" fillId="0" borderId="135" xfId="0" applyFont="1" applyFill="1" applyBorder="1" applyAlignment="1" applyProtection="1">
      <alignment horizontal="left" vertical="top"/>
      <protection hidden="1"/>
    </xf>
    <xf numFmtId="0" fontId="52" fillId="0" borderId="136" xfId="0" applyFont="1" applyFill="1" applyBorder="1" applyAlignment="1" applyProtection="1">
      <alignment horizontal="left" vertical="top"/>
      <protection hidden="1"/>
    </xf>
    <xf numFmtId="2" fontId="140" fillId="0" borderId="135" xfId="0" applyNumberFormat="1" applyFont="1" applyFill="1" applyBorder="1" applyAlignment="1" applyProtection="1">
      <alignment horizontal="left" vertical="top" shrinkToFit="1"/>
      <protection hidden="1"/>
    </xf>
    <xf numFmtId="2" fontId="52" fillId="0" borderId="135" xfId="0" applyNumberFormat="1" applyFont="1" applyFill="1" applyBorder="1" applyAlignment="1" applyProtection="1">
      <alignment horizontal="left" vertical="top"/>
      <protection hidden="1"/>
    </xf>
    <xf numFmtId="2" fontId="52" fillId="0" borderId="136" xfId="0" applyNumberFormat="1" applyFont="1" applyFill="1" applyBorder="1" applyAlignment="1" applyProtection="1">
      <alignment horizontal="left" vertical="top"/>
      <protection hidden="1"/>
    </xf>
    <xf numFmtId="2" fontId="53" fillId="0" borderId="135" xfId="0" applyNumberFormat="1" applyFont="1" applyFill="1" applyBorder="1" applyAlignment="1" applyProtection="1">
      <alignment horizontal="left" vertical="top" shrinkToFit="1"/>
      <protection hidden="1"/>
    </xf>
    <xf numFmtId="0" fontId="53" fillId="0" borderId="135" xfId="0" applyFont="1" applyFill="1" applyBorder="1" applyAlignment="1" applyProtection="1">
      <alignment horizontal="left" vertical="top"/>
      <protection hidden="1"/>
    </xf>
    <xf numFmtId="0" fontId="53" fillId="0" borderId="136" xfId="0" applyFont="1" applyFill="1" applyBorder="1" applyAlignment="1" applyProtection="1">
      <alignment horizontal="left" vertical="top"/>
      <protection hidden="1"/>
    </xf>
    <xf numFmtId="2" fontId="52" fillId="0" borderId="136" xfId="0" applyNumberFormat="1" applyFont="1" applyFill="1" applyBorder="1" applyAlignment="1" applyProtection="1">
      <alignment horizontal="left" vertical="center" shrinkToFit="1"/>
      <protection hidden="1"/>
    </xf>
    <xf numFmtId="0" fontId="48" fillId="0" borderId="135" xfId="0" applyFont="1" applyFill="1" applyBorder="1" applyAlignment="1" applyProtection="1">
      <alignment horizontal="center" vertical="center"/>
      <protection hidden="1"/>
    </xf>
    <xf numFmtId="0" fontId="48" fillId="0" borderId="135" xfId="0" applyFont="1" applyFill="1" applyBorder="1" applyAlignment="1" applyProtection="1">
      <alignment vertical="center"/>
      <protection hidden="1"/>
    </xf>
    <xf numFmtId="17" fontId="42" fillId="0" borderId="135" xfId="0" applyNumberFormat="1" applyFont="1" applyFill="1" applyBorder="1" applyAlignment="1" applyProtection="1">
      <alignment horizontal="left" vertical="center"/>
      <protection hidden="1"/>
    </xf>
    <xf numFmtId="2" fontId="50" fillId="0" borderId="135" xfId="0" applyNumberFormat="1" applyFont="1" applyFill="1" applyBorder="1" applyAlignment="1" applyProtection="1">
      <alignment horizontal="left" vertical="center"/>
      <protection hidden="1"/>
    </xf>
    <xf numFmtId="17" fontId="48" fillId="0" borderId="135" xfId="0" applyNumberFormat="1" applyFont="1" applyFill="1" applyBorder="1" applyAlignment="1" applyProtection="1">
      <alignment horizontal="right" vertical="center"/>
      <protection hidden="1"/>
    </xf>
    <xf numFmtId="0" fontId="53" fillId="0" borderId="135" xfId="0" applyFont="1" applyFill="1" applyBorder="1" applyAlignment="1" applyProtection="1">
      <alignment horizontal="right"/>
      <protection hidden="1"/>
    </xf>
    <xf numFmtId="0" fontId="8" fillId="0" borderId="136" xfId="0" applyFont="1" applyFill="1" applyBorder="1" applyAlignment="1" applyProtection="1">
      <alignment vertical="top"/>
      <protection hidden="1"/>
    </xf>
    <xf numFmtId="2" fontId="79" fillId="0" borderId="135" xfId="0" applyNumberFormat="1" applyFont="1" applyFill="1" applyBorder="1" applyAlignment="1" applyProtection="1">
      <alignment horizontal="left" vertical="top"/>
      <protection hidden="1"/>
    </xf>
    <xf numFmtId="2" fontId="52" fillId="0" borderId="135" xfId="0" applyNumberFormat="1" applyFont="1" applyFill="1" applyBorder="1" applyAlignment="1" applyProtection="1">
      <alignment horizontal="left" vertical="center"/>
      <protection hidden="1"/>
    </xf>
    <xf numFmtId="2" fontId="52" fillId="0" borderId="136" xfId="0" applyNumberFormat="1" applyFont="1" applyFill="1" applyBorder="1" applyAlignment="1" applyProtection="1">
      <alignment horizontal="left" vertical="center"/>
      <protection hidden="1"/>
    </xf>
    <xf numFmtId="0" fontId="8" fillId="0" borderId="140" xfId="0" applyFont="1" applyFill="1" applyBorder="1" applyAlignment="1" applyProtection="1">
      <alignment vertical="top"/>
      <protection hidden="1"/>
    </xf>
    <xf numFmtId="0" fontId="10" fillId="0" borderId="141" xfId="0" applyFont="1" applyFill="1" applyBorder="1" applyAlignment="1" applyProtection="1">
      <alignment horizontal="left" vertical="top"/>
      <protection hidden="1"/>
    </xf>
    <xf numFmtId="0" fontId="8" fillId="0" borderId="141" xfId="0" applyFont="1" applyFill="1" applyBorder="1" applyProtection="1">
      <protection hidden="1"/>
    </xf>
    <xf numFmtId="0" fontId="53" fillId="0" borderId="141" xfId="0" applyFont="1" applyFill="1" applyBorder="1" applyAlignment="1" applyProtection="1">
      <alignment horizontal="left" vertical="top"/>
      <protection hidden="1"/>
    </xf>
    <xf numFmtId="0" fontId="8" fillId="0" borderId="141" xfId="0" applyFont="1" applyFill="1" applyBorder="1" applyAlignment="1" applyProtection="1">
      <alignment vertical="top"/>
      <protection hidden="1"/>
    </xf>
    <xf numFmtId="0" fontId="53" fillId="0" borderId="141" xfId="0" applyFont="1" applyFill="1" applyBorder="1" applyAlignment="1" applyProtection="1">
      <alignment horizontal="right" vertical="top"/>
      <protection hidden="1"/>
    </xf>
    <xf numFmtId="2" fontId="52" fillId="0" borderId="142" xfId="0" applyNumberFormat="1" applyFont="1" applyFill="1" applyBorder="1" applyAlignment="1" applyProtection="1">
      <alignment horizontal="left" vertical="top" shrinkToFit="1"/>
      <protection hidden="1"/>
    </xf>
    <xf numFmtId="0" fontId="183" fillId="0" borderId="0" xfId="0" applyFont="1" applyFill="1" applyAlignment="1" applyProtection="1">
      <alignment horizontal="center" vertical="top"/>
      <protection hidden="1"/>
    </xf>
    <xf numFmtId="0" fontId="191" fillId="0" borderId="0" xfId="0" applyFont="1" applyFill="1" applyAlignment="1" applyProtection="1">
      <alignment horizontal="center" vertical="top"/>
      <protection hidden="1"/>
    </xf>
    <xf numFmtId="0" fontId="90" fillId="0" borderId="0" xfId="0" applyFont="1" applyFill="1" applyAlignment="1" applyProtection="1">
      <alignment vertical="top"/>
      <protection hidden="1"/>
    </xf>
    <xf numFmtId="0" fontId="90" fillId="0" borderId="0" xfId="0" applyFont="1" applyFill="1" applyAlignment="1" applyProtection="1">
      <alignment horizontal="left" vertical="top"/>
      <protection hidden="1"/>
    </xf>
    <xf numFmtId="0" fontId="138" fillId="0" borderId="0" xfId="0" applyFont="1" applyFill="1" applyAlignment="1" applyProtection="1">
      <alignment horizontal="left" vertical="top"/>
      <protection hidden="1"/>
    </xf>
    <xf numFmtId="0" fontId="138" fillId="0" borderId="0" xfId="0" applyNumberFormat="1" applyFont="1" applyFill="1" applyAlignment="1" applyProtection="1">
      <alignment horizontal="center" vertical="top"/>
      <protection locked="0"/>
    </xf>
    <xf numFmtId="0" fontId="90" fillId="0" borderId="0" xfId="0" applyNumberFormat="1" applyFont="1" applyFill="1" applyAlignment="1" applyProtection="1">
      <alignment horizontal="center" vertical="top"/>
      <protection locked="0"/>
    </xf>
    <xf numFmtId="1" fontId="90" fillId="0" borderId="0" xfId="0" applyNumberFormat="1" applyFont="1" applyFill="1" applyAlignment="1" applyProtection="1">
      <alignment horizontal="left" vertical="top"/>
      <protection hidden="1"/>
    </xf>
    <xf numFmtId="1" fontId="138" fillId="0" borderId="0" xfId="0" applyNumberFormat="1" applyFont="1" applyFill="1" applyAlignment="1" applyProtection="1">
      <alignment horizontal="left" vertical="top"/>
      <protection hidden="1"/>
    </xf>
    <xf numFmtId="49" fontId="90" fillId="0" borderId="0" xfId="0" applyNumberFormat="1" applyFont="1" applyFill="1" applyAlignment="1" applyProtection="1">
      <alignment horizontal="left" vertical="top"/>
      <protection hidden="1"/>
    </xf>
    <xf numFmtId="49" fontId="138" fillId="0" borderId="0" xfId="0" applyNumberFormat="1" applyFont="1" applyFill="1" applyAlignment="1" applyProtection="1">
      <alignment horizontal="left" vertical="top"/>
      <protection hidden="1"/>
    </xf>
    <xf numFmtId="0" fontId="90" fillId="0" borderId="0" xfId="0" applyFont="1" applyFill="1" applyBorder="1" applyAlignment="1" applyProtection="1">
      <alignment vertical="top"/>
      <protection hidden="1"/>
    </xf>
    <xf numFmtId="0" fontId="138" fillId="0" borderId="0" xfId="0" applyFont="1" applyFill="1" applyAlignment="1" applyProtection="1">
      <alignment vertical="top"/>
      <protection hidden="1"/>
    </xf>
    <xf numFmtId="0" fontId="182" fillId="0" borderId="0" xfId="0" applyFont="1" applyFill="1" applyAlignment="1" applyProtection="1">
      <alignment horizontal="left" vertical="center"/>
      <protection hidden="1"/>
    </xf>
    <xf numFmtId="0" fontId="190" fillId="0" borderId="0" xfId="0" applyFont="1" applyFill="1" applyAlignment="1" applyProtection="1">
      <alignment horizontal="left" vertical="center"/>
      <protection hidden="1"/>
    </xf>
    <xf numFmtId="0" fontId="58" fillId="0" borderId="0" xfId="1" applyFont="1" applyFill="1" applyAlignment="1" applyProtection="1">
      <alignment horizontal="center" vertical="center" wrapText="1"/>
      <protection hidden="1"/>
    </xf>
    <xf numFmtId="0" fontId="181" fillId="0" borderId="0" xfId="0" applyFont="1" applyFill="1" applyAlignment="1" applyProtection="1">
      <alignment horizontal="left" vertical="center"/>
      <protection hidden="1"/>
    </xf>
    <xf numFmtId="0" fontId="90" fillId="0" borderId="0" xfId="0" applyFont="1" applyFill="1" applyAlignment="1" applyProtection="1">
      <alignment horizontal="center" vertical="top" wrapText="1"/>
      <protection hidden="1"/>
    </xf>
    <xf numFmtId="0" fontId="192" fillId="0" borderId="0" xfId="1" applyFont="1" applyFill="1" applyAlignment="1" applyProtection="1">
      <alignment horizontal="center" vertical="center" wrapText="1"/>
      <protection hidden="1"/>
    </xf>
    <xf numFmtId="0" fontId="90" fillId="0" borderId="0" xfId="0" applyFont="1" applyFill="1" applyAlignment="1" applyProtection="1">
      <alignment horizontal="center"/>
      <protection hidden="1"/>
    </xf>
    <xf numFmtId="3" fontId="182" fillId="0" borderId="0" xfId="0" applyNumberFormat="1" applyFont="1" applyFill="1" applyAlignment="1" applyProtection="1">
      <alignment horizontal="left" vertical="center"/>
      <protection hidden="1"/>
    </xf>
    <xf numFmtId="3" fontId="190" fillId="0" borderId="0" xfId="0" applyNumberFormat="1" applyFont="1" applyFill="1" applyAlignment="1" applyProtection="1">
      <alignment horizontal="left" vertical="center"/>
      <protection hidden="1"/>
    </xf>
    <xf numFmtId="9" fontId="90" fillId="0" borderId="0" xfId="0" applyNumberFormat="1" applyFont="1" applyFill="1" applyProtection="1">
      <protection hidden="1"/>
    </xf>
    <xf numFmtId="0" fontId="182" fillId="0" borderId="0" xfId="0" applyFont="1" applyFill="1" applyAlignment="1" applyProtection="1">
      <alignment horizontal="left" vertical="top"/>
      <protection hidden="1"/>
    </xf>
    <xf numFmtId="0" fontId="190" fillId="0" borderId="0" xfId="0" applyFont="1" applyFill="1" applyAlignment="1" applyProtection="1">
      <alignment horizontal="left" vertical="top"/>
      <protection hidden="1"/>
    </xf>
    <xf numFmtId="0" fontId="90" fillId="0" borderId="0" xfId="0" applyFont="1" applyFill="1" applyAlignment="1" applyProtection="1">
      <alignment horizontal="center" vertical="top"/>
      <protection hidden="1"/>
    </xf>
    <xf numFmtId="2" fontId="90" fillId="0" borderId="0" xfId="0" applyNumberFormat="1" applyFont="1" applyFill="1" applyAlignment="1" applyProtection="1">
      <alignment vertical="top"/>
      <protection hidden="1"/>
    </xf>
    <xf numFmtId="1" fontId="90" fillId="0" borderId="0" xfId="0" applyNumberFormat="1" applyFont="1" applyFill="1" applyAlignment="1" applyProtection="1">
      <alignment vertical="top"/>
      <protection hidden="1"/>
    </xf>
    <xf numFmtId="2" fontId="182" fillId="0" borderId="0" xfId="0" applyNumberFormat="1" applyFont="1" applyFill="1" applyAlignment="1" applyProtection="1">
      <alignment horizontal="left" vertical="top"/>
      <protection hidden="1"/>
    </xf>
    <xf numFmtId="2" fontId="190" fillId="0" borderId="0" xfId="0" applyNumberFormat="1" applyFont="1" applyFill="1" applyAlignment="1" applyProtection="1">
      <alignment horizontal="left" vertical="top"/>
      <protection hidden="1"/>
    </xf>
    <xf numFmtId="0" fontId="181" fillId="0" borderId="0" xfId="0" applyFont="1" applyFill="1" applyAlignment="1" applyProtection="1">
      <alignment horizontal="left" vertical="top"/>
      <protection hidden="1"/>
    </xf>
    <xf numFmtId="0" fontId="76" fillId="0" borderId="0" xfId="0" applyFont="1" applyFill="1" applyAlignment="1" applyProtection="1">
      <alignment horizontal="left" vertical="top"/>
      <protection hidden="1"/>
    </xf>
    <xf numFmtId="2" fontId="181" fillId="0" borderId="0" xfId="0" applyNumberFormat="1" applyFont="1" applyFill="1" applyAlignment="1" applyProtection="1">
      <alignment horizontal="left" vertical="center"/>
      <protection hidden="1"/>
    </xf>
    <xf numFmtId="2" fontId="76" fillId="0" borderId="0" xfId="0" applyNumberFormat="1" applyFont="1" applyFill="1" applyAlignment="1" applyProtection="1">
      <alignment horizontal="left" vertical="center"/>
      <protection hidden="1"/>
    </xf>
    <xf numFmtId="1" fontId="182" fillId="0" borderId="0" xfId="0" applyNumberFormat="1" applyFont="1" applyFill="1" applyAlignment="1" applyProtection="1">
      <alignment horizontal="left" vertical="center"/>
      <protection hidden="1"/>
    </xf>
    <xf numFmtId="1" fontId="190" fillId="0" borderId="0" xfId="0" applyNumberFormat="1" applyFont="1" applyFill="1" applyAlignment="1" applyProtection="1">
      <alignment horizontal="left" vertical="center"/>
      <protection hidden="1"/>
    </xf>
    <xf numFmtId="0" fontId="90" fillId="0" borderId="0" xfId="0" applyFont="1" applyFill="1" applyAlignment="1" applyProtection="1">
      <alignment horizontal="center" vertical="center"/>
      <protection hidden="1"/>
    </xf>
    <xf numFmtId="2" fontId="182" fillId="0" borderId="0" xfId="0" applyNumberFormat="1" applyFont="1" applyFill="1" applyAlignment="1" applyProtection="1">
      <alignment horizontal="left" vertical="center"/>
      <protection hidden="1"/>
    </xf>
    <xf numFmtId="2" fontId="190" fillId="0" borderId="0" xfId="0" applyNumberFormat="1" applyFont="1" applyFill="1" applyAlignment="1" applyProtection="1">
      <alignment horizontal="left" vertical="center"/>
      <protection hidden="1"/>
    </xf>
    <xf numFmtId="2" fontId="181" fillId="0" borderId="0" xfId="0" applyNumberFormat="1" applyFont="1" applyFill="1" applyAlignment="1" applyProtection="1">
      <alignment horizontal="left" vertical="top"/>
      <protection hidden="1"/>
    </xf>
    <xf numFmtId="2" fontId="76" fillId="0" borderId="0" xfId="0" applyNumberFormat="1" applyFont="1" applyFill="1" applyAlignment="1" applyProtection="1">
      <alignment horizontal="left" vertical="top"/>
      <protection hidden="1"/>
    </xf>
    <xf numFmtId="0" fontId="138" fillId="0" borderId="0" xfId="0" applyFont="1" applyFill="1" applyAlignment="1" applyProtection="1">
      <alignment horizontal="center" vertical="top"/>
      <protection hidden="1"/>
    </xf>
    <xf numFmtId="0" fontId="90" fillId="0" borderId="0" xfId="0" applyFont="1" applyFill="1" applyAlignment="1" applyProtection="1">
      <alignment horizontal="left" vertical="top" wrapText="1"/>
      <protection hidden="1"/>
    </xf>
    <xf numFmtId="0" fontId="138" fillId="0" borderId="0" xfId="0" applyFont="1" applyFill="1" applyAlignment="1" applyProtection="1">
      <alignment horizontal="left" vertical="top" wrapText="1"/>
      <protection hidden="1"/>
    </xf>
    <xf numFmtId="0" fontId="138" fillId="0" borderId="0" xfId="0" applyFont="1" applyFill="1" applyAlignment="1" applyProtection="1">
      <alignment horizontal="center" vertical="center"/>
      <protection hidden="1"/>
    </xf>
    <xf numFmtId="0" fontId="90" fillId="15" borderId="0" xfId="0" applyNumberFormat="1" applyFont="1" applyFill="1" applyAlignment="1" applyProtection="1">
      <alignment horizontal="center" vertical="top"/>
      <protection hidden="1"/>
    </xf>
    <xf numFmtId="2" fontId="52" fillId="0" borderId="135" xfId="0" applyNumberFormat="1" applyFont="1" applyFill="1" applyBorder="1" applyAlignment="1" applyProtection="1">
      <alignment horizontal="left" vertical="center" shrinkToFit="1"/>
      <protection hidden="1"/>
    </xf>
    <xf numFmtId="174" fontId="160" fillId="63" borderId="102" xfId="12" applyNumberFormat="1" applyFont="1" applyFill="1" applyBorder="1" applyAlignment="1" applyProtection="1">
      <alignment horizontal="center" vertical="center"/>
      <protection locked="0" hidden="1"/>
    </xf>
    <xf numFmtId="0" fontId="193" fillId="60" borderId="0" xfId="0" applyFont="1" applyFill="1" applyAlignment="1" applyProtection="1">
      <alignment shrinkToFit="1"/>
      <protection hidden="1"/>
    </xf>
    <xf numFmtId="0" fontId="193" fillId="60" borderId="0" xfId="0" applyFont="1" applyFill="1" applyAlignment="1" applyProtection="1">
      <alignment horizontal="center" vertical="center" shrinkToFit="1"/>
      <protection hidden="1"/>
    </xf>
    <xf numFmtId="0" fontId="193" fillId="60" borderId="0" xfId="0" applyFont="1" applyFill="1" applyAlignment="1" applyProtection="1">
      <alignment horizontal="center" wrapText="1" shrinkToFit="1"/>
      <protection hidden="1"/>
    </xf>
    <xf numFmtId="164" fontId="193" fillId="60" borderId="0" xfId="0" applyNumberFormat="1" applyFont="1" applyFill="1" applyAlignment="1" applyProtection="1">
      <alignment horizontal="center" vertical="center" shrinkToFit="1"/>
      <protection locked="0"/>
    </xf>
    <xf numFmtId="0" fontId="193" fillId="60" borderId="0" xfId="0" applyFont="1" applyFill="1" applyAlignment="1" applyProtection="1">
      <alignment horizontal="center" wrapText="1" shrinkToFit="1"/>
      <protection locked="0"/>
    </xf>
    <xf numFmtId="0" fontId="0" fillId="0" borderId="0" xfId="0" applyAlignment="1">
      <alignment horizontal="left"/>
    </xf>
    <xf numFmtId="0" fontId="11" fillId="63" borderId="122" xfId="0" applyFont="1" applyFill="1" applyBorder="1" applyAlignment="1" applyProtection="1">
      <alignment horizontal="center" vertical="center" shrinkToFit="1"/>
      <protection hidden="1"/>
    </xf>
    <xf numFmtId="0" fontId="138" fillId="63" borderId="0" xfId="0" applyNumberFormat="1" applyFont="1" applyFill="1" applyAlignment="1" applyProtection="1">
      <alignment horizontal="center" vertical="top"/>
      <protection hidden="1"/>
    </xf>
    <xf numFmtId="0" fontId="194" fillId="21" borderId="0" xfId="0" applyFont="1" applyFill="1"/>
    <xf numFmtId="0" fontId="194" fillId="21" borderId="0" xfId="0" applyFont="1" applyFill="1" applyAlignment="1">
      <alignment horizontal="left"/>
    </xf>
    <xf numFmtId="0" fontId="194" fillId="21" borderId="0" xfId="0" applyFont="1" applyFill="1" applyAlignment="1">
      <alignment horizontal="left" vertical="center" wrapText="1"/>
    </xf>
    <xf numFmtId="0" fontId="194" fillId="61" borderId="0" xfId="0" applyFont="1" applyFill="1" applyAlignment="1">
      <alignment horizontal="left" vertical="center" wrapText="1"/>
    </xf>
    <xf numFmtId="0" fontId="195" fillId="61" borderId="0" xfId="0" applyFont="1" applyFill="1" applyAlignment="1">
      <alignment horizontal="left"/>
    </xf>
    <xf numFmtId="0" fontId="19" fillId="60" borderId="0" xfId="1" applyFill="1" applyAlignment="1" applyProtection="1">
      <alignment shrinkToFit="1"/>
      <protection hidden="1"/>
    </xf>
    <xf numFmtId="1" fontId="99" fillId="5" borderId="144" xfId="0" applyNumberFormat="1" applyFont="1" applyFill="1" applyBorder="1" applyAlignment="1" applyProtection="1">
      <alignment horizontal="center" vertical="center" shrinkToFit="1"/>
      <protection hidden="1"/>
    </xf>
    <xf numFmtId="1" fontId="11" fillId="0" borderId="145" xfId="0" applyNumberFormat="1" applyFont="1" applyFill="1" applyBorder="1" applyAlignment="1" applyProtection="1">
      <alignment horizontal="center" vertical="center" shrinkToFit="1"/>
      <protection hidden="1"/>
    </xf>
    <xf numFmtId="0" fontId="196" fillId="65" borderId="143" xfId="0" applyFont="1" applyFill="1" applyBorder="1" applyAlignment="1" applyProtection="1">
      <alignment horizontal="left" vertical="center" shrinkToFit="1"/>
      <protection locked="0" hidden="1"/>
    </xf>
    <xf numFmtId="1" fontId="197" fillId="65" borderId="144" xfId="0" applyNumberFormat="1" applyFont="1" applyFill="1" applyBorder="1" applyAlignment="1" applyProtection="1">
      <alignment horizontal="center" vertical="center" shrinkToFit="1"/>
      <protection locked="0" hidden="1"/>
    </xf>
    <xf numFmtId="1" fontId="198" fillId="65" borderId="144" xfId="0" applyNumberFormat="1" applyFont="1" applyFill="1" applyBorder="1" applyAlignment="1" applyProtection="1">
      <alignment horizontal="center" vertical="center" shrinkToFit="1"/>
      <protection locked="0" hidden="1"/>
    </xf>
    <xf numFmtId="1" fontId="198" fillId="65" borderId="144" xfId="0" applyNumberFormat="1" applyFont="1" applyFill="1" applyBorder="1" applyAlignment="1" applyProtection="1">
      <alignment horizontal="center" vertical="center" shrinkToFit="1"/>
      <protection hidden="1"/>
    </xf>
    <xf numFmtId="0" fontId="196" fillId="65" borderId="146" xfId="0" applyFont="1" applyFill="1" applyBorder="1" applyAlignment="1" applyProtection="1">
      <alignment horizontal="left" vertical="center" shrinkToFit="1"/>
      <protection locked="0" hidden="1"/>
    </xf>
    <xf numFmtId="0" fontId="159" fillId="59" borderId="107" xfId="12" applyFont="1" applyFill="1" applyBorder="1" applyAlignment="1" applyProtection="1">
      <alignment horizontal="center" vertical="center" wrapText="1"/>
      <protection locked="0"/>
    </xf>
    <xf numFmtId="0" fontId="160" fillId="59" borderId="105" xfId="12" applyFont="1" applyFill="1" applyBorder="1" applyAlignment="1" applyProtection="1">
      <alignment horizontal="center" vertical="center" shrinkToFit="1"/>
      <protection hidden="1"/>
    </xf>
    <xf numFmtId="0" fontId="160" fillId="59" borderId="21" xfId="12" applyFont="1" applyFill="1" applyBorder="1" applyAlignment="1" applyProtection="1">
      <alignment horizontal="center" vertical="center" shrinkToFit="1"/>
      <protection hidden="1"/>
    </xf>
    <xf numFmtId="0" fontId="160" fillId="59" borderId="106" xfId="12" applyFont="1" applyFill="1" applyBorder="1" applyAlignment="1" applyProtection="1">
      <alignment horizontal="center" vertical="center" shrinkToFit="1"/>
      <protection hidden="1"/>
    </xf>
    <xf numFmtId="0" fontId="160" fillId="59" borderId="0" xfId="12" applyFont="1" applyFill="1" applyAlignment="1" applyProtection="1">
      <alignment horizontal="center" vertical="center" shrinkToFit="1"/>
      <protection hidden="1"/>
    </xf>
    <xf numFmtId="2" fontId="76" fillId="59" borderId="21" xfId="12" applyNumberFormat="1" applyFont="1" applyFill="1" applyBorder="1" applyAlignment="1" applyProtection="1">
      <alignment horizontal="left" vertical="center"/>
      <protection hidden="1"/>
    </xf>
    <xf numFmtId="0" fontId="76" fillId="59" borderId="21" xfId="12" applyFont="1" applyFill="1" applyBorder="1" applyAlignment="1" applyProtection="1">
      <alignment horizontal="left" vertical="center"/>
      <protection hidden="1"/>
    </xf>
    <xf numFmtId="2" fontId="76" fillId="59" borderId="0" xfId="12" applyNumberFormat="1" applyFont="1" applyFill="1" applyAlignment="1" applyProtection="1">
      <alignment horizontal="left" vertical="center"/>
      <protection hidden="1"/>
    </xf>
    <xf numFmtId="0" fontId="76" fillId="59" borderId="0" xfId="12" applyFont="1" applyFill="1" applyAlignment="1" applyProtection="1">
      <alignment horizontal="left" vertical="center"/>
      <protection hidden="1"/>
    </xf>
    <xf numFmtId="0" fontId="35" fillId="8" borderId="35" xfId="12" applyFont="1" applyFill="1" applyBorder="1" applyAlignment="1" applyProtection="1">
      <alignment vertical="center" wrapText="1"/>
      <protection hidden="1"/>
    </xf>
    <xf numFmtId="0" fontId="36" fillId="8" borderId="35" xfId="12" applyFont="1" applyFill="1" applyBorder="1" applyAlignment="1" applyProtection="1">
      <alignment horizontal="center" vertical="center"/>
      <protection hidden="1"/>
    </xf>
    <xf numFmtId="0" fontId="36" fillId="5" borderId="35" xfId="12" applyFont="1" applyFill="1" applyBorder="1" applyAlignment="1" applyProtection="1">
      <alignment horizontal="left" vertical="center"/>
      <protection locked="0" hidden="1"/>
    </xf>
    <xf numFmtId="0" fontId="159" fillId="59" borderId="101" xfId="12" applyFont="1" applyFill="1" applyBorder="1" applyAlignment="1" applyProtection="1">
      <alignment vertical="center"/>
      <protection hidden="1"/>
    </xf>
    <xf numFmtId="0" fontId="159" fillId="59" borderId="101" xfId="12" applyFont="1" applyFill="1" applyBorder="1" applyAlignment="1" applyProtection="1">
      <alignment horizontal="left" vertical="center"/>
      <protection hidden="1"/>
    </xf>
    <xf numFmtId="2" fontId="159" fillId="59" borderId="21" xfId="12" applyNumberFormat="1" applyFont="1" applyFill="1" applyBorder="1" applyAlignment="1" applyProtection="1">
      <alignment horizontal="left" vertical="center"/>
      <protection hidden="1"/>
    </xf>
    <xf numFmtId="2" fontId="159" fillId="59" borderId="0" xfId="12" applyNumberFormat="1" applyFont="1" applyFill="1" applyBorder="1" applyAlignment="1" applyProtection="1">
      <alignment horizontal="left" vertical="center"/>
      <protection hidden="1"/>
    </xf>
    <xf numFmtId="1" fontId="159" fillId="59" borderId="101" xfId="12" applyNumberFormat="1" applyFont="1" applyFill="1" applyBorder="1" applyAlignment="1" applyProtection="1">
      <alignment horizontal="left" vertical="center"/>
      <protection hidden="1"/>
    </xf>
    <xf numFmtId="0" fontId="159" fillId="59" borderId="21" xfId="12" applyFont="1" applyFill="1" applyBorder="1" applyAlignment="1" applyProtection="1">
      <alignment vertical="center" wrapText="1"/>
      <protection hidden="1"/>
    </xf>
    <xf numFmtId="0" fontId="159" fillId="59" borderId="0" xfId="12" applyFont="1" applyFill="1" applyBorder="1" applyAlignment="1" applyProtection="1">
      <alignment vertical="center" wrapText="1"/>
      <protection hidden="1"/>
    </xf>
    <xf numFmtId="0" fontId="35" fillId="5" borderId="35" xfId="12" applyFont="1" applyFill="1" applyBorder="1" applyAlignment="1" applyProtection="1">
      <alignment vertical="center" wrapText="1"/>
      <protection locked="0" hidden="1"/>
    </xf>
    <xf numFmtId="0" fontId="81" fillId="8" borderId="35" xfId="12" applyFont="1" applyFill="1" applyBorder="1" applyAlignment="1" applyProtection="1">
      <alignment vertical="center" wrapText="1"/>
      <protection hidden="1"/>
    </xf>
    <xf numFmtId="0" fontId="0" fillId="8" borderId="80" xfId="0" applyFill="1" applyBorder="1" applyProtection="1">
      <protection hidden="1"/>
    </xf>
    <xf numFmtId="0" fontId="0" fillId="8" borderId="81" xfId="0" applyFill="1" applyBorder="1" applyProtection="1">
      <protection hidden="1"/>
    </xf>
    <xf numFmtId="0" fontId="8" fillId="8" borderId="83" xfId="0" applyFont="1" applyFill="1" applyBorder="1" applyProtection="1">
      <protection hidden="1"/>
    </xf>
    <xf numFmtId="168" fontId="80" fillId="8" borderId="36" xfId="12" applyNumberFormat="1" applyFont="1" applyFill="1" applyBorder="1" applyAlignment="1" applyProtection="1">
      <alignment horizontal="center" vertical="center" wrapText="1"/>
      <protection hidden="1"/>
    </xf>
    <xf numFmtId="168" fontId="80" fillId="8" borderId="65" xfId="12" applyNumberFormat="1" applyFont="1" applyFill="1" applyBorder="1" applyAlignment="1" applyProtection="1">
      <alignment horizontal="center" vertical="center" wrapText="1"/>
      <protection hidden="1"/>
    </xf>
    <xf numFmtId="0" fontId="39" fillId="5" borderId="35" xfId="12" applyFont="1" applyFill="1" applyBorder="1" applyAlignment="1" applyProtection="1">
      <alignment horizontal="center" vertical="center"/>
      <protection locked="0" hidden="1"/>
    </xf>
    <xf numFmtId="0" fontId="36" fillId="12" borderId="45" xfId="12" applyFont="1" applyFill="1" applyBorder="1" applyAlignment="1" applyProtection="1">
      <alignment horizontal="center" vertical="center"/>
      <protection hidden="1"/>
    </xf>
    <xf numFmtId="0" fontId="36" fillId="12" borderId="46" xfId="12" applyFont="1" applyFill="1" applyBorder="1" applyAlignment="1" applyProtection="1">
      <alignment horizontal="center" vertical="center"/>
      <protection hidden="1"/>
    </xf>
    <xf numFmtId="1" fontId="63" fillId="5" borderId="39" xfId="12" applyNumberFormat="1" applyFont="1" applyFill="1" applyBorder="1" applyAlignment="1" applyProtection="1">
      <alignment horizontal="center" vertical="center" wrapText="1"/>
      <protection locked="0"/>
    </xf>
    <xf numFmtId="0" fontId="30" fillId="5" borderId="45" xfId="12" applyFont="1" applyFill="1" applyBorder="1" applyAlignment="1" applyProtection="1">
      <alignment vertical="center" wrapText="1"/>
      <protection locked="0"/>
    </xf>
    <xf numFmtId="0" fontId="30" fillId="5" borderId="123" xfId="12" applyFont="1" applyFill="1" applyBorder="1" applyAlignment="1" applyProtection="1">
      <alignment vertical="center" wrapText="1"/>
      <protection locked="0"/>
    </xf>
    <xf numFmtId="0" fontId="30" fillId="5" borderId="46" xfId="12" applyFont="1" applyFill="1" applyBorder="1" applyAlignment="1" applyProtection="1">
      <alignment vertical="center" wrapText="1"/>
      <protection locked="0"/>
    </xf>
    <xf numFmtId="0" fontId="34" fillId="5" borderId="35" xfId="12" applyFont="1" applyFill="1" applyBorder="1" applyAlignment="1" applyProtection="1">
      <alignment horizontal="center" vertical="center" wrapText="1"/>
      <protection locked="0" hidden="1"/>
    </xf>
    <xf numFmtId="0" fontId="34" fillId="29" borderId="36" xfId="12" applyFont="1" applyFill="1" applyBorder="1" applyAlignment="1" applyProtection="1">
      <alignment vertical="center" wrapText="1"/>
      <protection hidden="1"/>
    </xf>
    <xf numFmtId="0" fontId="34" fillId="29" borderId="65" xfId="12" applyFont="1" applyFill="1" applyBorder="1" applyAlignment="1" applyProtection="1">
      <alignment vertical="center" wrapText="1"/>
      <protection hidden="1"/>
    </xf>
    <xf numFmtId="0" fontId="53" fillId="8" borderId="118" xfId="12" applyFont="1" applyFill="1" applyBorder="1" applyAlignment="1" applyProtection="1">
      <alignment horizontal="left" vertical="center"/>
      <protection hidden="1"/>
    </xf>
    <xf numFmtId="170" fontId="80" fillId="8" borderId="118" xfId="12" applyNumberFormat="1" applyFont="1" applyFill="1" applyBorder="1" applyAlignment="1" applyProtection="1">
      <alignment horizontal="center" vertical="center"/>
      <protection hidden="1"/>
    </xf>
    <xf numFmtId="0" fontId="0" fillId="62" borderId="87" xfId="0" applyFill="1" applyBorder="1" applyAlignment="1">
      <alignment horizontal="center" vertical="center"/>
    </xf>
    <xf numFmtId="0" fontId="0" fillId="62" borderId="88" xfId="0" applyFill="1" applyBorder="1" applyAlignment="1">
      <alignment horizontal="center" vertical="center"/>
    </xf>
    <xf numFmtId="0" fontId="29" fillId="0" borderId="87" xfId="0" applyFont="1" applyBorder="1" applyAlignment="1" applyProtection="1">
      <alignment horizontal="center" wrapText="1"/>
      <protection locked="0"/>
    </xf>
    <xf numFmtId="0" fontId="29" fillId="0" borderId="88" xfId="0" applyFont="1" applyBorder="1" applyAlignment="1" applyProtection="1">
      <alignment horizontal="center" wrapText="1"/>
      <protection locked="0"/>
    </xf>
    <xf numFmtId="0" fontId="34" fillId="8" borderId="80" xfId="12" applyFont="1" applyFill="1" applyBorder="1" applyAlignment="1" applyProtection="1">
      <alignment horizontal="left"/>
      <protection hidden="1"/>
    </xf>
    <xf numFmtId="0" fontId="34" fillId="8" borderId="82" xfId="12" applyFont="1" applyFill="1" applyBorder="1" applyAlignment="1" applyProtection="1">
      <alignment horizontal="left"/>
      <protection hidden="1"/>
    </xf>
    <xf numFmtId="0" fontId="34" fillId="8" borderId="81" xfId="12" applyFont="1" applyFill="1" applyBorder="1" applyAlignment="1" applyProtection="1">
      <alignment horizontal="left"/>
      <protection hidden="1"/>
    </xf>
    <xf numFmtId="0" fontId="30" fillId="5" borderId="39" xfId="12" applyFont="1" applyFill="1" applyBorder="1" applyAlignment="1" applyProtection="1">
      <alignment vertical="center" wrapText="1"/>
      <protection locked="0"/>
    </xf>
    <xf numFmtId="0" fontId="30" fillId="0" borderId="39" xfId="12" applyFont="1" applyFill="1" applyBorder="1" applyAlignment="1" applyProtection="1">
      <alignment vertical="center" wrapText="1"/>
      <protection locked="0"/>
    </xf>
    <xf numFmtId="0" fontId="14" fillId="8" borderId="0" xfId="12" applyFont="1" applyFill="1" applyAlignment="1" applyProtection="1">
      <alignment horizontal="center" vertical="center"/>
      <protection hidden="1"/>
    </xf>
    <xf numFmtId="0" fontId="34" fillId="8" borderId="84" xfId="12" applyFont="1" applyFill="1" applyBorder="1" applyProtection="1">
      <protection hidden="1"/>
    </xf>
    <xf numFmtId="0" fontId="34" fillId="8" borderId="71" xfId="12" applyFont="1" applyFill="1" applyBorder="1" applyProtection="1">
      <protection hidden="1"/>
    </xf>
    <xf numFmtId="0" fontId="34" fillId="8" borderId="85" xfId="12" applyFont="1" applyFill="1" applyBorder="1" applyProtection="1">
      <protection hidden="1"/>
    </xf>
    <xf numFmtId="0" fontId="34" fillId="8" borderId="86" xfId="12" applyFont="1" applyFill="1" applyBorder="1" applyProtection="1">
      <protection hidden="1"/>
    </xf>
    <xf numFmtId="0" fontId="0" fillId="8" borderId="83" xfId="0" applyFill="1" applyBorder="1" applyProtection="1">
      <protection hidden="1"/>
    </xf>
    <xf numFmtId="0" fontId="8" fillId="8" borderId="80" xfId="0" applyFont="1" applyFill="1" applyBorder="1" applyAlignment="1" applyProtection="1">
      <alignment horizontal="left"/>
      <protection hidden="1"/>
    </xf>
    <xf numFmtId="0" fontId="0" fillId="8" borderId="81" xfId="0" applyFill="1" applyBorder="1" applyAlignment="1" applyProtection="1">
      <alignment horizontal="left"/>
      <protection hidden="1"/>
    </xf>
    <xf numFmtId="0" fontId="8" fillId="8" borderId="81" xfId="0" applyFont="1" applyFill="1" applyBorder="1" applyAlignment="1" applyProtection="1">
      <alignment horizontal="left"/>
      <protection hidden="1"/>
    </xf>
    <xf numFmtId="0" fontId="8" fillId="8" borderId="80" xfId="0" applyFont="1" applyFill="1" applyBorder="1" applyProtection="1">
      <protection hidden="1"/>
    </xf>
    <xf numFmtId="0" fontId="8" fillId="8" borderId="81" xfId="0" applyFont="1" applyFill="1" applyBorder="1" applyProtection="1">
      <protection hidden="1"/>
    </xf>
    <xf numFmtId="0" fontId="35" fillId="5" borderId="38" xfId="12" applyFont="1" applyFill="1" applyBorder="1" applyAlignment="1" applyProtection="1">
      <alignment horizontal="left" vertical="center"/>
      <protection locked="0"/>
    </xf>
    <xf numFmtId="0" fontId="14" fillId="8" borderId="0" xfId="12" applyFont="1" applyFill="1" applyAlignment="1" applyProtection="1">
      <alignment horizontal="center"/>
      <protection hidden="1"/>
    </xf>
    <xf numFmtId="0" fontId="30" fillId="8" borderId="17" xfId="12" applyFont="1" applyFill="1" applyBorder="1" applyAlignment="1" applyProtection="1">
      <alignment horizontal="center" vertical="center" wrapText="1"/>
      <protection hidden="1"/>
    </xf>
    <xf numFmtId="0" fontId="30" fillId="8" borderId="17" xfId="12" applyFont="1" applyFill="1" applyBorder="1" applyAlignment="1" applyProtection="1">
      <alignment horizontal="center" vertical="center"/>
      <protection hidden="1"/>
    </xf>
    <xf numFmtId="0" fontId="14" fillId="8" borderId="1" xfId="12" applyFont="1" applyFill="1" applyBorder="1" applyAlignment="1" applyProtection="1">
      <alignment horizontal="center" vertical="center"/>
      <protection hidden="1"/>
    </xf>
    <xf numFmtId="0" fontId="183" fillId="59" borderId="0" xfId="0" applyFont="1" applyFill="1" applyBorder="1" applyAlignment="1">
      <alignment horizontal="right" vertical="center"/>
    </xf>
    <xf numFmtId="0" fontId="185" fillId="30" borderId="0" xfId="12" applyFont="1" applyFill="1" applyAlignment="1" applyProtection="1">
      <alignment horizontal="center" vertical="center"/>
      <protection hidden="1"/>
    </xf>
    <xf numFmtId="0" fontId="184" fillId="63" borderId="0" xfId="0" applyFont="1" applyFill="1" applyBorder="1" applyAlignment="1" applyProtection="1">
      <alignment vertical="center"/>
      <protection locked="0"/>
    </xf>
    <xf numFmtId="3" fontId="184" fillId="63" borderId="0" xfId="0" applyNumberFormat="1" applyFont="1" applyFill="1" applyBorder="1" applyAlignment="1" applyProtection="1">
      <alignment vertical="center"/>
      <protection locked="0"/>
    </xf>
    <xf numFmtId="0" fontId="139" fillId="8" borderId="38" xfId="12" applyFont="1" applyFill="1" applyBorder="1" applyAlignment="1" applyProtection="1">
      <alignment horizontal="left" vertical="center"/>
      <protection hidden="1"/>
    </xf>
    <xf numFmtId="0" fontId="39" fillId="5" borderId="38" xfId="12" applyFont="1" applyFill="1" applyBorder="1" applyAlignment="1" applyProtection="1">
      <alignment horizontal="left" vertical="center"/>
      <protection locked="0"/>
    </xf>
    <xf numFmtId="0" fontId="176" fillId="55" borderId="39" xfId="12" applyFont="1" applyFill="1" applyBorder="1" applyAlignment="1" applyProtection="1">
      <alignment vertical="center" wrapText="1"/>
      <protection hidden="1"/>
    </xf>
    <xf numFmtId="0" fontId="36" fillId="0" borderId="38" xfId="12" applyFont="1" applyFill="1" applyBorder="1" applyAlignment="1" applyProtection="1">
      <alignment horizontal="left" vertical="center"/>
      <protection locked="0" hidden="1"/>
    </xf>
    <xf numFmtId="0" fontId="34" fillId="8" borderId="0" xfId="12" applyFont="1" applyFill="1" applyBorder="1" applyAlignment="1" applyProtection="1">
      <alignment horizontal="center" vertical="center" wrapText="1"/>
      <protection hidden="1"/>
    </xf>
    <xf numFmtId="0" fontId="37" fillId="8" borderId="0" xfId="12" applyFont="1" applyFill="1" applyBorder="1" applyAlignment="1" applyProtection="1">
      <alignment horizontal="center" vertical="center"/>
      <protection locked="0" hidden="1"/>
    </xf>
    <xf numFmtId="1" fontId="63" fillId="0" borderId="39" xfId="12" applyNumberFormat="1" applyFont="1" applyFill="1" applyBorder="1" applyAlignment="1" applyProtection="1">
      <alignment horizontal="center" vertical="center" wrapText="1"/>
      <protection locked="0"/>
    </xf>
    <xf numFmtId="1" fontId="178" fillId="55" borderId="39" xfId="12" applyNumberFormat="1" applyFont="1" applyFill="1" applyBorder="1" applyAlignment="1" applyProtection="1">
      <alignment horizontal="center" vertical="center" wrapText="1"/>
      <protection locked="0"/>
    </xf>
    <xf numFmtId="0" fontId="175" fillId="55" borderId="39" xfId="12" applyFont="1" applyFill="1" applyBorder="1" applyAlignment="1" applyProtection="1">
      <alignment vertical="center" wrapText="1"/>
      <protection hidden="1"/>
    </xf>
    <xf numFmtId="0" fontId="46" fillId="55" borderId="87" xfId="12" applyFont="1" applyFill="1" applyBorder="1" applyAlignment="1" applyProtection="1">
      <alignment horizontal="left" vertical="center"/>
      <protection hidden="1"/>
    </xf>
    <xf numFmtId="0" fontId="176" fillId="55" borderId="87" xfId="12" applyFont="1" applyFill="1" applyBorder="1" applyAlignment="1" applyProtection="1">
      <alignment horizontal="left" vertical="center"/>
      <protection hidden="1"/>
    </xf>
    <xf numFmtId="0" fontId="39" fillId="5" borderId="11" xfId="12" applyFont="1" applyFill="1" applyBorder="1" applyAlignment="1" applyProtection="1">
      <alignment horizontal="left" vertical="center" wrapText="1"/>
      <protection locked="0" hidden="1"/>
    </xf>
    <xf numFmtId="0" fontId="39" fillId="5" borderId="13" xfId="12" applyFont="1" applyFill="1" applyBorder="1" applyAlignment="1" applyProtection="1">
      <alignment horizontal="left" vertical="center" wrapText="1"/>
      <protection locked="0" hidden="1"/>
    </xf>
    <xf numFmtId="0" fontId="37" fillId="8" borderId="36" xfId="12" applyFont="1" applyFill="1" applyBorder="1" applyAlignment="1" applyProtection="1">
      <alignment horizontal="center" vertical="center"/>
      <protection hidden="1"/>
    </xf>
    <xf numFmtId="0" fontId="37" fillId="8" borderId="65" xfId="12" applyFont="1" applyFill="1" applyBorder="1" applyAlignment="1" applyProtection="1">
      <alignment horizontal="center" vertical="center"/>
      <protection hidden="1"/>
    </xf>
    <xf numFmtId="0" fontId="35" fillId="8" borderId="36" xfId="12" applyFont="1" applyFill="1" applyBorder="1" applyAlignment="1" applyProtection="1">
      <alignment horizontal="center" vertical="center"/>
      <protection hidden="1"/>
    </xf>
    <xf numFmtId="0" fontId="35" fillId="8" borderId="37" xfId="12" applyFont="1" applyFill="1" applyBorder="1" applyAlignment="1" applyProtection="1">
      <alignment horizontal="center" vertical="center"/>
      <protection hidden="1"/>
    </xf>
    <xf numFmtId="49" fontId="104" fillId="5" borderId="11" xfId="12" applyNumberFormat="1" applyFont="1" applyFill="1" applyBorder="1" applyAlignment="1" applyProtection="1">
      <alignment horizontal="left" vertical="center"/>
      <protection locked="0" hidden="1"/>
    </xf>
    <xf numFmtId="49" fontId="104" fillId="5" borderId="13" xfId="12" applyNumberFormat="1" applyFont="1" applyFill="1" applyBorder="1" applyAlignment="1" applyProtection="1">
      <alignment horizontal="left" vertical="center"/>
      <protection locked="0" hidden="1"/>
    </xf>
    <xf numFmtId="0" fontId="39" fillId="5" borderId="82" xfId="12" applyFont="1" applyFill="1" applyBorder="1" applyAlignment="1" applyProtection="1">
      <alignment horizontal="left" vertical="center" wrapText="1"/>
      <protection locked="0" hidden="1"/>
    </xf>
    <xf numFmtId="0" fontId="39" fillId="5" borderId="81" xfId="12" applyFont="1" applyFill="1" applyBorder="1" applyAlignment="1" applyProtection="1">
      <alignment horizontal="left" vertical="center" wrapText="1"/>
      <protection locked="0" hidden="1"/>
    </xf>
    <xf numFmtId="0" fontId="37" fillId="57" borderId="36" xfId="12" applyFont="1" applyFill="1" applyBorder="1" applyAlignment="1" applyProtection="1">
      <alignment horizontal="left" vertical="center"/>
      <protection locked="0" hidden="1"/>
    </xf>
    <xf numFmtId="0" fontId="37" fillId="57" borderId="37" xfId="12" applyFont="1" applyFill="1" applyBorder="1" applyAlignment="1" applyProtection="1">
      <alignment horizontal="left" vertical="center"/>
      <protection locked="0" hidden="1"/>
    </xf>
    <xf numFmtId="49" fontId="39" fillId="5" borderId="11" xfId="12" applyNumberFormat="1" applyFont="1" applyFill="1" applyBorder="1" applyAlignment="1" applyProtection="1">
      <alignment vertical="center" wrapText="1"/>
      <protection locked="0" hidden="1"/>
    </xf>
    <xf numFmtId="49" fontId="39" fillId="5" borderId="13" xfId="12" applyNumberFormat="1" applyFont="1" applyFill="1" applyBorder="1" applyAlignment="1" applyProtection="1">
      <alignment vertical="center" wrapText="1"/>
      <protection locked="0" hidden="1"/>
    </xf>
    <xf numFmtId="0" fontId="36" fillId="12" borderId="41" xfId="12" applyFont="1" applyFill="1" applyBorder="1" applyAlignment="1" applyProtection="1">
      <alignment horizontal="center" vertical="center"/>
      <protection hidden="1"/>
    </xf>
    <xf numFmtId="0" fontId="36" fillId="12" borderId="124" xfId="12" applyFont="1" applyFill="1" applyBorder="1" applyAlignment="1" applyProtection="1">
      <alignment horizontal="center" vertical="center"/>
      <protection hidden="1"/>
    </xf>
    <xf numFmtId="0" fontId="36" fillId="12" borderId="125" xfId="12" applyFont="1" applyFill="1" applyBorder="1" applyAlignment="1" applyProtection="1">
      <alignment horizontal="center" vertical="center"/>
      <protection hidden="1"/>
    </xf>
    <xf numFmtId="0" fontId="36" fillId="12" borderId="39" xfId="12" applyFont="1" applyFill="1" applyBorder="1" applyAlignment="1" applyProtection="1">
      <alignment horizontal="center" vertical="center"/>
      <protection hidden="1"/>
    </xf>
    <xf numFmtId="49" fontId="39" fillId="5" borderId="11" xfId="12" applyNumberFormat="1" applyFont="1" applyFill="1" applyBorder="1" applyAlignment="1" applyProtection="1">
      <alignment wrapText="1"/>
      <protection locked="0" hidden="1"/>
    </xf>
    <xf numFmtId="49" fontId="39" fillId="5" borderId="13" xfId="12" applyNumberFormat="1" applyFont="1" applyFill="1" applyBorder="1" applyAlignment="1" applyProtection="1">
      <alignment wrapText="1"/>
      <protection locked="0" hidden="1"/>
    </xf>
    <xf numFmtId="0" fontId="81" fillId="8" borderId="36" xfId="12" applyFont="1" applyFill="1" applyBorder="1" applyAlignment="1" applyProtection="1">
      <alignment horizontal="center" vertical="center" wrapText="1"/>
      <protection hidden="1"/>
    </xf>
    <xf numFmtId="0" fontId="81" fillId="8" borderId="37" xfId="12" applyFont="1" applyFill="1" applyBorder="1" applyAlignment="1" applyProtection="1">
      <alignment horizontal="center" vertical="center" wrapText="1"/>
      <protection hidden="1"/>
    </xf>
    <xf numFmtId="0" fontId="40" fillId="5" borderId="35" xfId="12" applyFont="1" applyFill="1" applyBorder="1" applyAlignment="1" applyProtection="1">
      <alignment horizontal="center" vertical="center"/>
      <protection locked="0" hidden="1"/>
    </xf>
    <xf numFmtId="0" fontId="180" fillId="5" borderId="35" xfId="12" applyFont="1" applyFill="1" applyBorder="1" applyAlignment="1" applyProtection="1">
      <alignment horizontal="center" vertical="center" wrapText="1"/>
      <protection locked="0" hidden="1"/>
    </xf>
    <xf numFmtId="0" fontId="40" fillId="5" borderId="35" xfId="12" applyNumberFormat="1" applyFont="1" applyFill="1" applyBorder="1" applyAlignment="1" applyProtection="1">
      <alignment horizontal="center" vertical="center"/>
      <protection locked="0" hidden="1"/>
    </xf>
    <xf numFmtId="49" fontId="105" fillId="32" borderId="11" xfId="12" applyNumberFormat="1" applyFont="1" applyFill="1" applyBorder="1" applyAlignment="1" applyProtection="1">
      <alignment horizontal="left" vertical="center" wrapText="1"/>
      <protection locked="0" hidden="1"/>
    </xf>
    <xf numFmtId="49" fontId="105" fillId="32" borderId="13" xfId="12" applyNumberFormat="1" applyFont="1" applyFill="1" applyBorder="1" applyAlignment="1" applyProtection="1">
      <alignment horizontal="left" vertical="center" wrapText="1"/>
      <protection locked="0" hidden="1"/>
    </xf>
    <xf numFmtId="0" fontId="37" fillId="8" borderId="35" xfId="12" applyFont="1" applyFill="1" applyBorder="1" applyAlignment="1" applyProtection="1">
      <alignment horizontal="center" vertical="center"/>
      <protection hidden="1"/>
    </xf>
    <xf numFmtId="0" fontId="35" fillId="8" borderId="35" xfId="12" applyFont="1" applyFill="1" applyBorder="1" applyAlignment="1" applyProtection="1">
      <alignment horizontal="center" vertical="center"/>
      <protection hidden="1"/>
    </xf>
    <xf numFmtId="0" fontId="30" fillId="8" borderId="35" xfId="12" applyFont="1" applyFill="1" applyBorder="1" applyAlignment="1" applyProtection="1">
      <alignment horizontal="center" vertical="center" wrapText="1"/>
      <protection hidden="1"/>
    </xf>
    <xf numFmtId="0" fontId="35" fillId="8" borderId="84" xfId="12" applyFont="1" applyFill="1" applyBorder="1" applyAlignment="1" applyProtection="1">
      <alignment horizontal="center" vertical="center" wrapText="1"/>
      <protection hidden="1"/>
    </xf>
    <xf numFmtId="0" fontId="35" fillId="8" borderId="0" xfId="12" applyFont="1" applyFill="1" applyBorder="1" applyAlignment="1" applyProtection="1">
      <alignment horizontal="center" vertical="center" wrapText="1"/>
      <protection hidden="1"/>
    </xf>
    <xf numFmtId="170" fontId="186" fillId="63" borderId="9" xfId="12" applyNumberFormat="1" applyFont="1" applyFill="1" applyBorder="1" applyAlignment="1" applyProtection="1">
      <alignment horizontal="center" vertical="center"/>
      <protection locked="0" hidden="1"/>
    </xf>
    <xf numFmtId="0" fontId="61" fillId="8" borderId="9" xfId="12" applyFont="1" applyFill="1" applyBorder="1" applyAlignment="1" applyProtection="1">
      <alignment horizontal="center" vertical="center"/>
      <protection hidden="1"/>
    </xf>
    <xf numFmtId="0" fontId="14" fillId="8" borderId="4" xfId="12" applyFont="1" applyFill="1" applyBorder="1" applyAlignment="1" applyProtection="1">
      <alignment horizontal="center"/>
      <protection hidden="1"/>
    </xf>
    <xf numFmtId="0" fontId="35" fillId="16" borderId="43" xfId="12" applyFont="1" applyFill="1" applyBorder="1" applyAlignment="1" applyProtection="1">
      <alignment horizontal="center" vertical="center"/>
      <protection hidden="1"/>
    </xf>
    <xf numFmtId="0" fontId="35" fillId="16" borderId="44" xfId="12" applyFont="1" applyFill="1" applyBorder="1" applyAlignment="1" applyProtection="1">
      <alignment horizontal="center" vertical="center"/>
      <protection hidden="1"/>
    </xf>
    <xf numFmtId="0" fontId="37" fillId="8" borderId="36" xfId="12" applyFont="1" applyFill="1" applyBorder="1" applyAlignment="1" applyProtection="1">
      <alignment vertical="center" wrapText="1"/>
      <protection hidden="1"/>
    </xf>
    <xf numFmtId="0" fontId="37" fillId="8" borderId="37" xfId="12" applyFont="1" applyFill="1" applyBorder="1" applyAlignment="1" applyProtection="1">
      <alignment vertical="center" wrapText="1"/>
      <protection hidden="1"/>
    </xf>
    <xf numFmtId="0" fontId="39" fillId="5" borderId="36" xfId="12" applyFont="1" applyFill="1" applyBorder="1" applyAlignment="1" applyProtection="1">
      <alignment horizontal="center" vertical="center"/>
      <protection locked="0" hidden="1"/>
    </xf>
    <xf numFmtId="0" fontId="39" fillId="5" borderId="37" xfId="12" applyFont="1" applyFill="1" applyBorder="1" applyAlignment="1" applyProtection="1">
      <alignment horizontal="center" vertical="center"/>
      <protection locked="0" hidden="1"/>
    </xf>
    <xf numFmtId="0" fontId="94" fillId="5" borderId="36" xfId="12" applyFont="1" applyFill="1" applyBorder="1" applyAlignment="1" applyProtection="1">
      <alignment vertical="center"/>
      <protection locked="0" hidden="1"/>
    </xf>
    <xf numFmtId="0" fontId="94" fillId="5" borderId="70" xfId="12" applyFont="1" applyFill="1" applyBorder="1" applyAlignment="1" applyProtection="1">
      <alignment vertical="center"/>
      <protection locked="0" hidden="1"/>
    </xf>
    <xf numFmtId="1" fontId="39" fillId="5" borderId="63" xfId="12" applyNumberFormat="1" applyFont="1" applyFill="1" applyBorder="1" applyAlignment="1" applyProtection="1">
      <alignment horizontal="center" vertical="center"/>
      <protection locked="0" hidden="1"/>
    </xf>
    <xf numFmtId="1" fontId="39" fillId="5" borderId="64" xfId="12" applyNumberFormat="1" applyFont="1" applyFill="1" applyBorder="1" applyAlignment="1" applyProtection="1">
      <alignment horizontal="center" vertical="center"/>
      <protection locked="0" hidden="1"/>
    </xf>
    <xf numFmtId="0" fontId="39" fillId="5" borderId="63" xfId="12" applyFont="1" applyFill="1" applyBorder="1" applyAlignment="1" applyProtection="1">
      <alignment horizontal="center" vertical="center"/>
      <protection locked="0" hidden="1"/>
    </xf>
    <xf numFmtId="0" fontId="39" fillId="5" borderId="64" xfId="12" applyFont="1" applyFill="1" applyBorder="1" applyAlignment="1" applyProtection="1">
      <alignment horizontal="center" vertical="center"/>
      <protection locked="0" hidden="1"/>
    </xf>
    <xf numFmtId="0" fontId="30" fillId="25" borderId="66" xfId="12" applyFont="1" applyFill="1" applyBorder="1" applyAlignment="1" applyProtection="1">
      <alignment horizontal="center" vertical="center"/>
      <protection locked="0" hidden="1"/>
    </xf>
    <xf numFmtId="0" fontId="30" fillId="25" borderId="67" xfId="12" applyFont="1" applyFill="1" applyBorder="1" applyAlignment="1" applyProtection="1">
      <alignment horizontal="center" vertical="center"/>
      <protection locked="0" hidden="1"/>
    </xf>
    <xf numFmtId="0" fontId="35" fillId="8" borderId="35" xfId="12" applyFont="1" applyFill="1" applyBorder="1" applyAlignment="1" applyProtection="1">
      <alignment horizontal="left" vertical="center" wrapText="1"/>
      <protection hidden="1"/>
    </xf>
    <xf numFmtId="0" fontId="35" fillId="8" borderId="35" xfId="12" applyFont="1" applyFill="1" applyBorder="1" applyAlignment="1" applyProtection="1">
      <alignment horizontal="center" vertical="center" wrapText="1"/>
      <protection hidden="1"/>
    </xf>
    <xf numFmtId="168" fontId="34" fillId="21" borderId="36" xfId="12" applyNumberFormat="1" applyFont="1" applyFill="1" applyBorder="1" applyAlignment="1" applyProtection="1">
      <alignment horizontal="center" vertical="center" wrapText="1"/>
      <protection locked="0" hidden="1"/>
    </xf>
    <xf numFmtId="168" fontId="34" fillId="21" borderId="37" xfId="12" applyNumberFormat="1" applyFont="1" applyFill="1" applyBorder="1" applyAlignment="1" applyProtection="1">
      <alignment horizontal="center" vertical="center" wrapText="1"/>
      <protection locked="0" hidden="1"/>
    </xf>
    <xf numFmtId="0" fontId="14" fillId="8" borderId="1" xfId="12" applyFont="1" applyFill="1" applyBorder="1" applyAlignment="1" applyProtection="1">
      <alignment horizontal="center"/>
      <protection hidden="1"/>
    </xf>
    <xf numFmtId="0" fontId="159" fillId="59" borderId="101" xfId="0" applyFont="1" applyFill="1" applyBorder="1" applyAlignment="1" applyProtection="1">
      <alignment vertical="center"/>
      <protection hidden="1"/>
    </xf>
    <xf numFmtId="0" fontId="34" fillId="29" borderId="35" xfId="12" applyFont="1" applyFill="1" applyBorder="1" applyAlignment="1" applyProtection="1">
      <alignment horizontal="center" vertical="center" wrapText="1"/>
      <protection locked="0" hidden="1"/>
    </xf>
    <xf numFmtId="0" fontId="39" fillId="5" borderId="11" xfId="12" applyFont="1" applyFill="1" applyBorder="1" applyAlignment="1" applyProtection="1">
      <alignment vertical="center" wrapText="1"/>
      <protection locked="0" hidden="1"/>
    </xf>
    <xf numFmtId="0" fontId="39" fillId="5" borderId="13" xfId="12" applyFont="1" applyFill="1" applyBorder="1" applyAlignment="1" applyProtection="1">
      <alignment vertical="center" wrapText="1"/>
      <protection locked="0" hidden="1"/>
    </xf>
    <xf numFmtId="49" fontId="39" fillId="5" borderId="11" xfId="12" applyNumberFormat="1" applyFont="1" applyFill="1" applyBorder="1" applyAlignment="1" applyProtection="1">
      <alignment horizontal="left" vertical="center" wrapText="1"/>
      <protection locked="0" hidden="1"/>
    </xf>
    <xf numFmtId="49" fontId="39" fillId="5" borderId="13" xfId="12" applyNumberFormat="1" applyFont="1" applyFill="1" applyBorder="1" applyAlignment="1" applyProtection="1">
      <alignment horizontal="left" vertical="center" wrapText="1"/>
      <protection locked="0" hidden="1"/>
    </xf>
    <xf numFmtId="0" fontId="38" fillId="5" borderId="11" xfId="0" applyFont="1" applyFill="1" applyBorder="1" applyAlignment="1" applyProtection="1">
      <alignment horizontal="left" vertical="center" wrapText="1"/>
      <protection locked="0" hidden="1"/>
    </xf>
    <xf numFmtId="0" fontId="38" fillId="5" borderId="13" xfId="0" applyFont="1" applyFill="1" applyBorder="1" applyAlignment="1" applyProtection="1">
      <alignment horizontal="left" vertical="center" wrapText="1"/>
      <protection locked="0" hidden="1"/>
    </xf>
    <xf numFmtId="0" fontId="159" fillId="59" borderId="127" xfId="12" applyFont="1" applyFill="1" applyBorder="1" applyAlignment="1" applyProtection="1">
      <alignment vertical="center" wrapText="1"/>
      <protection hidden="1"/>
    </xf>
    <xf numFmtId="0" fontId="159" fillId="59" borderId="101" xfId="12" applyFont="1" applyFill="1" applyBorder="1" applyAlignment="1" applyProtection="1">
      <alignment vertical="center" wrapText="1"/>
      <protection hidden="1"/>
    </xf>
    <xf numFmtId="0" fontId="34" fillId="5" borderId="35" xfId="12" applyFont="1" applyFill="1" applyBorder="1" applyAlignment="1" applyProtection="1">
      <alignment vertical="center"/>
      <protection locked="0" hidden="1"/>
    </xf>
    <xf numFmtId="0" fontId="34" fillId="5" borderId="128" xfId="12" applyFont="1" applyFill="1" applyBorder="1" applyAlignment="1" applyProtection="1">
      <alignment vertical="center"/>
      <protection locked="0" hidden="1"/>
    </xf>
    <xf numFmtId="0" fontId="34" fillId="5" borderId="35" xfId="12" applyNumberFormat="1" applyFont="1" applyFill="1" applyBorder="1" applyAlignment="1" applyProtection="1">
      <alignment horizontal="center" vertical="center"/>
      <protection locked="0" hidden="1"/>
    </xf>
    <xf numFmtId="0" fontId="34" fillId="0" borderId="35" xfId="12" applyNumberFormat="1" applyFont="1" applyFill="1" applyBorder="1" applyAlignment="1" applyProtection="1">
      <alignment horizontal="center" vertical="center"/>
      <protection locked="0" hidden="1"/>
    </xf>
    <xf numFmtId="0" fontId="61" fillId="6" borderId="0" xfId="12" applyFont="1" applyFill="1" applyAlignment="1" applyProtection="1">
      <alignment horizontal="center" vertical="center"/>
      <protection hidden="1"/>
    </xf>
    <xf numFmtId="49" fontId="199" fillId="0" borderId="82" xfId="12" applyNumberFormat="1" applyFont="1" applyFill="1" applyBorder="1" applyAlignment="1" applyProtection="1">
      <alignment horizontal="center" vertical="center" wrapText="1"/>
      <protection locked="0" hidden="1"/>
    </xf>
    <xf numFmtId="49" fontId="199" fillId="0" borderId="81" xfId="12" applyNumberFormat="1" applyFont="1" applyFill="1" applyBorder="1" applyAlignment="1" applyProtection="1">
      <alignment horizontal="center" vertical="center" wrapText="1"/>
      <protection locked="0" hidden="1"/>
    </xf>
    <xf numFmtId="0" fontId="99" fillId="8" borderId="0" xfId="12" applyFont="1" applyFill="1" applyAlignment="1" applyProtection="1">
      <alignment horizontal="center" vertical="center"/>
      <protection hidden="1"/>
    </xf>
    <xf numFmtId="168" fontId="35" fillId="5" borderId="35" xfId="12" applyNumberFormat="1" applyFont="1" applyFill="1" applyBorder="1" applyAlignment="1" applyProtection="1">
      <alignment horizontal="center" vertical="center" wrapText="1"/>
      <protection locked="0" hidden="1"/>
    </xf>
    <xf numFmtId="0" fontId="161" fillId="59" borderId="103" xfId="12" applyFont="1" applyFill="1" applyBorder="1" applyAlignment="1" applyProtection="1">
      <alignment horizontal="center" vertical="center"/>
      <protection hidden="1"/>
    </xf>
    <xf numFmtId="0" fontId="161" fillId="59" borderId="100" xfId="12" applyFont="1" applyFill="1" applyBorder="1" applyAlignment="1" applyProtection="1">
      <alignment horizontal="center" vertical="center"/>
      <protection hidden="1"/>
    </xf>
    <xf numFmtId="0" fontId="161" fillId="59" borderId="104" xfId="12" applyFont="1" applyFill="1" applyBorder="1" applyAlignment="1" applyProtection="1">
      <alignment horizontal="center" vertical="center"/>
      <protection hidden="1"/>
    </xf>
    <xf numFmtId="0" fontId="161" fillId="59" borderId="22" xfId="12" applyFont="1" applyFill="1" applyBorder="1" applyAlignment="1" applyProtection="1">
      <alignment horizontal="center" vertical="center"/>
      <protection hidden="1"/>
    </xf>
    <xf numFmtId="168" fontId="81" fillId="8" borderId="35" xfId="12" applyNumberFormat="1" applyFont="1" applyFill="1" applyBorder="1" applyAlignment="1" applyProtection="1">
      <alignment horizontal="center" vertical="center" wrapText="1"/>
      <protection locked="0" hidden="1"/>
    </xf>
    <xf numFmtId="0" fontId="81" fillId="8" borderId="35" xfId="12" applyFont="1" applyFill="1" applyBorder="1" applyAlignment="1" applyProtection="1">
      <alignment horizontal="center" vertical="center" wrapText="1"/>
      <protection hidden="1"/>
    </xf>
    <xf numFmtId="2" fontId="159" fillId="59" borderId="101" xfId="12" applyNumberFormat="1" applyFont="1" applyFill="1" applyBorder="1" applyAlignment="1" applyProtection="1">
      <alignment horizontal="left" vertical="center"/>
      <protection hidden="1"/>
    </xf>
    <xf numFmtId="3" fontId="159" fillId="59" borderId="101" xfId="12" applyNumberFormat="1" applyFont="1" applyFill="1" applyBorder="1" applyAlignment="1" applyProtection="1">
      <alignment horizontal="left" vertical="center"/>
      <protection hidden="1"/>
    </xf>
    <xf numFmtId="0" fontId="187" fillId="63" borderId="65" xfId="12" applyFont="1" applyFill="1" applyBorder="1" applyAlignment="1" applyProtection="1">
      <alignment horizontal="center" vertical="center" wrapText="1"/>
      <protection locked="0" hidden="1"/>
    </xf>
    <xf numFmtId="0" fontId="187" fillId="63" borderId="37" xfId="12" applyFont="1" applyFill="1" applyBorder="1" applyAlignment="1" applyProtection="1">
      <alignment horizontal="center" vertical="center" wrapText="1"/>
      <protection locked="0" hidden="1"/>
    </xf>
    <xf numFmtId="0" fontId="0" fillId="0" borderId="0" xfId="0"/>
    <xf numFmtId="0" fontId="53" fillId="29" borderId="0" xfId="0" applyFont="1" applyFill="1" applyAlignment="1">
      <alignment horizontal="left" vertical="top" wrapText="1"/>
    </xf>
    <xf numFmtId="0" fontId="53" fillId="21" borderId="98" xfId="0" applyFont="1" applyFill="1" applyBorder="1" applyAlignment="1" applyProtection="1">
      <alignment horizontal="center" vertical="center"/>
      <protection hidden="1"/>
    </xf>
    <xf numFmtId="0" fontId="53" fillId="21" borderId="98" xfId="12" applyFont="1" applyFill="1" applyBorder="1" applyAlignment="1" applyProtection="1">
      <alignment horizontal="center" vertical="center" wrapText="1"/>
      <protection hidden="1"/>
    </xf>
    <xf numFmtId="49" fontId="53" fillId="21" borderId="98" xfId="0" applyNumberFormat="1" applyFont="1" applyFill="1" applyBorder="1" applyAlignment="1" applyProtection="1">
      <alignment horizontal="center" vertical="center"/>
      <protection locked="0"/>
    </xf>
    <xf numFmtId="0" fontId="53" fillId="21" borderId="98" xfId="0" applyFont="1" applyFill="1" applyBorder="1" applyAlignment="1" applyProtection="1">
      <alignment horizontal="center" vertical="center" wrapText="1"/>
      <protection hidden="1"/>
    </xf>
    <xf numFmtId="0" fontId="53" fillId="21" borderId="98" xfId="12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34" fillId="8" borderId="0" xfId="12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4" fontId="34" fillId="15" borderId="0" xfId="12" applyNumberFormat="1" applyFont="1" applyFill="1" applyBorder="1" applyAlignment="1" applyProtection="1">
      <alignment horizontal="center"/>
      <protection hidden="1"/>
    </xf>
    <xf numFmtId="14" fontId="34" fillId="0" borderId="0" xfId="12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34" fillId="0" borderId="0" xfId="12" applyFont="1" applyFill="1" applyBorder="1" applyAlignment="1" applyProtection="1">
      <alignment horizontal="center"/>
      <protection hidden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134" xfId="0" applyFont="1" applyFill="1" applyBorder="1" applyAlignment="1" applyProtection="1">
      <alignment horizontal="center" vertical="top"/>
      <protection hidden="1"/>
    </xf>
    <xf numFmtId="0" fontId="10" fillId="0" borderId="135" xfId="0" applyFont="1" applyFill="1" applyBorder="1" applyAlignment="1" applyProtection="1">
      <alignment horizontal="center" vertical="top"/>
      <protection hidden="1"/>
    </xf>
    <xf numFmtId="0" fontId="10" fillId="0" borderId="135" xfId="0" applyFont="1" applyFill="1" applyBorder="1" applyAlignment="1" applyProtection="1">
      <alignment horizontal="left" vertical="top"/>
      <protection hidden="1"/>
    </xf>
    <xf numFmtId="0" fontId="10" fillId="0" borderId="135" xfId="0" applyFont="1" applyFill="1" applyBorder="1" applyAlignment="1" applyProtection="1">
      <alignment vertical="top"/>
      <protection hidden="1"/>
    </xf>
    <xf numFmtId="0" fontId="10" fillId="0" borderId="135" xfId="0" applyFont="1" applyFill="1" applyBorder="1" applyAlignment="1" applyProtection="1">
      <alignment horizontal="left" vertical="top" wrapText="1"/>
      <protection hidden="1"/>
    </xf>
    <xf numFmtId="0" fontId="10" fillId="0" borderId="135" xfId="0" applyFont="1" applyFill="1" applyBorder="1" applyAlignment="1" applyProtection="1">
      <alignment vertical="top" wrapText="1"/>
      <protection hidden="1"/>
    </xf>
    <xf numFmtId="0" fontId="15" fillId="0" borderId="135" xfId="0" applyFont="1" applyFill="1" applyBorder="1" applyAlignment="1" applyProtection="1">
      <alignment horizontal="center" vertical="center"/>
      <protection hidden="1"/>
    </xf>
    <xf numFmtId="0" fontId="30" fillId="0" borderId="137" xfId="0" applyFont="1" applyFill="1" applyBorder="1" applyAlignment="1" applyProtection="1">
      <alignment horizontal="center" vertical="center"/>
      <protection hidden="1"/>
    </xf>
    <xf numFmtId="0" fontId="30" fillId="0" borderId="138" xfId="0" applyFont="1" applyFill="1" applyBorder="1" applyAlignment="1" applyProtection="1">
      <alignment horizontal="center" vertical="center"/>
      <protection hidden="1"/>
    </xf>
    <xf numFmtId="0" fontId="31" fillId="0" borderId="137" xfId="0" applyFont="1" applyFill="1" applyBorder="1" applyAlignment="1" applyProtection="1">
      <alignment horizontal="center" vertical="center"/>
      <protection hidden="1"/>
    </xf>
    <xf numFmtId="0" fontId="15" fillId="0" borderId="135" xfId="0" applyFont="1" applyFill="1" applyBorder="1" applyAlignment="1" applyProtection="1">
      <alignment horizontal="center" vertical="center" wrapText="1"/>
      <protection hidden="1"/>
    </xf>
    <xf numFmtId="0" fontId="135" fillId="0" borderId="135" xfId="0" applyFont="1" applyFill="1" applyBorder="1" applyAlignment="1" applyProtection="1">
      <alignment horizontal="center" vertical="center"/>
      <protection hidden="1"/>
    </xf>
    <xf numFmtId="0" fontId="135" fillId="0" borderId="136" xfId="0" applyFont="1" applyFill="1" applyBorder="1" applyAlignment="1" applyProtection="1">
      <alignment horizontal="center" vertical="center"/>
      <protection hidden="1"/>
    </xf>
    <xf numFmtId="0" fontId="10" fillId="0" borderId="132" xfId="0" applyFont="1" applyFill="1" applyBorder="1" applyAlignment="1" applyProtection="1">
      <alignment horizontal="left" vertical="top" shrinkToFit="1"/>
      <protection hidden="1"/>
    </xf>
    <xf numFmtId="0" fontId="10" fillId="0" borderId="133" xfId="0" applyFont="1" applyFill="1" applyBorder="1" applyAlignment="1" applyProtection="1">
      <alignment horizontal="left" vertical="top" shrinkToFit="1"/>
      <protection hidden="1"/>
    </xf>
    <xf numFmtId="0" fontId="52" fillId="0" borderId="135" xfId="0" applyFont="1" applyFill="1" applyBorder="1" applyAlignment="1" applyProtection="1">
      <alignment horizontal="center" vertical="center"/>
      <protection hidden="1"/>
    </xf>
    <xf numFmtId="0" fontId="52" fillId="0" borderId="136" xfId="0" applyFont="1" applyFill="1" applyBorder="1" applyAlignment="1" applyProtection="1">
      <alignment horizontal="center" vertical="center"/>
      <protection hidden="1"/>
    </xf>
    <xf numFmtId="0" fontId="10" fillId="0" borderId="132" xfId="0" applyFont="1" applyFill="1" applyBorder="1" applyAlignment="1" applyProtection="1">
      <alignment horizontal="left" vertical="top"/>
      <protection hidden="1"/>
    </xf>
    <xf numFmtId="0" fontId="10" fillId="0" borderId="135" xfId="0" applyFont="1" applyFill="1" applyBorder="1" applyAlignment="1" applyProtection="1">
      <alignment horizontal="left"/>
      <protection hidden="1"/>
    </xf>
    <xf numFmtId="0" fontId="11" fillId="0" borderId="135" xfId="0" applyFont="1" applyFill="1" applyBorder="1" applyAlignment="1" applyProtection="1">
      <alignment horizontal="center" vertical="top"/>
      <protection hidden="1"/>
    </xf>
    <xf numFmtId="49" fontId="10" fillId="0" borderId="135" xfId="0" applyNumberFormat="1" applyFont="1" applyFill="1" applyBorder="1" applyAlignment="1" applyProtection="1">
      <alignment horizontal="left" vertical="top"/>
      <protection hidden="1"/>
    </xf>
    <xf numFmtId="0" fontId="10" fillId="0" borderId="136" xfId="0" applyFont="1" applyFill="1" applyBorder="1" applyAlignment="1" applyProtection="1">
      <alignment horizontal="left" vertical="top"/>
      <protection hidden="1"/>
    </xf>
    <xf numFmtId="0" fontId="10" fillId="0" borderId="135" xfId="0" applyFont="1" applyFill="1" applyBorder="1" applyAlignment="1" applyProtection="1">
      <alignment horizontal="left" vertical="top" shrinkToFit="1"/>
      <protection hidden="1"/>
    </xf>
    <xf numFmtId="0" fontId="10" fillId="0" borderId="136" xfId="0" applyFont="1" applyFill="1" applyBorder="1" applyAlignment="1" applyProtection="1">
      <alignment horizontal="left" vertical="top" shrinkToFit="1"/>
      <protection hidden="1"/>
    </xf>
    <xf numFmtId="0" fontId="11" fillId="0" borderId="136" xfId="0" applyFont="1" applyFill="1" applyBorder="1" applyAlignment="1" applyProtection="1">
      <alignment horizontal="center" vertical="top"/>
      <protection hidden="1"/>
    </xf>
    <xf numFmtId="0" fontId="97" fillId="0" borderId="0" xfId="0" applyFont="1" applyFill="1" applyAlignment="1" applyProtection="1">
      <alignment vertical="top"/>
      <protection hidden="1"/>
    </xf>
    <xf numFmtId="0" fontId="97" fillId="0" borderId="22" xfId="0" applyFont="1" applyFill="1" applyBorder="1" applyAlignment="1" applyProtection="1">
      <alignment horizontal="left" vertical="top" wrapText="1"/>
      <protection hidden="1"/>
    </xf>
    <xf numFmtId="0" fontId="10" fillId="0" borderId="26" xfId="0" applyFont="1" applyFill="1" applyBorder="1" applyAlignment="1" applyProtection="1">
      <alignment horizontal="justify" vertical="top" wrapText="1"/>
      <protection hidden="1"/>
    </xf>
    <xf numFmtId="0" fontId="10" fillId="0" borderId="0" xfId="0" applyFont="1" applyFill="1" applyBorder="1" applyAlignment="1" applyProtection="1">
      <alignment horizontal="justify" vertical="top" wrapText="1"/>
      <protection hidden="1"/>
    </xf>
    <xf numFmtId="0" fontId="10" fillId="0" borderId="27" xfId="0" applyFont="1" applyFill="1" applyBorder="1" applyAlignment="1" applyProtection="1">
      <alignment horizontal="justify" vertical="top" wrapText="1"/>
      <protection hidden="1"/>
    </xf>
    <xf numFmtId="0" fontId="8" fillId="0" borderId="26" xfId="0" applyFont="1" applyFill="1" applyBorder="1" applyAlignment="1" applyProtection="1">
      <alignment horizontal="center" vertical="top"/>
      <protection hidden="1"/>
    </xf>
    <xf numFmtId="0" fontId="8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135" xfId="0" applyFont="1" applyFill="1" applyBorder="1" applyAlignment="1" applyProtection="1">
      <alignment horizontal="right" vertical="top" wrapText="1"/>
      <protection hidden="1"/>
    </xf>
    <xf numFmtId="0" fontId="55" fillId="0" borderId="135" xfId="0" applyFont="1" applyFill="1" applyBorder="1" applyAlignment="1" applyProtection="1">
      <alignment horizontal="center" vertical="center"/>
      <protection hidden="1"/>
    </xf>
    <xf numFmtId="0" fontId="31" fillId="0" borderId="135" xfId="0" applyFont="1" applyFill="1" applyBorder="1" applyAlignment="1" applyProtection="1">
      <alignment horizontal="left" vertical="top" wrapText="1"/>
      <protection hidden="1"/>
    </xf>
    <xf numFmtId="0" fontId="11" fillId="0" borderId="135" xfId="0" applyFont="1" applyFill="1" applyBorder="1" applyAlignment="1" applyProtection="1">
      <alignment horizontal="left" vertical="top"/>
      <protection hidden="1"/>
    </xf>
    <xf numFmtId="0" fontId="10" fillId="0" borderId="26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0" fillId="0" borderId="27" xfId="0" applyFont="1" applyFill="1" applyBorder="1" applyAlignment="1" applyProtection="1">
      <alignment horizontal="center" vertical="top"/>
      <protection hidden="1"/>
    </xf>
    <xf numFmtId="0" fontId="11" fillId="0" borderId="135" xfId="0" applyFont="1" applyFill="1" applyBorder="1" applyAlignment="1" applyProtection="1">
      <alignment horizontal="right"/>
      <protection hidden="1"/>
    </xf>
    <xf numFmtId="0" fontId="11" fillId="0" borderId="136" xfId="0" applyFont="1" applyFill="1" applyBorder="1" applyAlignment="1" applyProtection="1">
      <alignment horizontal="right"/>
      <protection hidden="1"/>
    </xf>
    <xf numFmtId="0" fontId="107" fillId="0" borderId="18" xfId="0" applyFont="1" applyFill="1" applyBorder="1" applyAlignment="1" applyProtection="1">
      <alignment horizontal="center" vertical="top"/>
      <protection hidden="1"/>
    </xf>
    <xf numFmtId="0" fontId="107" fillId="0" borderId="21" xfId="0" applyFont="1" applyFill="1" applyBorder="1" applyAlignment="1" applyProtection="1">
      <alignment horizontal="center" vertical="top"/>
      <protection hidden="1"/>
    </xf>
    <xf numFmtId="0" fontId="107" fillId="0" borderId="19" xfId="0" applyFont="1" applyFill="1" applyBorder="1" applyAlignment="1" applyProtection="1">
      <alignment horizontal="center" vertical="top"/>
      <protection hidden="1"/>
    </xf>
    <xf numFmtId="0" fontId="10" fillId="0" borderId="137" xfId="0" applyNumberFormat="1" applyFont="1" applyFill="1" applyBorder="1" applyAlignment="1" applyProtection="1">
      <alignment horizontal="center" vertical="center"/>
      <protection locked="0" hidden="1"/>
    </xf>
    <xf numFmtId="0" fontId="99" fillId="0" borderId="137" xfId="0" applyNumberFormat="1" applyFont="1" applyFill="1" applyBorder="1" applyAlignment="1" applyProtection="1">
      <alignment horizontal="center" vertical="center"/>
      <protection locked="0" hidden="1"/>
    </xf>
    <xf numFmtId="0" fontId="168" fillId="5" borderId="90" xfId="0" applyFont="1" applyFill="1" applyBorder="1" applyAlignment="1" applyProtection="1">
      <alignment horizontal="center" vertical="center" wrapText="1" shrinkToFit="1"/>
      <protection hidden="1"/>
    </xf>
    <xf numFmtId="0" fontId="168" fillId="5" borderId="54" xfId="0" applyFont="1" applyFill="1" applyBorder="1" applyAlignment="1" applyProtection="1">
      <alignment horizontal="center" vertical="center" wrapText="1" shrinkToFit="1"/>
      <protection hidden="1"/>
    </xf>
    <xf numFmtId="0" fontId="11" fillId="5" borderId="54" xfId="0" applyFont="1" applyFill="1" applyBorder="1" applyAlignment="1" applyProtection="1">
      <alignment horizontal="center" vertical="center" shrinkToFit="1"/>
      <protection hidden="1"/>
    </xf>
    <xf numFmtId="0" fontId="10" fillId="0" borderId="93" xfId="0" applyFont="1" applyFill="1" applyBorder="1" applyAlignment="1" applyProtection="1">
      <alignment horizontal="center" vertical="center" wrapText="1" shrinkToFit="1"/>
      <protection hidden="1"/>
    </xf>
    <xf numFmtId="0" fontId="8" fillId="0" borderId="93" xfId="0" applyFont="1" applyFill="1" applyBorder="1" applyAlignment="1" applyProtection="1">
      <alignment horizontal="center" vertical="center" wrapText="1" shrinkToFit="1"/>
      <protection hidden="1"/>
    </xf>
    <xf numFmtId="0" fontId="10" fillId="5" borderId="48" xfId="0" applyFont="1" applyFill="1" applyBorder="1" applyAlignment="1" applyProtection="1">
      <alignment horizontal="center" vertical="center" wrapText="1" shrinkToFit="1"/>
      <protection hidden="1"/>
    </xf>
    <xf numFmtId="0" fontId="8" fillId="5" borderId="48" xfId="0" applyFont="1" applyFill="1" applyBorder="1" applyAlignment="1" applyProtection="1">
      <alignment horizontal="center" vertical="center" wrapText="1" shrinkToFit="1"/>
      <protection hidden="1"/>
    </xf>
    <xf numFmtId="0" fontId="10" fillId="5" borderId="91" xfId="0" applyFont="1" applyFill="1" applyBorder="1" applyAlignment="1" applyProtection="1">
      <alignment horizontal="center" vertical="center" wrapText="1" shrinkToFit="1"/>
      <protection hidden="1"/>
    </xf>
    <xf numFmtId="0" fontId="10" fillId="5" borderId="50" xfId="0" applyFont="1" applyFill="1" applyBorder="1" applyAlignment="1" applyProtection="1">
      <alignment horizontal="center" vertical="center" wrapText="1" shrinkToFit="1"/>
      <protection hidden="1"/>
    </xf>
    <xf numFmtId="0" fontId="10" fillId="5" borderId="119" xfId="0" applyFont="1" applyFill="1" applyBorder="1" applyAlignment="1" applyProtection="1">
      <alignment horizontal="center" vertical="center" wrapText="1" shrinkToFit="1"/>
      <protection hidden="1"/>
    </xf>
    <xf numFmtId="0" fontId="91" fillId="60" borderId="0" xfId="0" applyFont="1" applyFill="1" applyAlignment="1" applyProtection="1">
      <alignment horizontal="center"/>
      <protection hidden="1"/>
    </xf>
    <xf numFmtId="0" fontId="8" fillId="5" borderId="58" xfId="0" applyFont="1" applyFill="1" applyBorder="1" applyAlignment="1" applyProtection="1">
      <alignment horizontal="center" vertical="center" shrinkToFit="1"/>
      <protection hidden="1"/>
    </xf>
    <xf numFmtId="0" fontId="8" fillId="5" borderId="59" xfId="0" applyFont="1" applyFill="1" applyBorder="1" applyAlignment="1" applyProtection="1">
      <alignment horizontal="center" vertical="center" shrinkToFit="1"/>
      <protection hidden="1"/>
    </xf>
    <xf numFmtId="0" fontId="8" fillId="5" borderId="61" xfId="0" applyFont="1" applyFill="1" applyBorder="1" applyAlignment="1" applyProtection="1">
      <alignment horizontal="left" vertical="center" shrinkToFit="1"/>
      <protection hidden="1"/>
    </xf>
    <xf numFmtId="0" fontId="8" fillId="5" borderId="50" xfId="0" applyFont="1" applyFill="1" applyBorder="1" applyAlignment="1" applyProtection="1">
      <alignment horizontal="left" vertical="center" shrinkToFit="1"/>
      <protection hidden="1"/>
    </xf>
    <xf numFmtId="0" fontId="8" fillId="5" borderId="52" xfId="0" applyFont="1" applyFill="1" applyBorder="1" applyAlignment="1" applyProtection="1">
      <alignment horizontal="left" vertical="center" shrinkToFit="1"/>
      <protection hidden="1"/>
    </xf>
    <xf numFmtId="0" fontId="117" fillId="0" borderId="32" xfId="19" applyFont="1" applyBorder="1" applyAlignment="1" applyProtection="1">
      <alignment horizontal="center" vertical="center" wrapText="1"/>
      <protection hidden="1"/>
    </xf>
    <xf numFmtId="0" fontId="117" fillId="0" borderId="82" xfId="19" applyFont="1" applyBorder="1" applyAlignment="1" applyProtection="1">
      <alignment horizontal="center" vertical="center" wrapText="1"/>
      <protection hidden="1"/>
    </xf>
    <xf numFmtId="0" fontId="117" fillId="0" borderId="9" xfId="19" applyFont="1" applyBorder="1" applyAlignment="1" applyProtection="1">
      <alignment horizontal="center" vertical="center" wrapText="1"/>
      <protection hidden="1"/>
    </xf>
    <xf numFmtId="2" fontId="188" fillId="0" borderId="80" xfId="20" applyNumberFormat="1" applyFont="1" applyBorder="1" applyAlignment="1" applyProtection="1">
      <alignment horizontal="center" vertical="center"/>
      <protection hidden="1"/>
    </xf>
    <xf numFmtId="2" fontId="188" fillId="0" borderId="82" xfId="20" applyNumberFormat="1" applyFont="1" applyBorder="1" applyAlignment="1" applyProtection="1">
      <alignment horizontal="center" vertical="center"/>
      <protection hidden="1"/>
    </xf>
    <xf numFmtId="2" fontId="188" fillId="0" borderId="81" xfId="20" applyNumberFormat="1" applyFont="1" applyBorder="1" applyAlignment="1" applyProtection="1">
      <alignment horizontal="center" vertical="center"/>
      <protection hidden="1"/>
    </xf>
    <xf numFmtId="0" fontId="15" fillId="0" borderId="83" xfId="19" applyFont="1" applyBorder="1" applyAlignment="1" applyProtection="1">
      <alignment horizontal="center" vertical="center" wrapText="1"/>
      <protection hidden="1"/>
    </xf>
    <xf numFmtId="2" fontId="53" fillId="0" borderId="83" xfId="19" applyNumberFormat="1" applyFont="1" applyBorder="1" applyAlignment="1" applyProtection="1">
      <alignment horizontal="center" vertical="center" wrapText="1"/>
      <protection hidden="1"/>
    </xf>
    <xf numFmtId="2" fontId="53" fillId="0" borderId="9" xfId="19" applyNumberFormat="1" applyFont="1" applyBorder="1" applyAlignment="1" applyProtection="1">
      <alignment horizontal="center" vertical="center" wrapText="1"/>
      <protection hidden="1"/>
    </xf>
    <xf numFmtId="2" fontId="188" fillId="0" borderId="83" xfId="20" applyNumberFormat="1" applyFont="1" applyBorder="1" applyAlignment="1" applyProtection="1">
      <alignment horizontal="center" vertical="center"/>
      <protection hidden="1"/>
    </xf>
    <xf numFmtId="41" fontId="11" fillId="0" borderId="83" xfId="19" applyNumberFormat="1" applyFont="1" applyBorder="1" applyAlignment="1" applyProtection="1">
      <alignment horizontal="center" vertical="center" wrapText="1"/>
      <protection hidden="1"/>
    </xf>
    <xf numFmtId="0" fontId="11" fillId="0" borderId="83" xfId="19" applyNumberFormat="1" applyFont="1" applyBorder="1" applyAlignment="1" applyProtection="1">
      <alignment horizontal="center" vertical="center" wrapText="1"/>
      <protection hidden="1"/>
    </xf>
    <xf numFmtId="0" fontId="10" fillId="0" borderId="32" xfId="19" applyFont="1" applyBorder="1" applyAlignment="1" applyProtection="1">
      <alignment horizontal="center" vertical="center" wrapText="1"/>
      <protection hidden="1"/>
    </xf>
    <xf numFmtId="0" fontId="8" fillId="0" borderId="11" xfId="19" applyBorder="1" applyAlignment="1" applyProtection="1">
      <alignment horizontal="center" vertical="center" wrapText="1"/>
      <protection hidden="1"/>
    </xf>
    <xf numFmtId="0" fontId="116" fillId="0" borderId="32" xfId="19" applyFont="1" applyBorder="1" applyAlignment="1" applyProtection="1">
      <alignment horizontal="center" vertical="center" wrapText="1"/>
      <protection hidden="1"/>
    </xf>
    <xf numFmtId="0" fontId="11" fillId="32" borderId="1" xfId="19" applyFont="1" applyFill="1" applyBorder="1" applyAlignment="1" applyProtection="1">
      <alignment horizontal="center" wrapText="1"/>
      <protection hidden="1"/>
    </xf>
    <xf numFmtId="0" fontId="11" fillId="32" borderId="1" xfId="19" applyFont="1" applyFill="1" applyBorder="1" applyAlignment="1" applyProtection="1">
      <alignment horizontal="center" vertical="center" wrapText="1"/>
      <protection hidden="1"/>
    </xf>
    <xf numFmtId="0" fontId="10" fillId="32" borderId="1" xfId="19" applyNumberFormat="1" applyFont="1" applyFill="1" applyBorder="1" applyAlignment="1" applyProtection="1">
      <alignment horizontal="center" vertical="center" wrapText="1"/>
      <protection hidden="1"/>
    </xf>
    <xf numFmtId="0" fontId="10" fillId="32" borderId="96" xfId="19" applyNumberFormat="1" applyFont="1" applyFill="1" applyBorder="1" applyAlignment="1" applyProtection="1">
      <alignment horizontal="center" vertical="center" wrapText="1"/>
      <protection hidden="1"/>
    </xf>
    <xf numFmtId="165" fontId="11" fillId="32" borderId="1" xfId="19" applyNumberFormat="1" applyFont="1" applyFill="1" applyBorder="1" applyAlignment="1" applyProtection="1">
      <alignment horizontal="center"/>
      <protection hidden="1"/>
    </xf>
    <xf numFmtId="165" fontId="11" fillId="32" borderId="96" xfId="19" applyNumberFormat="1" applyFont="1" applyFill="1" applyBorder="1" applyAlignment="1" applyProtection="1">
      <alignment horizontal="center"/>
      <protection hidden="1"/>
    </xf>
    <xf numFmtId="0" fontId="31" fillId="32" borderId="1" xfId="19" applyFont="1" applyFill="1" applyBorder="1" applyAlignment="1" applyProtection="1">
      <alignment horizontal="center" vertical="center" wrapText="1"/>
      <protection hidden="1"/>
    </xf>
    <xf numFmtId="0" fontId="10" fillId="32" borderId="1" xfId="19" applyFont="1" applyFill="1" applyBorder="1" applyAlignment="1" applyProtection="1">
      <alignment horizontal="center" vertical="center" wrapText="1"/>
      <protection hidden="1"/>
    </xf>
    <xf numFmtId="0" fontId="10" fillId="32" borderId="96" xfId="19" applyFont="1" applyFill="1" applyBorder="1" applyAlignment="1" applyProtection="1">
      <alignment horizontal="center" vertical="center" wrapText="1"/>
      <protection hidden="1"/>
    </xf>
    <xf numFmtId="0" fontId="11" fillId="32" borderId="1" xfId="19" applyFont="1" applyFill="1" applyBorder="1" applyAlignment="1" applyProtection="1">
      <alignment horizontal="center"/>
      <protection hidden="1"/>
    </xf>
    <xf numFmtId="0" fontId="66" fillId="0" borderId="33" xfId="19" applyFont="1" applyBorder="1" applyAlignment="1" applyProtection="1">
      <alignment horizontal="center" vertical="center" wrapText="1"/>
      <protection hidden="1"/>
    </xf>
    <xf numFmtId="0" fontId="118" fillId="0" borderId="4" xfId="19" applyFont="1" applyBorder="1" applyAlignment="1" applyProtection="1">
      <alignment vertical="center" wrapText="1"/>
      <protection hidden="1"/>
    </xf>
    <xf numFmtId="0" fontId="118" fillId="0" borderId="31" xfId="19" applyFont="1" applyBorder="1" applyAlignment="1" applyProtection="1">
      <alignment vertical="center" wrapText="1"/>
      <protection hidden="1"/>
    </xf>
    <xf numFmtId="0" fontId="121" fillId="0" borderId="34" xfId="19" applyFont="1" applyBorder="1" applyAlignment="1" applyProtection="1">
      <alignment horizontal="center" vertical="center" wrapText="1"/>
      <protection hidden="1"/>
    </xf>
    <xf numFmtId="0" fontId="122" fillId="0" borderId="2" xfId="19" applyFont="1" applyBorder="1" applyAlignment="1" applyProtection="1">
      <alignment vertical="center" wrapText="1"/>
      <protection hidden="1"/>
    </xf>
    <xf numFmtId="0" fontId="122" fillId="0" borderId="94" xfId="19" applyFont="1" applyBorder="1" applyAlignment="1" applyProtection="1">
      <alignment vertical="center" wrapText="1"/>
      <protection hidden="1"/>
    </xf>
    <xf numFmtId="0" fontId="15" fillId="0" borderId="0" xfId="19" applyFont="1" applyBorder="1" applyAlignment="1" applyProtection="1">
      <alignment horizontal="left" vertical="top" wrapText="1"/>
      <protection hidden="1"/>
    </xf>
    <xf numFmtId="0" fontId="8" fillId="0" borderId="0" xfId="19" applyFont="1" applyBorder="1" applyAlignment="1" applyProtection="1">
      <alignment wrapText="1"/>
      <protection hidden="1"/>
    </xf>
    <xf numFmtId="0" fontId="8" fillId="0" borderId="71" xfId="19" applyFont="1" applyBorder="1" applyAlignment="1" applyProtection="1">
      <alignment wrapText="1"/>
      <protection hidden="1"/>
    </xf>
    <xf numFmtId="0" fontId="15" fillId="0" borderId="26" xfId="19" applyFont="1" applyBorder="1" applyAlignment="1" applyProtection="1">
      <alignment horizontal="center" vertical="center" wrapText="1"/>
      <protection hidden="1"/>
    </xf>
    <xf numFmtId="0" fontId="13" fillId="0" borderId="0" xfId="19" applyFont="1" applyBorder="1" applyAlignment="1" applyProtection="1">
      <alignment vertical="center" wrapText="1"/>
      <protection hidden="1"/>
    </xf>
    <xf numFmtId="0" fontId="13" fillId="0" borderId="27" xfId="19" applyFont="1" applyBorder="1" applyAlignment="1" applyProtection="1">
      <alignment vertical="center" wrapText="1"/>
      <protection hidden="1"/>
    </xf>
    <xf numFmtId="0" fontId="13" fillId="0" borderId="114" xfId="19" applyFont="1" applyBorder="1" applyAlignment="1" applyProtection="1">
      <alignment horizontal="center" vertical="center" wrapText="1"/>
      <protection hidden="1"/>
    </xf>
    <xf numFmtId="0" fontId="13" fillId="0" borderId="115" xfId="19" applyFont="1" applyBorder="1" applyAlignment="1" applyProtection="1">
      <alignment horizontal="center" vertical="center" wrapText="1"/>
      <protection hidden="1"/>
    </xf>
    <xf numFmtId="0" fontId="114" fillId="0" borderId="95" xfId="19" applyFont="1" applyBorder="1" applyAlignment="1" applyProtection="1">
      <alignment wrapText="1"/>
      <protection hidden="1"/>
    </xf>
    <xf numFmtId="0" fontId="8" fillId="0" borderId="1" xfId="19" applyBorder="1" applyAlignment="1" applyProtection="1">
      <alignment wrapText="1"/>
      <protection hidden="1"/>
    </xf>
    <xf numFmtId="0" fontId="15" fillId="0" borderId="26" xfId="19" applyFont="1" applyBorder="1" applyAlignment="1" applyProtection="1">
      <alignment horizontal="center" vertical="top" wrapText="1"/>
      <protection hidden="1"/>
    </xf>
    <xf numFmtId="0" fontId="15" fillId="0" borderId="0" xfId="19" applyFont="1" applyBorder="1" applyAlignment="1" applyProtection="1">
      <alignment horizontal="center" vertical="top" wrapText="1"/>
      <protection hidden="1"/>
    </xf>
    <xf numFmtId="0" fontId="15" fillId="0" borderId="71" xfId="19" applyFont="1" applyBorder="1" applyAlignment="1" applyProtection="1">
      <alignment horizontal="center" vertical="top" wrapText="1"/>
      <protection hidden="1"/>
    </xf>
    <xf numFmtId="0" fontId="114" fillId="0" borderId="0" xfId="19" applyFont="1" applyBorder="1" applyAlignment="1" applyProtection="1">
      <alignment horizontal="left" vertical="center" wrapText="1"/>
      <protection hidden="1"/>
    </xf>
    <xf numFmtId="0" fontId="114" fillId="0" borderId="71" xfId="19" applyFont="1" applyBorder="1" applyAlignment="1" applyProtection="1">
      <alignment horizontal="left" vertical="center" wrapText="1"/>
      <protection hidden="1"/>
    </xf>
    <xf numFmtId="0" fontId="15" fillId="0" borderId="71" xfId="19" applyFont="1" applyBorder="1" applyAlignment="1" applyProtection="1">
      <alignment horizontal="left" vertical="top" wrapText="1"/>
      <protection hidden="1"/>
    </xf>
    <xf numFmtId="0" fontId="31" fillId="0" borderId="0" xfId="19" applyFont="1" applyBorder="1" applyAlignment="1" applyProtection="1">
      <alignment horizontal="left" vertical="top" wrapText="1"/>
      <protection hidden="1"/>
    </xf>
    <xf numFmtId="0" fontId="8" fillId="0" borderId="0" xfId="19" applyFont="1" applyBorder="1" applyAlignment="1" applyProtection="1">
      <alignment horizontal="center" vertical="center" wrapText="1"/>
      <protection hidden="1"/>
    </xf>
    <xf numFmtId="0" fontId="8" fillId="0" borderId="71" xfId="19" applyFont="1" applyBorder="1" applyAlignment="1" applyProtection="1">
      <alignment horizontal="center" vertical="center" wrapText="1"/>
      <protection hidden="1"/>
    </xf>
    <xf numFmtId="0" fontId="15" fillId="0" borderId="28" xfId="19" applyFont="1" applyBorder="1" applyAlignment="1" applyProtection="1">
      <alignment horizontal="center" vertical="center" wrapText="1"/>
      <protection hidden="1"/>
    </xf>
    <xf numFmtId="0" fontId="13" fillId="0" borderId="9" xfId="19" applyFont="1" applyBorder="1" applyAlignment="1" applyProtection="1">
      <alignment vertical="center" wrapText="1"/>
      <protection hidden="1"/>
    </xf>
    <xf numFmtId="0" fontId="13" fillId="0" borderId="29" xfId="19" applyFont="1" applyBorder="1" applyAlignment="1" applyProtection="1">
      <alignment vertical="center" wrapText="1"/>
      <protection hidden="1"/>
    </xf>
    <xf numFmtId="0" fontId="15" fillId="0" borderId="95" xfId="19" applyFont="1" applyBorder="1" applyAlignment="1" applyProtection="1">
      <alignment horizontal="center" vertical="center" wrapText="1"/>
      <protection hidden="1"/>
    </xf>
    <xf numFmtId="0" fontId="114" fillId="0" borderId="95" xfId="19" applyFont="1" applyBorder="1" applyAlignment="1" applyProtection="1">
      <alignment vertical="center" wrapText="1"/>
      <protection hidden="1"/>
    </xf>
    <xf numFmtId="0" fontId="8" fillId="0" borderId="1" xfId="19" applyBorder="1" applyAlignment="1" applyProtection="1">
      <alignment vertical="center" wrapText="1"/>
      <protection hidden="1"/>
    </xf>
    <xf numFmtId="0" fontId="13" fillId="0" borderId="12" xfId="19" applyFont="1" applyBorder="1" applyAlignment="1" applyProtection="1">
      <alignment horizontal="center" vertical="center" wrapText="1"/>
      <protection hidden="1"/>
    </xf>
    <xf numFmtId="0" fontId="13" fillId="0" borderId="11" xfId="19" applyFont="1" applyBorder="1" applyAlignment="1" applyProtection="1">
      <alignment horizontal="center" vertical="center" wrapText="1"/>
      <protection hidden="1"/>
    </xf>
    <xf numFmtId="0" fontId="13" fillId="0" borderId="13" xfId="19" applyFont="1" applyBorder="1" applyAlignment="1" applyProtection="1">
      <alignment horizontal="center" vertical="center" wrapText="1"/>
      <protection hidden="1"/>
    </xf>
    <xf numFmtId="0" fontId="114" fillId="0" borderId="0" xfId="19" applyFont="1" applyBorder="1" applyAlignment="1" applyProtection="1">
      <alignment vertical="center" wrapText="1"/>
      <protection hidden="1"/>
    </xf>
    <xf numFmtId="0" fontId="152" fillId="0" borderId="26" xfId="19" applyFont="1" applyBorder="1" applyAlignment="1" applyProtection="1">
      <alignment horizontal="left" vertical="distributed" wrapText="1"/>
      <protection hidden="1"/>
    </xf>
    <xf numFmtId="0" fontId="152" fillId="0" borderId="0" xfId="19" applyFont="1" applyBorder="1" applyAlignment="1" applyProtection="1">
      <alignment horizontal="left" vertical="distributed" wrapText="1"/>
      <protection hidden="1"/>
    </xf>
    <xf numFmtId="0" fontId="152" fillId="0" borderId="27" xfId="19" applyFont="1" applyBorder="1" applyAlignment="1" applyProtection="1">
      <alignment horizontal="left" vertical="distributed" wrapText="1"/>
      <protection hidden="1"/>
    </xf>
    <xf numFmtId="0" fontId="114" fillId="0" borderId="9" xfId="19" applyFont="1" applyBorder="1" applyAlignment="1" applyProtection="1">
      <alignment vertical="center" wrapText="1"/>
      <protection hidden="1"/>
    </xf>
    <xf numFmtId="0" fontId="13" fillId="0" borderId="30" xfId="19" applyFont="1" applyBorder="1" applyAlignment="1" applyProtection="1">
      <alignment horizontal="center" vertical="center" wrapText="1"/>
      <protection hidden="1"/>
    </xf>
    <xf numFmtId="0" fontId="10" fillId="0" borderId="12" xfId="19" applyFont="1" applyBorder="1" applyAlignment="1" applyProtection="1">
      <alignment vertical="center"/>
      <protection hidden="1"/>
    </xf>
    <xf numFmtId="0" fontId="10" fillId="0" borderId="11" xfId="19" applyFont="1" applyBorder="1" applyAlignment="1" applyProtection="1">
      <alignment vertical="center"/>
      <protection hidden="1"/>
    </xf>
    <xf numFmtId="0" fontId="10" fillId="0" borderId="30" xfId="19" applyFont="1" applyBorder="1" applyAlignment="1" applyProtection="1">
      <alignment vertical="center"/>
      <protection hidden="1"/>
    </xf>
    <xf numFmtId="0" fontId="51" fillId="0" borderId="95" xfId="19" applyFont="1" applyBorder="1" applyAlignment="1" applyProtection="1">
      <alignment horizontal="center" vertical="center" wrapText="1"/>
      <protection hidden="1"/>
    </xf>
    <xf numFmtId="0" fontId="51" fillId="0" borderId="1" xfId="19" applyFont="1" applyBorder="1" applyAlignment="1" applyProtection="1">
      <alignment horizontal="center" vertical="center" wrapText="1"/>
      <protection hidden="1"/>
    </xf>
    <xf numFmtId="0" fontId="13" fillId="0" borderId="1" xfId="19" applyFont="1" applyBorder="1" applyAlignment="1" applyProtection="1">
      <alignment horizontal="center" vertical="center" wrapText="1"/>
      <protection hidden="1"/>
    </xf>
    <xf numFmtId="172" fontId="149" fillId="0" borderId="95" xfId="19" applyNumberFormat="1" applyFont="1" applyFill="1" applyBorder="1" applyAlignment="1" applyProtection="1">
      <alignment horizontal="center" vertical="center" wrapText="1"/>
      <protection locked="0"/>
    </xf>
    <xf numFmtId="172" fontId="149" fillId="0" borderId="1" xfId="19" applyNumberFormat="1" applyFont="1" applyFill="1" applyBorder="1" applyAlignment="1" applyProtection="1">
      <alignment horizontal="center" vertical="center" wrapText="1"/>
      <protection locked="0"/>
    </xf>
    <xf numFmtId="172" fontId="141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108" fillId="0" borderId="18" xfId="19" applyFont="1" applyBorder="1" applyAlignment="1" applyProtection="1">
      <alignment horizontal="center" vertical="top" wrapText="1"/>
      <protection hidden="1"/>
    </xf>
    <xf numFmtId="0" fontId="108" fillId="0" borderId="21" xfId="19" applyFont="1" applyBorder="1" applyAlignment="1" applyProtection="1">
      <alignment horizontal="center" vertical="top" wrapText="1"/>
      <protection hidden="1"/>
    </xf>
    <xf numFmtId="0" fontId="65" fillId="0" borderId="19" xfId="19" applyFont="1" applyBorder="1" applyAlignment="1" applyProtection="1">
      <alignment wrapText="1"/>
      <protection hidden="1"/>
    </xf>
    <xf numFmtId="0" fontId="109" fillId="0" borderId="26" xfId="19" applyFont="1" applyBorder="1" applyAlignment="1" applyProtection="1">
      <alignment horizontal="center"/>
      <protection hidden="1"/>
    </xf>
    <xf numFmtId="0" fontId="109" fillId="0" borderId="0" xfId="19" applyFont="1" applyBorder="1" applyAlignment="1" applyProtection="1">
      <alignment horizontal="center"/>
      <protection hidden="1"/>
    </xf>
    <xf numFmtId="0" fontId="8" fillId="0" borderId="27" xfId="19" applyBorder="1" applyAlignment="1" applyProtection="1">
      <protection hidden="1"/>
    </xf>
    <xf numFmtId="0" fontId="66" fillId="0" borderId="32" xfId="19" applyFont="1" applyBorder="1" applyAlignment="1" applyProtection="1">
      <alignment horizontal="center" vertical="center" wrapText="1"/>
      <protection hidden="1"/>
    </xf>
    <xf numFmtId="0" fontId="66" fillId="0" borderId="11" xfId="19" applyFont="1" applyBorder="1" applyAlignment="1" applyProtection="1">
      <alignment horizontal="center" vertical="center" wrapText="1"/>
      <protection hidden="1"/>
    </xf>
    <xf numFmtId="0" fontId="66" fillId="0" borderId="30" xfId="19" applyFont="1" applyBorder="1" applyAlignment="1" applyProtection="1">
      <alignment horizontal="center" vertical="center" wrapText="1"/>
      <protection hidden="1"/>
    </xf>
    <xf numFmtId="0" fontId="111" fillId="0" borderId="32" xfId="19" applyFont="1" applyBorder="1" applyAlignment="1" applyProtection="1">
      <alignment horizontal="center" vertical="center" wrapText="1"/>
      <protection hidden="1"/>
    </xf>
    <xf numFmtId="0" fontId="111" fillId="0" borderId="11" xfId="19" applyFont="1" applyBorder="1" applyAlignment="1" applyProtection="1">
      <alignment horizontal="center" vertical="center" wrapText="1"/>
      <protection hidden="1"/>
    </xf>
    <xf numFmtId="0" fontId="111" fillId="0" borderId="30" xfId="19" applyFont="1" applyBorder="1" applyAlignment="1" applyProtection="1">
      <alignment horizontal="center" vertical="center" wrapText="1"/>
      <protection hidden="1"/>
    </xf>
    <xf numFmtId="171" fontId="145" fillId="0" borderId="32" xfId="19" applyNumberFormat="1" applyFont="1" applyBorder="1" applyAlignment="1" applyProtection="1">
      <alignment horizontal="center" vertical="center" wrapText="1"/>
      <protection hidden="1"/>
    </xf>
    <xf numFmtId="171" fontId="145" fillId="0" borderId="82" xfId="19" applyNumberFormat="1" applyFont="1" applyBorder="1" applyAlignment="1" applyProtection="1">
      <alignment horizontal="center" vertical="center" wrapText="1"/>
      <protection hidden="1"/>
    </xf>
    <xf numFmtId="171" fontId="145" fillId="0" borderId="81" xfId="19" applyNumberFormat="1" applyFont="1" applyBorder="1" applyAlignment="1" applyProtection="1">
      <alignment horizontal="center" vertical="center" wrapText="1"/>
      <protection hidden="1"/>
    </xf>
    <xf numFmtId="172" fontId="146" fillId="0" borderId="80" xfId="19" applyNumberFormat="1" applyFont="1" applyBorder="1" applyAlignment="1" applyProtection="1">
      <alignment horizontal="center" vertical="center" wrapText="1"/>
      <protection hidden="1"/>
    </xf>
    <xf numFmtId="172" fontId="146" fillId="0" borderId="82" xfId="19" applyNumberFormat="1" applyFont="1" applyBorder="1" applyAlignment="1" applyProtection="1">
      <alignment horizontal="center" vertical="center" wrapText="1"/>
      <protection hidden="1"/>
    </xf>
    <xf numFmtId="172" fontId="146" fillId="0" borderId="89" xfId="19" applyNumberFormat="1" applyFont="1" applyBorder="1" applyAlignment="1" applyProtection="1">
      <alignment horizontal="center" vertical="center" wrapText="1"/>
      <protection hidden="1"/>
    </xf>
    <xf numFmtId="0" fontId="148" fillId="0" borderId="1" xfId="19" applyFont="1" applyBorder="1" applyAlignment="1" applyProtection="1">
      <alignment horizontal="center" vertical="center" wrapText="1"/>
      <protection hidden="1"/>
    </xf>
    <xf numFmtId="172" fontId="149" fillId="0" borderId="1" xfId="19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9" applyFont="1" applyBorder="1" applyAlignment="1" applyProtection="1">
      <alignment horizontal="center" vertical="center" wrapText="1"/>
      <protection hidden="1"/>
    </xf>
    <xf numFmtId="0" fontId="8" fillId="0" borderId="96" xfId="19" applyFont="1" applyBorder="1" applyAlignment="1" applyProtection="1">
      <alignment horizontal="center" vertical="center" wrapText="1"/>
      <protection hidden="1"/>
    </xf>
    <xf numFmtId="172" fontId="141" fillId="0" borderId="1" xfId="19" applyNumberFormat="1" applyFont="1" applyBorder="1" applyAlignment="1" applyProtection="1">
      <alignment horizontal="center" vertical="center" wrapText="1"/>
      <protection hidden="1"/>
    </xf>
    <xf numFmtId="172" fontId="141" fillId="0" borderId="96" xfId="19" applyNumberFormat="1" applyFont="1" applyBorder="1" applyAlignment="1" applyProtection="1">
      <alignment horizontal="center" vertical="center" wrapText="1"/>
      <protection hidden="1"/>
    </xf>
    <xf numFmtId="0" fontId="112" fillId="0" borderId="95" xfId="19" applyFont="1" applyBorder="1" applyAlignment="1" applyProtection="1">
      <alignment horizontal="center" vertical="center" wrapText="1"/>
      <protection hidden="1"/>
    </xf>
    <xf numFmtId="0" fontId="112" fillId="0" borderId="1" xfId="19" applyFont="1" applyBorder="1" applyAlignment="1" applyProtection="1">
      <alignment horizontal="center" vertical="center" wrapText="1"/>
      <protection hidden="1"/>
    </xf>
    <xf numFmtId="0" fontId="113" fillId="0" borderId="1" xfId="19" applyFont="1" applyBorder="1" applyAlignment="1" applyProtection="1">
      <alignment horizontal="center" vertical="center" wrapText="1"/>
      <protection hidden="1"/>
    </xf>
    <xf numFmtId="0" fontId="113" fillId="0" borderId="96" xfId="19" applyFont="1" applyBorder="1" applyAlignment="1" applyProtection="1">
      <alignment horizontal="center" vertical="center" wrapText="1"/>
      <protection hidden="1"/>
    </xf>
    <xf numFmtId="0" fontId="10" fillId="0" borderId="32" xfId="19" applyFont="1" applyFill="1" applyBorder="1" applyAlignment="1" applyProtection="1">
      <alignment horizontal="left" vertical="center" wrapText="1"/>
      <protection locked="0"/>
    </xf>
    <xf numFmtId="0" fontId="10" fillId="0" borderId="11" xfId="19" applyFont="1" applyFill="1" applyBorder="1" applyAlignment="1" applyProtection="1">
      <alignment horizontal="left" vertical="center" wrapText="1"/>
      <protection locked="0"/>
    </xf>
    <xf numFmtId="0" fontId="10" fillId="0" borderId="13" xfId="19" applyFont="1" applyFill="1" applyBorder="1" applyAlignment="1" applyProtection="1">
      <alignment horizontal="left" vertical="center" wrapText="1"/>
      <protection locked="0"/>
    </xf>
    <xf numFmtId="0" fontId="8" fillId="0" borderId="30" xfId="19" applyBorder="1" applyAlignment="1" applyProtection="1">
      <alignment horizontal="center" vertical="center" wrapText="1"/>
      <protection hidden="1"/>
    </xf>
    <xf numFmtId="0" fontId="116" fillId="0" borderId="33" xfId="19" applyFont="1" applyBorder="1" applyAlignment="1" applyProtection="1">
      <alignment horizontal="center" vertical="center" wrapText="1"/>
      <protection hidden="1"/>
    </xf>
    <xf numFmtId="0" fontId="8" fillId="0" borderId="4" xfId="19" applyBorder="1" applyAlignment="1" applyProtection="1">
      <alignment horizontal="center" vertical="center" wrapText="1"/>
      <protection hidden="1"/>
    </xf>
    <xf numFmtId="0" fontId="8" fillId="0" borderId="5" xfId="19" applyBorder="1" applyAlignment="1" applyProtection="1">
      <alignment horizontal="center" vertical="center" wrapText="1"/>
      <protection hidden="1"/>
    </xf>
    <xf numFmtId="17" fontId="10" fillId="0" borderId="1" xfId="19" applyNumberFormat="1" applyFont="1" applyBorder="1" applyAlignment="1" applyProtection="1">
      <alignment horizontal="center" vertical="center" wrapText="1"/>
      <protection hidden="1"/>
    </xf>
    <xf numFmtId="0" fontId="15" fillId="0" borderId="12" xfId="19" applyFont="1" applyBorder="1" applyAlignment="1" applyProtection="1">
      <alignment horizontal="center" vertical="center" wrapText="1"/>
      <protection hidden="1"/>
    </xf>
    <xf numFmtId="0" fontId="15" fillId="0" borderId="30" xfId="19" applyFont="1" applyBorder="1" applyAlignment="1" applyProtection="1">
      <alignment horizontal="center" vertical="center" wrapText="1"/>
      <protection hidden="1"/>
    </xf>
    <xf numFmtId="0" fontId="116" fillId="0" borderId="1" xfId="19" applyFont="1" applyBorder="1" applyAlignment="1" applyProtection="1">
      <alignment horizontal="center" vertical="center" wrapText="1"/>
      <protection hidden="1"/>
    </xf>
    <xf numFmtId="0" fontId="10" fillId="0" borderId="1" xfId="19" applyFont="1" applyBorder="1" applyAlignment="1" applyProtection="1">
      <alignment horizontal="center" vertical="center" wrapText="1"/>
      <protection hidden="1"/>
    </xf>
    <xf numFmtId="0" fontId="10" fillId="0" borderId="96" xfId="19" applyFont="1" applyBorder="1" applyAlignment="1" applyProtection="1">
      <alignment horizontal="center" vertical="center" wrapText="1"/>
      <protection hidden="1"/>
    </xf>
    <xf numFmtId="173" fontId="11" fillId="0" borderId="1" xfId="19" applyNumberFormat="1" applyFont="1" applyBorder="1" applyAlignment="1" applyProtection="1">
      <alignment horizontal="center" vertical="center" wrapText="1"/>
      <protection hidden="1"/>
    </xf>
    <xf numFmtId="0" fontId="10" fillId="0" borderId="108" xfId="19" applyFont="1" applyFill="1" applyBorder="1" applyAlignment="1" applyProtection="1">
      <alignment horizontal="center" vertical="center" wrapText="1"/>
      <protection locked="0"/>
    </xf>
    <xf numFmtId="0" fontId="10" fillId="0" borderId="109" xfId="19" applyFont="1" applyFill="1" applyBorder="1" applyAlignment="1" applyProtection="1">
      <alignment horizontal="center" vertical="center" wrapText="1"/>
      <protection locked="0"/>
    </xf>
    <xf numFmtId="0" fontId="10" fillId="0" borderId="110" xfId="19" applyFont="1" applyFill="1" applyBorder="1" applyAlignment="1" applyProtection="1">
      <alignment horizontal="center" vertical="center" wrapText="1"/>
      <protection locked="0"/>
    </xf>
    <xf numFmtId="0" fontId="10" fillId="0" borderId="28" xfId="19" applyFont="1" applyFill="1" applyBorder="1" applyAlignment="1" applyProtection="1">
      <alignment horizontal="center" vertical="center" wrapText="1"/>
      <protection locked="0"/>
    </xf>
    <xf numFmtId="0" fontId="10" fillId="0" borderId="9" xfId="19" applyFont="1" applyFill="1" applyBorder="1" applyAlignment="1" applyProtection="1">
      <alignment horizontal="center" vertical="center" wrapText="1"/>
      <protection locked="0"/>
    </xf>
    <xf numFmtId="0" fontId="10" fillId="0" borderId="86" xfId="19" applyFont="1" applyFill="1" applyBorder="1" applyAlignment="1" applyProtection="1">
      <alignment horizontal="center" vertical="center" wrapText="1"/>
      <protection locked="0"/>
    </xf>
    <xf numFmtId="0" fontId="114" fillId="0" borderId="0" xfId="19" applyFont="1" applyBorder="1" applyAlignment="1" applyProtection="1">
      <alignment horizontal="left" vertical="top" wrapText="1"/>
      <protection hidden="1"/>
    </xf>
    <xf numFmtId="0" fontId="13" fillId="0" borderId="0" xfId="19" applyFont="1" applyBorder="1" applyAlignment="1" applyProtection="1">
      <alignment vertical="top" wrapText="1"/>
      <protection hidden="1"/>
    </xf>
    <xf numFmtId="0" fontId="112" fillId="0" borderId="1" xfId="19" applyFont="1" applyBorder="1" applyAlignment="1" applyProtection="1">
      <alignment horizontal="left" vertical="center" wrapText="1"/>
      <protection hidden="1"/>
    </xf>
    <xf numFmtId="0" fontId="114" fillId="0" borderId="11" xfId="19" applyFont="1" applyBorder="1" applyAlignment="1" applyProtection="1">
      <alignment horizontal="left" vertical="center" wrapText="1"/>
      <protection hidden="1"/>
    </xf>
    <xf numFmtId="0" fontId="114" fillId="0" borderId="4" xfId="19" applyFont="1" applyBorder="1" applyAlignment="1" applyProtection="1">
      <alignment horizontal="left" vertical="center" wrapText="1"/>
      <protection hidden="1"/>
    </xf>
    <xf numFmtId="0" fontId="13" fillId="0" borderId="4" xfId="19" applyFont="1" applyBorder="1" applyAlignment="1" applyProtection="1">
      <protection hidden="1"/>
    </xf>
    <xf numFmtId="0" fontId="13" fillId="0" borderId="0" xfId="19" applyFont="1" applyBorder="1" applyAlignment="1" applyProtection="1">
      <alignment horizontal="left" vertical="center" wrapText="1"/>
      <protection hidden="1"/>
    </xf>
    <xf numFmtId="0" fontId="114" fillId="0" borderId="9" xfId="19" applyFont="1" applyBorder="1" applyAlignment="1" applyProtection="1">
      <alignment horizontal="left" vertical="center" wrapText="1"/>
      <protection hidden="1"/>
    </xf>
    <xf numFmtId="0" fontId="114" fillId="0" borderId="1" xfId="19" applyFont="1" applyBorder="1" applyAlignment="1" applyProtection="1">
      <alignment horizontal="left" vertical="center" wrapText="1"/>
      <protection hidden="1"/>
    </xf>
    <xf numFmtId="2" fontId="10" fillId="0" borderId="80" xfId="19" applyNumberFormat="1" applyFont="1" applyFill="1" applyBorder="1" applyAlignment="1" applyProtection="1">
      <alignment horizontal="center" vertical="center" wrapText="1"/>
      <protection locked="0"/>
    </xf>
    <xf numFmtId="2" fontId="10" fillId="0" borderId="82" xfId="19" applyNumberFormat="1" applyFont="1" applyFill="1" applyBorder="1" applyAlignment="1" applyProtection="1">
      <alignment horizontal="center" vertical="center" wrapText="1"/>
      <protection locked="0"/>
    </xf>
    <xf numFmtId="2" fontId="10" fillId="0" borderId="81" xfId="19" applyNumberFormat="1" applyFont="1" applyFill="1" applyBorder="1" applyAlignment="1" applyProtection="1">
      <alignment horizontal="center" vertical="center" wrapText="1"/>
      <protection locked="0"/>
    </xf>
    <xf numFmtId="2" fontId="10" fillId="0" borderId="80" xfId="19" applyNumberFormat="1" applyFont="1" applyBorder="1" applyAlignment="1" applyProtection="1">
      <alignment horizontal="center" vertical="center" wrapText="1"/>
      <protection locked="0"/>
    </xf>
    <xf numFmtId="2" fontId="10" fillId="0" borderId="82" xfId="19" applyNumberFormat="1" applyFont="1" applyBorder="1" applyAlignment="1" applyProtection="1">
      <alignment horizontal="center" vertical="center" wrapText="1"/>
      <protection locked="0"/>
    </xf>
    <xf numFmtId="2" fontId="10" fillId="0" borderId="81" xfId="19" applyNumberFormat="1" applyFont="1" applyBorder="1" applyAlignment="1" applyProtection="1">
      <alignment horizontal="center" vertical="center" wrapText="1"/>
      <protection locked="0"/>
    </xf>
    <xf numFmtId="0" fontId="10" fillId="0" borderId="3" xfId="19" applyFont="1" applyFill="1" applyBorder="1" applyAlignment="1" applyProtection="1">
      <alignment horizontal="center" vertical="center" wrapText="1"/>
      <protection hidden="1"/>
    </xf>
    <xf numFmtId="0" fontId="10" fillId="0" borderId="4" xfId="19" applyFont="1" applyFill="1" applyBorder="1" applyAlignment="1" applyProtection="1">
      <alignment horizontal="center" vertical="center" wrapText="1"/>
      <protection hidden="1"/>
    </xf>
    <xf numFmtId="0" fontId="10" fillId="0" borderId="5" xfId="19" applyFont="1" applyFill="1" applyBorder="1" applyAlignment="1" applyProtection="1">
      <alignment horizontal="center" vertical="center" wrapText="1"/>
      <protection hidden="1"/>
    </xf>
    <xf numFmtId="0" fontId="10" fillId="0" borderId="85" xfId="19" applyFont="1" applyFill="1" applyBorder="1" applyAlignment="1" applyProtection="1">
      <alignment horizontal="center" vertical="center" wrapText="1"/>
      <protection hidden="1"/>
    </xf>
    <xf numFmtId="0" fontId="10" fillId="0" borderId="9" xfId="19" applyFont="1" applyFill="1" applyBorder="1" applyAlignment="1" applyProtection="1">
      <alignment horizontal="center" vertical="center" wrapText="1"/>
      <protection hidden="1"/>
    </xf>
    <xf numFmtId="0" fontId="10" fillId="0" borderId="86" xfId="19" applyFont="1" applyFill="1" applyBorder="1" applyAlignment="1" applyProtection="1">
      <alignment horizontal="center" vertical="center" wrapText="1"/>
      <protection hidden="1"/>
    </xf>
    <xf numFmtId="41" fontId="10" fillId="0" borderId="22" xfId="19" applyNumberFormat="1" applyFont="1" applyBorder="1" applyAlignment="1" applyProtection="1">
      <alignment vertical="center" wrapText="1"/>
      <protection locked="0"/>
    </xf>
    <xf numFmtId="0" fontId="10" fillId="0" borderId="22" xfId="19" applyFont="1" applyBorder="1" applyAlignment="1" applyProtection="1">
      <alignment vertical="center" wrapText="1"/>
      <protection locked="0"/>
    </xf>
    <xf numFmtId="0" fontId="10" fillId="0" borderId="23" xfId="19" applyFont="1" applyBorder="1" applyAlignment="1" applyProtection="1">
      <alignment vertical="center" wrapText="1"/>
      <protection locked="0"/>
    </xf>
    <xf numFmtId="41" fontId="10" fillId="0" borderId="80" xfId="19" applyNumberFormat="1" applyFont="1" applyBorder="1" applyAlignment="1" applyProtection="1">
      <alignment horizontal="center" vertical="center" wrapText="1"/>
      <protection locked="0"/>
    </xf>
    <xf numFmtId="41" fontId="10" fillId="0" borderId="82" xfId="19" applyNumberFormat="1" applyFont="1" applyBorder="1" applyAlignment="1" applyProtection="1">
      <alignment horizontal="center" vertical="center" wrapText="1"/>
      <protection locked="0"/>
    </xf>
    <xf numFmtId="41" fontId="10" fillId="0" borderId="81" xfId="19" applyNumberFormat="1" applyFont="1" applyBorder="1" applyAlignment="1" applyProtection="1">
      <alignment horizontal="center" vertical="center" wrapText="1"/>
      <protection locked="0"/>
    </xf>
    <xf numFmtId="49" fontId="10" fillId="0" borderId="80" xfId="19" applyNumberFormat="1" applyFont="1" applyFill="1" applyBorder="1" applyAlignment="1" applyProtection="1">
      <alignment horizontal="center" vertical="center" wrapText="1"/>
      <protection locked="0"/>
    </xf>
    <xf numFmtId="49" fontId="10" fillId="0" borderId="82" xfId="19" applyNumberFormat="1" applyFont="1" applyFill="1" applyBorder="1" applyAlignment="1" applyProtection="1">
      <alignment horizontal="center" vertical="center" wrapText="1"/>
      <protection locked="0"/>
    </xf>
    <xf numFmtId="49" fontId="10" fillId="0" borderId="81" xfId="19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19" applyFont="1" applyBorder="1" applyAlignment="1" applyProtection="1">
      <alignment horizontal="center"/>
      <protection hidden="1"/>
    </xf>
    <xf numFmtId="0" fontId="12" fillId="0" borderId="11" xfId="19" applyFont="1" applyBorder="1" applyAlignment="1" applyProtection="1">
      <alignment horizontal="center"/>
      <protection hidden="1"/>
    </xf>
    <xf numFmtId="0" fontId="12" fillId="0" borderId="13" xfId="19" applyFont="1" applyBorder="1" applyAlignment="1" applyProtection="1">
      <alignment horizontal="center"/>
      <protection hidden="1"/>
    </xf>
    <xf numFmtId="0" fontId="15" fillId="0" borderId="28" xfId="19" applyFont="1" applyFill="1" applyBorder="1" applyAlignment="1" applyProtection="1">
      <alignment horizontal="center" vertical="center" wrapText="1"/>
      <protection hidden="1"/>
    </xf>
    <xf numFmtId="0" fontId="10" fillId="0" borderId="9" xfId="19" applyFont="1" applyBorder="1" applyAlignment="1" applyProtection="1">
      <alignment horizontal="center" vertical="center" wrapText="1"/>
      <protection hidden="1"/>
    </xf>
    <xf numFmtId="0" fontId="10" fillId="0" borderId="29" xfId="19" applyFont="1" applyBorder="1" applyAlignment="1" applyProtection="1">
      <alignment horizontal="center" vertical="center" wrapText="1"/>
      <protection hidden="1"/>
    </xf>
    <xf numFmtId="0" fontId="15" fillId="0" borderId="95" xfId="19" applyFont="1" applyFill="1" applyBorder="1" applyAlignment="1" applyProtection="1">
      <alignment horizontal="center" vertical="center" wrapText="1"/>
      <protection hidden="1"/>
    </xf>
    <xf numFmtId="0" fontId="8" fillId="0" borderId="95" xfId="19" applyBorder="1" applyAlignment="1" applyProtection="1">
      <alignment horizontal="center" vertical="center" wrapText="1"/>
      <protection hidden="1"/>
    </xf>
    <xf numFmtId="0" fontId="10" fillId="0" borderId="1" xfId="19" applyFont="1" applyFill="1" applyBorder="1" applyAlignment="1" applyProtection="1">
      <alignment horizontal="center" vertical="center" wrapText="1"/>
      <protection hidden="1"/>
    </xf>
    <xf numFmtId="0" fontId="10" fillId="0" borderId="96" xfId="19" applyFont="1" applyFill="1" applyBorder="1" applyAlignment="1" applyProtection="1">
      <alignment horizontal="center" vertical="center" wrapText="1"/>
      <protection hidden="1"/>
    </xf>
    <xf numFmtId="0" fontId="31" fillId="0" borderId="1" xfId="19" applyFont="1" applyFill="1" applyBorder="1" applyAlignment="1" applyProtection="1">
      <alignment horizontal="center" vertical="center" wrapText="1"/>
      <protection hidden="1"/>
    </xf>
    <xf numFmtId="0" fontId="66" fillId="0" borderId="33" xfId="19" applyFont="1" applyFill="1" applyBorder="1" applyAlignment="1" applyProtection="1">
      <alignment horizontal="center" vertical="center" wrapText="1"/>
      <protection hidden="1"/>
    </xf>
    <xf numFmtId="0" fontId="66" fillId="0" borderId="4" xfId="19" applyFont="1" applyBorder="1" applyAlignment="1" applyProtection="1">
      <alignment horizontal="center" vertical="center" wrapText="1"/>
      <protection hidden="1"/>
    </xf>
    <xf numFmtId="0" fontId="66" fillId="0" borderId="31" xfId="19" applyFont="1" applyBorder="1" applyAlignment="1" applyProtection="1">
      <alignment horizontal="center" vertical="center" wrapText="1"/>
      <protection hidden="1"/>
    </xf>
    <xf numFmtId="0" fontId="10" fillId="0" borderId="26" xfId="19" applyFont="1" applyFill="1" applyBorder="1" applyAlignment="1" applyProtection="1">
      <alignment horizontal="center" vertical="center" wrapText="1"/>
      <protection hidden="1"/>
    </xf>
    <xf numFmtId="0" fontId="10" fillId="0" borderId="0" xfId="19" applyFont="1" applyBorder="1" applyAlignment="1" applyProtection="1">
      <alignment horizontal="center" vertical="center" wrapText="1"/>
      <protection hidden="1"/>
    </xf>
    <xf numFmtId="0" fontId="10" fillId="0" borderId="27" xfId="19" applyFont="1" applyBorder="1" applyAlignment="1" applyProtection="1">
      <alignment horizontal="center" vertical="center" wrapText="1"/>
      <protection hidden="1"/>
    </xf>
    <xf numFmtId="0" fontId="10" fillId="0" borderId="80" xfId="19" applyFont="1" applyFill="1" applyBorder="1" applyAlignment="1" applyProtection="1">
      <alignment horizontal="center" vertical="center" wrapText="1"/>
      <protection locked="0"/>
    </xf>
    <xf numFmtId="0" fontId="10" fillId="0" borderId="81" xfId="19" applyFont="1" applyFill="1" applyBorder="1" applyAlignment="1" applyProtection="1">
      <alignment horizontal="center" vertical="center" wrapText="1"/>
      <protection locked="0"/>
    </xf>
    <xf numFmtId="41" fontId="8" fillId="0" borderId="80" xfId="19" applyNumberFormat="1" applyBorder="1" applyAlignment="1" applyProtection="1">
      <alignment horizontal="center" vertical="center" wrapText="1"/>
      <protection locked="0"/>
    </xf>
    <xf numFmtId="41" fontId="8" fillId="0" borderId="81" xfId="19" applyNumberFormat="1" applyBorder="1" applyAlignment="1" applyProtection="1">
      <alignment horizontal="center" vertical="center" wrapText="1"/>
      <protection locked="0"/>
    </xf>
    <xf numFmtId="0" fontId="31" fillId="0" borderId="96" xfId="19" applyFont="1" applyFill="1" applyBorder="1" applyAlignment="1" applyProtection="1">
      <alignment horizontal="center" vertical="center" wrapText="1"/>
      <protection hidden="1"/>
    </xf>
    <xf numFmtId="0" fontId="10" fillId="0" borderId="89" xfId="19" applyFont="1" applyFill="1" applyBorder="1" applyAlignment="1" applyProtection="1">
      <alignment horizontal="center" vertical="center" wrapText="1"/>
      <protection locked="0"/>
    </xf>
    <xf numFmtId="41" fontId="8" fillId="0" borderId="89" xfId="19" applyNumberFormat="1" applyBorder="1" applyAlignment="1" applyProtection="1">
      <alignment horizontal="center" vertical="center" wrapText="1"/>
      <protection locked="0"/>
    </xf>
    <xf numFmtId="0" fontId="118" fillId="0" borderId="11" xfId="19" applyFont="1" applyBorder="1" applyAlignment="1" applyProtection="1">
      <alignment horizontal="center" vertical="center" wrapText="1"/>
      <protection hidden="1"/>
    </xf>
    <xf numFmtId="0" fontId="118" fillId="0" borderId="30" xfId="19" applyFont="1" applyBorder="1" applyAlignment="1" applyProtection="1">
      <alignment horizontal="center" vertical="center" wrapText="1"/>
      <protection hidden="1"/>
    </xf>
    <xf numFmtId="0" fontId="112" fillId="0" borderId="32" xfId="19" applyFont="1" applyBorder="1" applyAlignment="1" applyProtection="1">
      <alignment horizontal="left" vertical="center" wrapText="1"/>
      <protection hidden="1"/>
    </xf>
    <xf numFmtId="0" fontId="112" fillId="0" borderId="11" xfId="19" applyFont="1" applyBorder="1" applyAlignment="1" applyProtection="1">
      <alignment horizontal="left" vertical="center" wrapText="1"/>
      <protection hidden="1"/>
    </xf>
    <xf numFmtId="0" fontId="8" fillId="0" borderId="30" xfId="19" applyFont="1" applyBorder="1" applyAlignment="1" applyProtection="1">
      <alignment horizontal="left" wrapText="1"/>
      <protection hidden="1"/>
    </xf>
    <xf numFmtId="0" fontId="113" fillId="0" borderId="0" xfId="19" applyFont="1" applyBorder="1" applyAlignment="1" applyProtection="1">
      <alignment horizontal="left" vertical="center" wrapText="1"/>
      <protection hidden="1"/>
    </xf>
    <xf numFmtId="0" fontId="8" fillId="0" borderId="0" xfId="19" applyFont="1" applyBorder="1" applyAlignment="1" applyProtection="1">
      <alignment vertical="center" wrapText="1"/>
      <protection hidden="1"/>
    </xf>
    <xf numFmtId="2" fontId="156" fillId="0" borderId="97" xfId="19" applyNumberFormat="1" applyFont="1" applyBorder="1" applyAlignment="1" applyProtection="1">
      <alignment horizontal="center" vertical="top" wrapText="1" shrinkToFit="1"/>
      <protection hidden="1"/>
    </xf>
    <xf numFmtId="2" fontId="156" fillId="0" borderId="19" xfId="19" applyNumberFormat="1" applyFont="1" applyBorder="1" applyAlignment="1" applyProtection="1">
      <alignment horizontal="center" vertical="top" wrapText="1" shrinkToFit="1"/>
      <protection hidden="1"/>
    </xf>
    <xf numFmtId="2" fontId="156" fillId="0" borderId="99" xfId="19" applyNumberFormat="1" applyFont="1" applyBorder="1" applyAlignment="1" applyProtection="1">
      <alignment horizontal="center" vertical="top" wrapText="1" shrinkToFit="1"/>
      <protection hidden="1"/>
    </xf>
    <xf numFmtId="0" fontId="13" fillId="0" borderId="0" xfId="19" applyFont="1" applyBorder="1" applyAlignment="1" applyProtection="1">
      <alignment horizontal="left" vertical="top" wrapText="1"/>
      <protection hidden="1"/>
    </xf>
    <xf numFmtId="0" fontId="13" fillId="0" borderId="71" xfId="19" applyFont="1" applyBorder="1" applyAlignment="1" applyProtection="1">
      <alignment horizontal="left" vertical="top" wrapText="1"/>
      <protection hidden="1"/>
    </xf>
    <xf numFmtId="0" fontId="13" fillId="0" borderId="0" xfId="19" applyFont="1" applyBorder="1" applyAlignment="1" applyProtection="1">
      <alignment wrapText="1"/>
      <protection hidden="1"/>
    </xf>
    <xf numFmtId="2" fontId="156" fillId="0" borderId="111" xfId="19" applyNumberFormat="1" applyFont="1" applyBorder="1" applyAlignment="1" applyProtection="1">
      <alignment horizontal="center" vertical="top" wrapText="1" shrinkToFit="1"/>
      <protection hidden="1"/>
    </xf>
    <xf numFmtId="2" fontId="156" fillId="0" borderId="110" xfId="19" applyNumberFormat="1" applyFont="1" applyBorder="1" applyAlignment="1" applyProtection="1">
      <alignment horizontal="center" vertical="top" wrapText="1" shrinkToFit="1"/>
      <protection hidden="1"/>
    </xf>
    <xf numFmtId="39" fontId="53" fillId="0" borderId="12" xfId="19" applyNumberFormat="1" applyFont="1" applyBorder="1" applyAlignment="1" applyProtection="1">
      <alignment horizontal="center" vertical="center" wrapText="1"/>
      <protection hidden="1"/>
    </xf>
    <xf numFmtId="39" fontId="53" fillId="0" borderId="30" xfId="19" applyNumberFormat="1" applyFont="1" applyBorder="1" applyAlignment="1" applyProtection="1">
      <alignment horizontal="center" vertical="center" wrapText="1"/>
      <protection hidden="1"/>
    </xf>
    <xf numFmtId="0" fontId="13" fillId="0" borderId="12" xfId="19" applyFont="1" applyBorder="1" applyAlignment="1" applyProtection="1">
      <alignment horizontal="left" wrapText="1"/>
      <protection hidden="1"/>
    </xf>
    <xf numFmtId="0" fontId="13" fillId="0" borderId="11" xfId="19" applyFont="1" applyBorder="1" applyAlignment="1" applyProtection="1">
      <alignment horizontal="left" wrapText="1"/>
      <protection hidden="1"/>
    </xf>
    <xf numFmtId="0" fontId="13" fillId="0" borderId="13" xfId="19" applyFont="1" applyBorder="1" applyAlignment="1" applyProtection="1">
      <alignment horizontal="left" wrapText="1"/>
      <protection hidden="1"/>
    </xf>
    <xf numFmtId="0" fontId="114" fillId="0" borderId="95" xfId="19" applyFont="1" applyBorder="1" applyAlignment="1" applyProtection="1">
      <alignment horizontal="left" vertical="center" wrapText="1"/>
      <protection hidden="1"/>
    </xf>
    <xf numFmtId="0" fontId="8" fillId="0" borderId="1" xfId="19" applyBorder="1" applyAlignment="1" applyProtection="1">
      <alignment horizontal="left" vertical="center" wrapText="1"/>
      <protection hidden="1"/>
    </xf>
    <xf numFmtId="0" fontId="13" fillId="0" borderId="12" xfId="19" applyFont="1" applyBorder="1" applyAlignment="1" applyProtection="1">
      <alignment horizontal="left" vertical="center" wrapText="1"/>
      <protection hidden="1"/>
    </xf>
    <xf numFmtId="0" fontId="13" fillId="0" borderId="11" xfId="19" applyFont="1" applyBorder="1" applyAlignment="1" applyProtection="1">
      <alignment horizontal="left" vertical="center" wrapText="1"/>
      <protection hidden="1"/>
    </xf>
    <xf numFmtId="0" fontId="13" fillId="0" borderId="13" xfId="19" applyFont="1" applyBorder="1" applyAlignment="1" applyProtection="1">
      <alignment horizontal="left" vertical="center" wrapText="1"/>
      <protection hidden="1"/>
    </xf>
    <xf numFmtId="0" fontId="112" fillId="0" borderId="11" xfId="19" applyFont="1" applyBorder="1" applyAlignment="1" applyProtection="1">
      <alignment vertical="center" wrapText="1"/>
      <protection hidden="1"/>
    </xf>
    <xf numFmtId="0" fontId="8" fillId="0" borderId="11" xfId="19" applyFont="1" applyBorder="1" applyAlignment="1" applyProtection="1">
      <protection hidden="1"/>
    </xf>
    <xf numFmtId="0" fontId="15" fillId="0" borderId="21" xfId="19" applyFont="1" applyBorder="1" applyAlignment="1" applyProtection="1">
      <alignment horizontal="left" vertical="top" wrapText="1"/>
      <protection hidden="1"/>
    </xf>
    <xf numFmtId="0" fontId="10" fillId="0" borderId="0" xfId="19" applyFont="1" applyBorder="1" applyAlignment="1" applyProtection="1">
      <alignment horizontal="left"/>
      <protection hidden="1"/>
    </xf>
    <xf numFmtId="0" fontId="10" fillId="0" borderId="71" xfId="19" applyFont="1" applyBorder="1" applyAlignment="1" applyProtection="1">
      <alignment horizontal="left"/>
      <protection hidden="1"/>
    </xf>
    <xf numFmtId="0" fontId="8" fillId="0" borderId="0" xfId="19" applyFont="1" applyBorder="1" applyAlignment="1" applyProtection="1">
      <alignment horizontal="left"/>
      <protection hidden="1"/>
    </xf>
    <xf numFmtId="0" fontId="8" fillId="0" borderId="71" xfId="19" applyFont="1" applyBorder="1" applyAlignment="1" applyProtection="1">
      <alignment horizontal="left"/>
      <protection hidden="1"/>
    </xf>
    <xf numFmtId="0" fontId="112" fillId="0" borderId="0" xfId="19" applyFont="1" applyBorder="1" applyAlignment="1" applyProtection="1">
      <alignment vertical="center" wrapText="1"/>
      <protection hidden="1"/>
    </xf>
    <xf numFmtId="0" fontId="8" fillId="0" borderId="0" xfId="19" applyFont="1" applyBorder="1" applyAlignment="1" applyProtection="1">
      <protection hidden="1"/>
    </xf>
    <xf numFmtId="39" fontId="53" fillId="0" borderId="11" xfId="19" applyNumberFormat="1" applyFont="1" applyBorder="1" applyAlignment="1" applyProtection="1">
      <alignment horizontal="center" vertical="center" wrapText="1"/>
      <protection hidden="1"/>
    </xf>
    <xf numFmtId="2" fontId="156" fillId="0" borderId="112" xfId="19" applyNumberFormat="1" applyFont="1" applyBorder="1" applyAlignment="1" applyProtection="1">
      <alignment horizontal="center" vertical="top" wrapText="1" shrinkToFit="1"/>
      <protection hidden="1"/>
    </xf>
    <xf numFmtId="0" fontId="115" fillId="0" borderId="13" xfId="19" applyFont="1" applyBorder="1" applyAlignment="1" applyProtection="1">
      <alignment horizontal="center" vertical="center" wrapText="1"/>
      <protection hidden="1"/>
    </xf>
    <xf numFmtId="0" fontId="115" fillId="0" borderId="1" xfId="19" applyFont="1" applyBorder="1" applyAlignment="1" applyProtection="1">
      <alignment horizontal="center" vertical="center" wrapText="1"/>
      <protection hidden="1"/>
    </xf>
    <xf numFmtId="0" fontId="120" fillId="0" borderId="12" xfId="19" applyFont="1" applyBorder="1" applyAlignment="1" applyProtection="1">
      <alignment horizontal="left" vertical="center" wrapText="1"/>
      <protection hidden="1"/>
    </xf>
    <xf numFmtId="0" fontId="120" fillId="0" borderId="11" xfId="19" applyFont="1" applyBorder="1" applyAlignment="1" applyProtection="1">
      <alignment horizontal="left" vertical="center" wrapText="1"/>
      <protection hidden="1"/>
    </xf>
    <xf numFmtId="0" fontId="120" fillId="0" borderId="13" xfId="19" applyFont="1" applyBorder="1" applyAlignment="1" applyProtection="1">
      <alignment horizontal="left" vertical="center" wrapText="1"/>
      <protection hidden="1"/>
    </xf>
    <xf numFmtId="0" fontId="114" fillId="0" borderId="12" xfId="19" applyFont="1" applyBorder="1" applyAlignment="1" applyProtection="1">
      <alignment horizontal="left" vertical="center" wrapText="1"/>
      <protection hidden="1"/>
    </xf>
    <xf numFmtId="0" fontId="114" fillId="0" borderId="13" xfId="19" applyFont="1" applyBorder="1" applyAlignment="1" applyProtection="1">
      <alignment horizontal="left" vertical="center" wrapText="1"/>
      <protection hidden="1"/>
    </xf>
    <xf numFmtId="0" fontId="115" fillId="0" borderId="11" xfId="19" applyFont="1" applyBorder="1" applyAlignment="1" applyProtection="1">
      <alignment horizontal="left" vertical="center" wrapText="1"/>
      <protection hidden="1"/>
    </xf>
    <xf numFmtId="0" fontId="115" fillId="0" borderId="13" xfId="19" applyFont="1" applyBorder="1" applyAlignment="1" applyProtection="1">
      <alignment horizontal="left" vertical="center" wrapText="1"/>
      <protection hidden="1"/>
    </xf>
    <xf numFmtId="0" fontId="65" fillId="0" borderId="11" xfId="19" applyFont="1" applyBorder="1" applyAlignment="1" applyProtection="1">
      <alignment horizontal="center"/>
      <protection hidden="1"/>
    </xf>
    <xf numFmtId="0" fontId="65" fillId="0" borderId="30" xfId="19" applyFont="1" applyBorder="1" applyAlignment="1" applyProtection="1">
      <alignment horizontal="center"/>
      <protection hidden="1"/>
    </xf>
    <xf numFmtId="172" fontId="115" fillId="0" borderId="12" xfId="19" applyNumberFormat="1" applyFont="1" applyBorder="1" applyAlignment="1" applyProtection="1">
      <alignment horizontal="left" vertical="center"/>
      <protection hidden="1"/>
    </xf>
    <xf numFmtId="172" fontId="115" fillId="0" borderId="11" xfId="19" applyNumberFormat="1" applyFont="1" applyBorder="1" applyAlignment="1" applyProtection="1">
      <alignment horizontal="left" vertical="center"/>
      <protection hidden="1"/>
    </xf>
    <xf numFmtId="172" fontId="115" fillId="0" borderId="30" xfId="19" applyNumberFormat="1" applyFont="1" applyBorder="1" applyAlignment="1" applyProtection="1">
      <alignment horizontal="left" vertical="center"/>
      <protection hidden="1"/>
    </xf>
    <xf numFmtId="0" fontId="65" fillId="0" borderId="12" xfId="19" applyFont="1" applyBorder="1" applyAlignment="1" applyProtection="1">
      <protection hidden="1"/>
    </xf>
    <xf numFmtId="0" fontId="65" fillId="0" borderId="11" xfId="19" applyFont="1" applyBorder="1" applyAlignment="1" applyProtection="1">
      <protection hidden="1"/>
    </xf>
    <xf numFmtId="0" fontId="65" fillId="0" borderId="11" xfId="19" applyFont="1" applyBorder="1" applyProtection="1">
      <protection hidden="1"/>
    </xf>
    <xf numFmtId="165" fontId="11" fillId="32" borderId="80" xfId="19" applyNumberFormat="1" applyFont="1" applyFill="1" applyBorder="1" applyAlignment="1" applyProtection="1">
      <alignment horizontal="center"/>
      <protection hidden="1"/>
    </xf>
    <xf numFmtId="165" fontId="11" fillId="32" borderId="82" xfId="19" applyNumberFormat="1" applyFont="1" applyFill="1" applyBorder="1" applyAlignment="1" applyProtection="1">
      <alignment horizontal="center"/>
      <protection hidden="1"/>
    </xf>
    <xf numFmtId="165" fontId="11" fillId="32" borderId="89" xfId="19" applyNumberFormat="1" applyFont="1" applyFill="1" applyBorder="1" applyAlignment="1" applyProtection="1">
      <alignment horizontal="center"/>
      <protection hidden="1"/>
    </xf>
    <xf numFmtId="0" fontId="10" fillId="0" borderId="82" xfId="19" applyFont="1" applyFill="1" applyBorder="1" applyAlignment="1" applyProtection="1">
      <alignment horizontal="center" vertical="center" wrapText="1"/>
      <protection locked="0"/>
    </xf>
    <xf numFmtId="167" fontId="68" fillId="0" borderId="0" xfId="0" applyNumberFormat="1" applyFont="1" applyFill="1" applyBorder="1" applyAlignment="1" applyProtection="1">
      <alignment horizontal="left"/>
      <protection hidden="1"/>
    </xf>
    <xf numFmtId="0" fontId="68" fillId="0" borderId="0" xfId="0" applyFont="1" applyFill="1" applyBorder="1" applyAlignment="1" applyProtection="1">
      <alignment horizontal="left" vertical="top" wrapText="1"/>
      <protection hidden="1"/>
    </xf>
    <xf numFmtId="0" fontId="70" fillId="0" borderId="18" xfId="0" applyFont="1" applyFill="1" applyBorder="1" applyAlignment="1" applyProtection="1">
      <alignment horizontal="center"/>
      <protection hidden="1"/>
    </xf>
    <xf numFmtId="0" fontId="70" fillId="0" borderId="21" xfId="0" applyFont="1" applyFill="1" applyBorder="1" applyAlignment="1" applyProtection="1">
      <alignment horizontal="center"/>
      <protection hidden="1"/>
    </xf>
    <xf numFmtId="0" fontId="70" fillId="0" borderId="19" xfId="0" applyFont="1" applyFill="1" applyBorder="1" applyAlignment="1" applyProtection="1">
      <alignment horizontal="center"/>
      <protection hidden="1"/>
    </xf>
    <xf numFmtId="0" fontId="66" fillId="0" borderId="26" xfId="0" applyFont="1" applyFill="1" applyBorder="1" applyAlignment="1" applyProtection="1">
      <alignment horizontal="justify" vertical="justify" wrapText="1"/>
      <protection hidden="1"/>
    </xf>
    <xf numFmtId="0" fontId="66" fillId="0" borderId="0" xfId="0" applyFont="1" applyFill="1" applyBorder="1" applyAlignment="1" applyProtection="1">
      <alignment horizontal="justify" vertical="justify" wrapText="1"/>
      <protection hidden="1"/>
    </xf>
    <xf numFmtId="0" fontId="66" fillId="0" borderId="27" xfId="0" applyFont="1" applyFill="1" applyBorder="1" applyAlignment="1" applyProtection="1">
      <alignment horizontal="justify" vertical="justify" wrapText="1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72" fillId="0" borderId="0" xfId="0" applyFont="1" applyAlignment="1" applyProtection="1">
      <alignment horizontal="center" wrapText="1"/>
      <protection hidden="1"/>
    </xf>
    <xf numFmtId="0" fontId="172" fillId="0" borderId="0" xfId="0" applyFont="1" applyAlignment="1" applyProtection="1">
      <alignment horizontal="center"/>
      <protection hidden="1"/>
    </xf>
    <xf numFmtId="2" fontId="173" fillId="0" borderId="0" xfId="0" applyNumberFormat="1" applyFont="1" applyAlignment="1" applyProtection="1">
      <alignment horizontal="left" vertical="top"/>
      <protection hidden="1"/>
    </xf>
    <xf numFmtId="49" fontId="165" fillId="8" borderId="0" xfId="0" applyNumberFormat="1" applyFont="1" applyFill="1" applyAlignment="1" applyProtection="1">
      <alignment vertical="top"/>
      <protection locked="0"/>
    </xf>
    <xf numFmtId="49" fontId="172" fillId="8" borderId="0" xfId="0" applyNumberFormat="1" applyFont="1" applyFill="1" applyAlignment="1" applyProtection="1">
      <alignment vertical="top"/>
      <protection locked="0"/>
    </xf>
    <xf numFmtId="2" fontId="179" fillId="5" borderId="0" xfId="0" applyNumberFormat="1" applyFont="1" applyFill="1" applyAlignment="1" applyProtection="1">
      <alignment horizontal="left" vertical="top"/>
      <protection hidden="1"/>
    </xf>
    <xf numFmtId="49" fontId="172" fillId="8" borderId="0" xfId="0" applyNumberFormat="1" applyFont="1" applyFill="1" applyAlignment="1" applyProtection="1">
      <alignment horizontal="left" vertical="top" wrapText="1"/>
      <protection locked="0"/>
    </xf>
    <xf numFmtId="0" fontId="172" fillId="0" borderId="0" xfId="0" applyFont="1" applyAlignment="1" applyProtection="1">
      <alignment horizontal="left" vertical="top" wrapText="1"/>
      <protection hidden="1"/>
    </xf>
    <xf numFmtId="0" fontId="173" fillId="0" borderId="0" xfId="0" applyFont="1" applyAlignment="1" applyProtection="1">
      <alignment horizontal="center"/>
      <protection hidden="1"/>
    </xf>
    <xf numFmtId="0" fontId="173" fillId="0" borderId="0" xfId="0" applyFont="1" applyAlignment="1" applyProtection="1">
      <alignment horizontal="left" vertical="top" wrapText="1"/>
      <protection hidden="1"/>
    </xf>
    <xf numFmtId="0" fontId="172" fillId="0" borderId="0" xfId="0" applyFont="1" applyAlignment="1" applyProtection="1">
      <alignment vertical="top" wrapText="1"/>
      <protection hidden="1"/>
    </xf>
    <xf numFmtId="0" fontId="172" fillId="0" borderId="0" xfId="0" applyFont="1" applyAlignment="1" applyProtection="1">
      <alignment horizontal="center" vertical="top" wrapText="1"/>
      <protection hidden="1"/>
    </xf>
    <xf numFmtId="0" fontId="172" fillId="0" borderId="0" xfId="0" applyFont="1" applyAlignment="1" applyProtection="1">
      <alignment horizontal="left" vertical="top"/>
      <protection hidden="1"/>
    </xf>
    <xf numFmtId="49" fontId="172" fillId="8" borderId="0" xfId="0" applyNumberFormat="1" applyFont="1" applyFill="1" applyAlignment="1" applyProtection="1">
      <alignment vertical="top" wrapText="1"/>
      <protection locked="0"/>
    </xf>
    <xf numFmtId="49" fontId="172" fillId="8" borderId="0" xfId="0" applyNumberFormat="1" applyFont="1" applyFill="1" applyAlignment="1" applyProtection="1">
      <alignment horizontal="left" vertical="top"/>
      <protection locked="0"/>
    </xf>
    <xf numFmtId="0" fontId="177" fillId="0" borderId="0" xfId="0" applyFont="1" applyAlignment="1" applyProtection="1">
      <alignment horizontal="center" vertical="center" wrapText="1"/>
      <protection hidden="1"/>
    </xf>
    <xf numFmtId="0" fontId="172" fillId="0" borderId="0" xfId="0" applyFont="1" applyFill="1" applyAlignment="1" applyProtection="1">
      <alignment vertical="top" wrapText="1"/>
      <protection hidden="1"/>
    </xf>
    <xf numFmtId="0" fontId="172" fillId="0" borderId="0" xfId="0" applyFont="1" applyFill="1" applyAlignment="1" applyProtection="1">
      <alignment vertical="top"/>
      <protection hidden="1"/>
    </xf>
    <xf numFmtId="49" fontId="165" fillId="8" borderId="0" xfId="0" applyNumberFormat="1" applyFont="1" applyFill="1" applyAlignment="1" applyProtection="1">
      <alignment vertical="top" wrapText="1"/>
      <protection locked="0"/>
    </xf>
    <xf numFmtId="0" fontId="88" fillId="0" borderId="0" xfId="0" applyFont="1"/>
    <xf numFmtId="0" fontId="79" fillId="0" borderId="0" xfId="0" applyFont="1"/>
    <xf numFmtId="0" fontId="88" fillId="0" borderId="0" xfId="0" applyFont="1" applyAlignment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10" fillId="0" borderId="0" xfId="0" quotePrefix="1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Alignment="1">
      <alignment horizontal="right" vertical="center"/>
    </xf>
    <xf numFmtId="0" fontId="88" fillId="0" borderId="0" xfId="0" applyFont="1" applyAlignment="1">
      <alignment horizontal="justify" vertical="justify" wrapText="1"/>
    </xf>
    <xf numFmtId="0" fontId="88" fillId="0" borderId="0" xfId="0" applyFont="1" applyAlignment="1">
      <alignment horizontal="justify" vertical="justify"/>
    </xf>
    <xf numFmtId="0" fontId="88" fillId="0" borderId="0" xfId="0" applyFont="1" applyAlignment="1">
      <alignment horizontal="left"/>
    </xf>
    <xf numFmtId="0" fontId="29" fillId="58" borderId="0" xfId="0" applyFont="1" applyFill="1" applyAlignment="1" applyProtection="1">
      <alignment horizontal="center" wrapText="1"/>
      <protection hidden="1"/>
    </xf>
    <xf numFmtId="0" fontId="8" fillId="57" borderId="0" xfId="0" applyFont="1" applyFill="1" applyAlignment="1" applyProtection="1">
      <alignment horizontal="center" wrapText="1"/>
      <protection locked="0" hidden="1"/>
    </xf>
    <xf numFmtId="0" fontId="8" fillId="21" borderId="0" xfId="0" applyFont="1" applyFill="1" applyAlignment="1" applyProtection="1">
      <alignment horizontal="center"/>
      <protection hidden="1"/>
    </xf>
    <xf numFmtId="0" fontId="8" fillId="21" borderId="0" xfId="0" applyFont="1" applyFill="1" applyAlignment="1" applyProtection="1">
      <alignment horizontal="justify" vertical="top" wrapText="1"/>
      <protection hidden="1"/>
    </xf>
    <xf numFmtId="0" fontId="8" fillId="21" borderId="0" xfId="0" applyFont="1" applyFill="1" applyAlignment="1" applyProtection="1">
      <alignment horizontal="justify" vertical="top"/>
      <protection hidden="1"/>
    </xf>
    <xf numFmtId="0" fontId="8" fillId="21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alignment horizontal="left" vertical="center"/>
      <protection locked="0" hidden="1"/>
    </xf>
    <xf numFmtId="0" fontId="0" fillId="5" borderId="0" xfId="0" applyFill="1" applyAlignment="1" applyProtection="1">
      <alignment horizontal="left" vertical="center"/>
      <protection locked="0" hidden="1"/>
    </xf>
    <xf numFmtId="0" fontId="0" fillId="21" borderId="0" xfId="0" applyFill="1" applyAlignment="1" applyProtection="1">
      <alignment horizontal="justify" vertical="top" wrapText="1"/>
      <protection hidden="1"/>
    </xf>
    <xf numFmtId="0" fontId="71" fillId="21" borderId="0" xfId="0" applyFont="1" applyFill="1" applyAlignment="1" applyProtection="1">
      <alignment horizontal="center" vertical="center" wrapText="1"/>
      <protection hidden="1"/>
    </xf>
    <xf numFmtId="0" fontId="8" fillId="21" borderId="0" xfId="0" applyFont="1" applyFill="1" applyAlignment="1" applyProtection="1">
      <alignment horizontal="left" vertical="top" wrapText="1"/>
      <protection hidden="1"/>
    </xf>
    <xf numFmtId="0" fontId="8" fillId="21" borderId="0" xfId="0" applyFont="1" applyFill="1" applyAlignment="1" applyProtection="1">
      <alignment vertical="top"/>
      <protection hidden="1"/>
    </xf>
    <xf numFmtId="0" fontId="0" fillId="21" borderId="0" xfId="0" applyFill="1" applyAlignment="1" applyProtection="1">
      <alignment vertical="top"/>
      <protection hidden="1"/>
    </xf>
    <xf numFmtId="0" fontId="72" fillId="21" borderId="0" xfId="0" applyFont="1" applyFill="1" applyAlignment="1" applyProtection="1">
      <alignment horizontal="center" vertical="center" wrapText="1"/>
      <protection hidden="1"/>
    </xf>
    <xf numFmtId="0" fontId="8" fillId="21" borderId="0" xfId="0" applyFont="1" applyFill="1" applyAlignment="1" applyProtection="1">
      <alignment horizontal="center" vertical="center"/>
      <protection hidden="1"/>
    </xf>
    <xf numFmtId="0" fontId="0" fillId="21" borderId="0" xfId="0" applyFill="1" applyAlignment="1" applyProtection="1">
      <alignment horizontal="left" vertical="top"/>
      <protection hidden="1"/>
    </xf>
  </cellXfs>
  <cellStyles count="66">
    <cellStyle name="20% - Accent1 2" xfId="22"/>
    <cellStyle name="20% - Accent2 2" xfId="23"/>
    <cellStyle name="20% - Accent3 2" xfId="6"/>
    <cellStyle name="20% - Accent4 2" xfId="24"/>
    <cellStyle name="20% - Accent5 2" xfId="25"/>
    <cellStyle name="20% - Accent6 2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60% - Accent1 2" xfId="33"/>
    <cellStyle name="60% - Accent2 2" xfId="34"/>
    <cellStyle name="60% - Accent3 2" xfId="35"/>
    <cellStyle name="60% - Accent4 2" xfId="36"/>
    <cellStyle name="60% - Accent5 2" xfId="37"/>
    <cellStyle name="60% - Accent6 2" xfId="38"/>
    <cellStyle name="Accent1 2" xfId="39"/>
    <cellStyle name="Accent2 2" xfId="40"/>
    <cellStyle name="Accent3 2" xfId="41"/>
    <cellStyle name="Accent4 2" xfId="42"/>
    <cellStyle name="Accent5 2" xfId="43"/>
    <cellStyle name="Accent6 2" xfId="44"/>
    <cellStyle name="Bad 2" xfId="45"/>
    <cellStyle name="Calculation 2" xfId="8"/>
    <cellStyle name="Check Cell 2" xfId="46"/>
    <cellStyle name="Comma 2" xfId="2"/>
    <cellStyle name="Comma 2 2" xfId="21"/>
    <cellStyle name="Comma 3" xfId="3"/>
    <cellStyle name="Currency 2" xfId="5"/>
    <cellStyle name="Currency 3" xfId="10"/>
    <cellStyle name="Explanatory Text 2" xfId="47"/>
    <cellStyle name="Good 2" xfId="48"/>
    <cellStyle name="GreyOrWhite" xfId="49"/>
    <cellStyle name="Heading 1 2" xfId="50"/>
    <cellStyle name="Heading 2 2" xfId="51"/>
    <cellStyle name="Heading 3 2" xfId="52"/>
    <cellStyle name="Heading 4 2" xfId="53"/>
    <cellStyle name="Hyperlink" xfId="1" builtinId="8"/>
    <cellStyle name="Input 2" xfId="7"/>
    <cellStyle name="Linked Cell 2" xfId="54"/>
    <cellStyle name="Neutral 2" xfId="55"/>
    <cellStyle name="Normal" xfId="0" builtinId="0"/>
    <cellStyle name="Normal 10" xfId="20"/>
    <cellStyle name="Normal 11" xfId="63"/>
    <cellStyle name="Normal 2" xfId="4"/>
    <cellStyle name="Normal 2 2" xfId="13"/>
    <cellStyle name="Normal 3" xfId="9"/>
    <cellStyle name="Normal 3 2" xfId="56"/>
    <cellStyle name="Normal 4" xfId="11"/>
    <cellStyle name="Normal 4 2" xfId="19"/>
    <cellStyle name="Normal 5" xfId="12"/>
    <cellStyle name="Normal 5 2" xfId="17"/>
    <cellStyle name="Normal 5 3" xfId="64"/>
    <cellStyle name="Normal 6" xfId="14"/>
    <cellStyle name="Normal 7" xfId="15"/>
    <cellStyle name="Normal 8" xfId="16"/>
    <cellStyle name="Normal 9" xfId="18"/>
    <cellStyle name="Normal 9 2" xfId="65"/>
    <cellStyle name="Note 2" xfId="57"/>
    <cellStyle name="Output 2" xfId="58"/>
    <cellStyle name="Title 2" xfId="59"/>
    <cellStyle name="Total 2" xfId="60"/>
    <cellStyle name="Warning Text 2" xfId="61"/>
    <cellStyle name="Yellow" xfId="62"/>
  </cellStyles>
  <dxfs count="75"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1A0AE6"/>
      </font>
      <fill>
        <patternFill>
          <bgColor theme="0"/>
        </patternFill>
      </fill>
    </dxf>
    <dxf>
      <font>
        <color theme="0"/>
      </font>
    </dxf>
    <dxf>
      <font>
        <color auto="1"/>
      </font>
    </dxf>
    <dxf>
      <font>
        <color auto="1"/>
      </font>
      <fill>
        <patternFill>
          <b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color auto="1"/>
      </font>
    </dxf>
    <dxf>
      <font>
        <color auto="1"/>
      </font>
    </dxf>
    <dxf>
      <font>
        <b/>
        <i val="0"/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1A0AE6"/>
      <color rgb="FF66FF33"/>
      <color rgb="FF080808"/>
      <color rgb="FFFFFFFF"/>
      <color rgb="FF993300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0" fmlaLink="$BY$26" fmlaRange="$BZ$27:$BZ$29" noThreeD="1" sel="2" val="0"/>
</file>

<file path=xl/ctrlProps/ctrlProp2.xml><?xml version="1.0" encoding="utf-8"?>
<formControlPr xmlns="http://schemas.microsoft.com/office/spreadsheetml/2009/9/main" objectType="Drop" dropStyle="combo" dx="20" fmlaLink="$CA$26" fmlaRange="$CA$27:$CA$28" noThreeD="1" val="0"/>
</file>

<file path=xl/ctrlProps/ctrlProp3.xml><?xml version="1.0" encoding="utf-8"?>
<formControlPr xmlns="http://schemas.microsoft.com/office/spreadsheetml/2009/9/main" objectType="Drop" dropStyle="combo" dx="20" fmlaLink="$BY$25" fmlaRange="$BZ$27:$BZ$29" noThreeD="1" sel="2" val="0"/>
</file>

<file path=xl/ctrlProps/ctrlProp4.xml><?xml version="1.0" encoding="utf-8"?>
<formControlPr xmlns="http://schemas.microsoft.com/office/spreadsheetml/2009/9/main" objectType="Drop" dropStyle="combo" dx="20" fmlaLink="$J$144" fmlaRange="$BJ$4:$BJ$34" noThreeD="1" val="0"/>
</file>

<file path=xl/ctrlProps/ctrlProp5.xml><?xml version="1.0" encoding="utf-8"?>
<formControlPr xmlns="http://schemas.microsoft.com/office/spreadsheetml/2009/9/main" objectType="Drop" dropLines="12" dropStyle="combo" dx="20" fmlaLink="$J$143" fmlaRange="$BJ$4:$BJ$15" noThreeD="1" sel="10" val="0"/>
</file>

<file path=xl/ctrlProps/ctrlProp6.xml><?xml version="1.0" encoding="utf-8"?>
<formControlPr xmlns="http://schemas.microsoft.com/office/spreadsheetml/2009/9/main" objectType="Drop" dropStyle="combo" dx="20" fmlaLink="$J$141" fmlaRange="$BV$4:$BV$109" noThreeD="1" sel="77" val="7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ibknellore.blogspo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services.tin.nsdl.com/TIN/JSP/etbaf/ViewBIN.j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167986</xdr:colOff>
      <xdr:row>30</xdr:row>
      <xdr:rowOff>31173</xdr:rowOff>
    </xdr:from>
    <xdr:ext cx="3590925" cy="1809750"/>
    <xdr:sp macro="" textlink="">
      <xdr:nvSpPr>
        <xdr:cNvPr id="4" name="Rectangle 3">
          <a:hlinkClick xmlns:r="http://schemas.openxmlformats.org/officeDocument/2006/relationships" r:id="rId1"/>
        </xdr:cNvPr>
        <xdr:cNvSpPr/>
      </xdr:nvSpPr>
      <xdr:spPr>
        <a:xfrm>
          <a:off x="10957213" y="8716241"/>
          <a:ext cx="3590925" cy="18097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n-US" sz="1600" b="1" cap="none" spc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Programmed By</a:t>
          </a:r>
        </a:p>
        <a:p>
          <a:pPr algn="l"/>
          <a:r>
            <a:rPr lang="en-US" sz="1600" b="1" cap="none" spc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I.BALAKRISHNAIAH,</a:t>
          </a:r>
        </a:p>
        <a:p>
          <a:pPr algn="l"/>
          <a:r>
            <a:rPr lang="en-US" sz="1600" b="1" cap="none" spc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S.A</a:t>
          </a:r>
          <a:r>
            <a:rPr lang="en-US" sz="1600" b="1" cap="none" spc="0" baseline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(Mathematics),</a:t>
          </a:r>
        </a:p>
        <a:p>
          <a:pPr algn="l"/>
          <a:r>
            <a:rPr lang="en-US" sz="1600" b="1" cap="none" spc="0" baseline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GMHS Nellore.</a:t>
          </a:r>
        </a:p>
        <a:p>
          <a:pPr algn="l"/>
          <a:r>
            <a:rPr lang="en-US" sz="1600" b="1" cap="none" spc="0" baseline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Blog: http://ibknellore.blogspot.com</a:t>
          </a:r>
          <a:endParaRPr lang="en-US" sz="1600" b="1" cap="none" spc="0">
            <a:ln w="1905"/>
            <a:solidFill>
              <a:sysClr val="windowText" lastClr="000000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  <a:p>
          <a:pPr algn="l"/>
          <a:r>
            <a:rPr lang="en-US" sz="1600" b="1" cap="none" spc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Email:ibknellore@hotmail.com.</a:t>
          </a:r>
        </a:p>
        <a:p>
          <a:pPr algn="l"/>
          <a:r>
            <a:rPr lang="en-US" sz="1600" b="1" cap="none" spc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9492268881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20</xdr:row>
          <xdr:rowOff>9525</xdr:rowOff>
        </xdr:from>
        <xdr:to>
          <xdr:col>1</xdr:col>
          <xdr:colOff>1343025</xdr:colOff>
          <xdr:row>20</xdr:row>
          <xdr:rowOff>257175</xdr:rowOff>
        </xdr:to>
        <xdr:sp macro="" textlink="">
          <xdr:nvSpPr>
            <xdr:cNvPr id="19460" name="Drop Down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12</xdr:row>
          <xdr:rowOff>0</xdr:rowOff>
        </xdr:from>
        <xdr:to>
          <xdr:col>3</xdr:col>
          <xdr:colOff>971550</xdr:colOff>
          <xdr:row>12</xdr:row>
          <xdr:rowOff>238125</xdr:rowOff>
        </xdr:to>
        <xdr:sp macro="" textlink="">
          <xdr:nvSpPr>
            <xdr:cNvPr id="19462" name="Drop Down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876300</xdr:colOff>
          <xdr:row>3</xdr:row>
          <xdr:rowOff>0</xdr:rowOff>
        </xdr:from>
        <xdr:to>
          <xdr:col>1</xdr:col>
          <xdr:colOff>1381125</xdr:colOff>
          <xdr:row>3</xdr:row>
          <xdr:rowOff>200025</xdr:rowOff>
        </xdr:to>
        <xdr:sp macro="" textlink="">
          <xdr:nvSpPr>
            <xdr:cNvPr id="19493" name="Drop Down 37" hidden="1">
              <a:extLst>
                <a:ext uri="{63B3BB69-23CF-44E3-9099-C40C66FF867C}">
                  <a14:compatExt spid="_x0000_s19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1190625</xdr:colOff>
          <xdr:row>8</xdr:row>
          <xdr:rowOff>38100</xdr:rowOff>
        </xdr:from>
        <xdr:to>
          <xdr:col>2</xdr:col>
          <xdr:colOff>47625</xdr:colOff>
          <xdr:row>8</xdr:row>
          <xdr:rowOff>238125</xdr:rowOff>
        </xdr:to>
        <xdr:sp macro="" textlink="">
          <xdr:nvSpPr>
            <xdr:cNvPr id="19577" name="Drop Down 121" hidden="1">
              <a:extLst>
                <a:ext uri="{63B3BB69-23CF-44E3-9099-C40C66FF867C}">
                  <a14:compatExt spid="_x0000_s19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8</xdr:row>
          <xdr:rowOff>28575</xdr:rowOff>
        </xdr:from>
        <xdr:to>
          <xdr:col>3</xdr:col>
          <xdr:colOff>333375</xdr:colOff>
          <xdr:row>8</xdr:row>
          <xdr:rowOff>228600</xdr:rowOff>
        </xdr:to>
        <xdr:sp macro="" textlink="">
          <xdr:nvSpPr>
            <xdr:cNvPr id="19578" name="Drop Down 122" hidden="1">
              <a:extLst>
                <a:ext uri="{63B3BB69-23CF-44E3-9099-C40C66FF867C}">
                  <a14:compatExt spid="_x0000_s19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8</xdr:row>
          <xdr:rowOff>19050</xdr:rowOff>
        </xdr:from>
        <xdr:to>
          <xdr:col>4</xdr:col>
          <xdr:colOff>9525</xdr:colOff>
          <xdr:row>8</xdr:row>
          <xdr:rowOff>219075</xdr:rowOff>
        </xdr:to>
        <xdr:sp macro="" textlink="">
          <xdr:nvSpPr>
            <xdr:cNvPr id="19579" name="Drop Down 123" hidden="1">
              <a:extLst>
                <a:ext uri="{63B3BB69-23CF-44E3-9099-C40C66FF867C}">
                  <a14:compatExt spid="_x0000_s19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13</xdr:row>
      <xdr:rowOff>200025</xdr:rowOff>
    </xdr:from>
    <xdr:to>
      <xdr:col>11</xdr:col>
      <xdr:colOff>47625</xdr:colOff>
      <xdr:row>18</xdr:row>
      <xdr:rowOff>333375</xdr:rowOff>
    </xdr:to>
    <xdr:sp macro="" textlink="">
      <xdr:nvSpPr>
        <xdr:cNvPr id="2" name="Rectangle 1"/>
        <xdr:cNvSpPr/>
      </xdr:nvSpPr>
      <xdr:spPr>
        <a:xfrm>
          <a:off x="8505825" y="5200650"/>
          <a:ext cx="2400300" cy="18669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>
              <a:solidFill>
                <a:srgbClr val="FFFFFF"/>
              </a:solidFill>
            </a:rPr>
            <a:t>Any</a:t>
          </a:r>
          <a:r>
            <a:rPr lang="en-US" sz="1600" b="1" baseline="0">
              <a:solidFill>
                <a:srgbClr val="FFFFFF"/>
              </a:solidFill>
            </a:rPr>
            <a:t> Basic Pay Changes in the Statement Form  Change this Column then after automatically Changed  using theRange Password is 123</a:t>
          </a:r>
          <a:endParaRPr lang="en-US" sz="1600" b="1">
            <a:solidFill>
              <a:srgbClr val="FFFFFF"/>
            </a:solidFill>
          </a:endParaRPr>
        </a:p>
      </xdr:txBody>
    </xdr:sp>
    <xdr:clientData/>
  </xdr:twoCellAnchor>
  <xdr:twoCellAnchor>
    <xdr:from>
      <xdr:col>2</xdr:col>
      <xdr:colOff>561975</xdr:colOff>
      <xdr:row>1</xdr:row>
      <xdr:rowOff>923925</xdr:rowOff>
    </xdr:from>
    <xdr:to>
      <xdr:col>8</xdr:col>
      <xdr:colOff>104775</xdr:colOff>
      <xdr:row>13</xdr:row>
      <xdr:rowOff>247650</xdr:rowOff>
    </xdr:to>
    <xdr:cxnSp macro="">
      <xdr:nvCxnSpPr>
        <xdr:cNvPr id="4" name="Straight Arrow Connector 3"/>
        <xdr:cNvCxnSpPr/>
      </xdr:nvCxnSpPr>
      <xdr:spPr>
        <a:xfrm>
          <a:off x="1295400" y="1419225"/>
          <a:ext cx="7277100" cy="382905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161926</xdr:colOff>
      <xdr:row>0</xdr:row>
      <xdr:rowOff>28575</xdr:rowOff>
    </xdr:from>
    <xdr:to>
      <xdr:col>10</xdr:col>
      <xdr:colOff>466725</xdr:colOff>
      <xdr:row>1</xdr:row>
      <xdr:rowOff>942975</xdr:rowOff>
    </xdr:to>
    <xdr:sp macro="" textlink="">
      <xdr:nvSpPr>
        <xdr:cNvPr id="13" name="Round Same Side Corner Rectangle 12">
          <a:hlinkClick xmlns:r="http://schemas.openxmlformats.org/officeDocument/2006/relationships" r:id="rId1"/>
        </xdr:cNvPr>
        <xdr:cNvSpPr/>
      </xdr:nvSpPr>
      <xdr:spPr>
        <a:xfrm>
          <a:off x="8629651" y="28575"/>
          <a:ext cx="2085974" cy="1409700"/>
        </a:xfrm>
        <a:prstGeom prst="round2Same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CLICK</a:t>
          </a:r>
          <a:r>
            <a:rPr lang="en-US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BIN DETAILS THRIUGH  ONLINE </a:t>
          </a:r>
        </a:p>
        <a:p>
          <a:pPr algn="ctr"/>
          <a:r>
            <a:rPr lang="en-US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THE  DETAILS  FILL  IN "  E, F, G " COLUMNS  ONLY</a:t>
          </a:r>
          <a:endParaRPr lang="en-US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4</xdr:col>
      <xdr:colOff>428731</xdr:colOff>
      <xdr:row>0</xdr:row>
      <xdr:rowOff>65822</xdr:rowOff>
    </xdr:from>
    <xdr:to>
      <xdr:col>6</xdr:col>
      <xdr:colOff>361949</xdr:colOff>
      <xdr:row>1</xdr:row>
      <xdr:rowOff>171450</xdr:rowOff>
    </xdr:to>
    <xdr:sp macro="" textlink="">
      <xdr:nvSpPr>
        <xdr:cNvPr id="16" name="Right Brace 15"/>
        <xdr:cNvSpPr/>
      </xdr:nvSpPr>
      <xdr:spPr>
        <a:xfrm rot="5400000" flipH="1">
          <a:off x="4271589" y="-900486"/>
          <a:ext cx="600928" cy="2533543"/>
        </a:xfrm>
        <a:prstGeom prst="rightBrace">
          <a:avLst>
            <a:gd name="adj1" fmla="val 8333"/>
            <a:gd name="adj2" fmla="val 50000"/>
          </a:avLst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628703</xdr:colOff>
      <xdr:row>0</xdr:row>
      <xdr:rowOff>103922</xdr:rowOff>
    </xdr:from>
    <xdr:to>
      <xdr:col>8</xdr:col>
      <xdr:colOff>152400</xdr:colOff>
      <xdr:row>0</xdr:row>
      <xdr:rowOff>342900</xdr:rowOff>
    </xdr:to>
    <xdr:cxnSp macro="">
      <xdr:nvCxnSpPr>
        <xdr:cNvPr id="18" name="Straight Arrow Connector 17"/>
        <xdr:cNvCxnSpPr/>
      </xdr:nvCxnSpPr>
      <xdr:spPr>
        <a:xfrm>
          <a:off x="4724453" y="103922"/>
          <a:ext cx="3895672" cy="238978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571500</xdr:colOff>
      <xdr:row>0</xdr:row>
      <xdr:rowOff>0</xdr:rowOff>
    </xdr:from>
    <xdr:to>
      <xdr:col>26</xdr:col>
      <xdr:colOff>1209676</xdr:colOff>
      <xdr:row>2</xdr:row>
      <xdr:rowOff>257173</xdr:rowOff>
    </xdr:to>
    <xdr:cxnSp macro="">
      <xdr:nvCxnSpPr>
        <xdr:cNvPr id="3" name="Straight Arrow Connector 2"/>
        <xdr:cNvCxnSpPr/>
      </xdr:nvCxnSpPr>
      <xdr:spPr>
        <a:xfrm flipH="1">
          <a:off x="12325350" y="0"/>
          <a:ext cx="1847851" cy="1000123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144780</xdr:colOff>
      <xdr:row>4</xdr:row>
      <xdr:rowOff>106680</xdr:rowOff>
    </xdr:from>
    <xdr:to>
      <xdr:col>11</xdr:col>
      <xdr:colOff>243840</xdr:colOff>
      <xdr:row>7</xdr:row>
      <xdr:rowOff>53340</xdr:rowOff>
    </xdr:to>
    <xdr:sp macro="" textlink="">
      <xdr:nvSpPr>
        <xdr:cNvPr id="2" name="Rectangle 1"/>
        <xdr:cNvSpPr/>
      </xdr:nvSpPr>
      <xdr:spPr>
        <a:xfrm>
          <a:off x="3093720" y="1973580"/>
          <a:ext cx="754380" cy="85344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Affix Rs:1/-Revenue Stamp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4</xdr:row>
      <xdr:rowOff>238125</xdr:rowOff>
    </xdr:from>
    <xdr:to>
      <xdr:col>9</xdr:col>
      <xdr:colOff>171450</xdr:colOff>
      <xdr:row>19</xdr:row>
      <xdr:rowOff>19050</xdr:rowOff>
    </xdr:to>
    <xdr:sp macro="" textlink="">
      <xdr:nvSpPr>
        <xdr:cNvPr id="2" name="Right Brace 1"/>
        <xdr:cNvSpPr/>
      </xdr:nvSpPr>
      <xdr:spPr>
        <a:xfrm>
          <a:off x="6972300" y="1714500"/>
          <a:ext cx="1295400" cy="44291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oneCellAnchor>
    <xdr:from>
      <xdr:col>9</xdr:col>
      <xdr:colOff>219075</xdr:colOff>
      <xdr:row>11</xdr:row>
      <xdr:rowOff>142875</xdr:rowOff>
    </xdr:from>
    <xdr:ext cx="1104900" cy="1181100"/>
    <xdr:sp macro="" textlink="">
      <xdr:nvSpPr>
        <xdr:cNvPr id="3" name="TextBox 2"/>
        <xdr:cNvSpPr txBox="1"/>
      </xdr:nvSpPr>
      <xdr:spPr>
        <a:xfrm>
          <a:off x="8315325" y="3371850"/>
          <a:ext cx="1104900" cy="1181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Fill The Information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2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printerSettings" Target="../printerSettings/printerSettings3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1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comments" Target="../comments4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vmlDrawing" Target="../drawings/vmlDrawing4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2.75"/>
  <cols>
    <col min="1" max="1" width="159.28515625" customWidth="1"/>
  </cols>
  <sheetData>
    <row r="1" spans="1:1" ht="33.75">
      <c r="A1" s="942" t="s">
        <v>1956</v>
      </c>
    </row>
    <row r="2" spans="1:1" ht="20.25" customHeight="1">
      <c r="A2" s="943"/>
    </row>
    <row r="3" spans="1:1" ht="108" hidden="1" customHeight="1">
      <c r="A3" s="944" t="s">
        <v>1957</v>
      </c>
    </row>
    <row r="4" spans="1:1" ht="96" hidden="1" customHeight="1">
      <c r="A4" s="944" t="s">
        <v>1959</v>
      </c>
    </row>
    <row r="5" spans="1:1" ht="147.75" hidden="1" customHeight="1">
      <c r="A5" s="944" t="s">
        <v>1961</v>
      </c>
    </row>
    <row r="6" spans="1:1" ht="138" hidden="1" customHeight="1">
      <c r="A6" s="944" t="s">
        <v>1958</v>
      </c>
    </row>
    <row r="7" spans="1:1" ht="33.75" hidden="1">
      <c r="A7" s="944" t="s">
        <v>1960</v>
      </c>
    </row>
    <row r="8" spans="1:1" ht="111" hidden="1" customHeight="1">
      <c r="A8" s="944" t="s">
        <v>1962</v>
      </c>
    </row>
    <row r="9" spans="1:1" ht="67.5" hidden="1">
      <c r="A9" s="945" t="s">
        <v>1966</v>
      </c>
    </row>
    <row r="10" spans="1:1" ht="67.5" hidden="1">
      <c r="A10" s="945" t="s">
        <v>1965</v>
      </c>
    </row>
    <row r="11" spans="1:1" ht="54.75" hidden="1" customHeight="1">
      <c r="A11" s="944" t="s">
        <v>1963</v>
      </c>
    </row>
    <row r="12" spans="1:1" ht="100.5" customHeight="1">
      <c r="A12" s="945" t="s">
        <v>1964</v>
      </c>
    </row>
    <row r="13" spans="1:1" ht="28.5" customHeight="1">
      <c r="A13" s="946" t="s">
        <v>1967</v>
      </c>
    </row>
    <row r="14" spans="1:1">
      <c r="A14" s="939"/>
    </row>
    <row r="15" spans="1:1">
      <c r="A15" s="939"/>
    </row>
    <row r="16" spans="1:1">
      <c r="A16" s="939"/>
    </row>
    <row r="17" spans="1:1">
      <c r="A17" s="939"/>
    </row>
    <row r="18" spans="1:1">
      <c r="A18" s="93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13"/>
  <sheetViews>
    <sheetView topLeftCell="A10" zoomScaleSheetLayoutView="100" workbookViewId="0">
      <selection activeCell="V9" sqref="V9"/>
    </sheetView>
  </sheetViews>
  <sheetFormatPr defaultColWidth="8.85546875" defaultRowHeight="12.75"/>
  <cols>
    <col min="1" max="18" width="4.7109375" style="14" customWidth="1"/>
    <col min="19" max="19" width="6" style="14" customWidth="1"/>
    <col min="20" max="20" width="8.85546875" style="14"/>
    <col min="21" max="21" width="12.42578125" style="14" customWidth="1"/>
    <col min="22" max="22" width="27.5703125" style="14" customWidth="1"/>
    <col min="23" max="16384" width="8.85546875" style="14"/>
  </cols>
  <sheetData>
    <row r="1" spans="1:24" ht="21" thickTop="1">
      <c r="A1" s="1433" t="s">
        <v>1437</v>
      </c>
      <c r="B1" s="1434"/>
      <c r="C1" s="1434"/>
      <c r="D1" s="1434"/>
      <c r="E1" s="1434"/>
      <c r="F1" s="1434"/>
      <c r="G1" s="1434"/>
      <c r="H1" s="1434"/>
      <c r="I1" s="1434"/>
      <c r="J1" s="1434"/>
      <c r="K1" s="1434"/>
      <c r="L1" s="1434"/>
      <c r="M1" s="1434"/>
      <c r="N1" s="1434"/>
      <c r="O1" s="1434"/>
      <c r="P1" s="1434"/>
      <c r="Q1" s="1434"/>
      <c r="R1" s="1434"/>
      <c r="S1" s="1435"/>
    </row>
    <row r="2" spans="1:24" ht="18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</row>
    <row r="3" spans="1:24" ht="188.25" customHeight="1">
      <c r="A3" s="1436" t="str">
        <f>CONCATENATE("                Received a sum of Rs: ",Main!S284, " /-  ( ", UPPER(Main!T284), " RUPEES ONLY ) ", IF('Rent Receipt'!V5&gt;0,CONCATENATE('Rent Receipt'!U5,": ",'Rent Receipt'!V5," ",'Rent Receipt'!U6,": ",'Rent Receipt'!V6)," Amount ")," being  the  rent Rs: ", SB!E22," /- per month for  the  period  of ",TEXT(Main!BY3,"MMMM-YYYY"), " to ", TEXT(Main!BY14,"MMMM-YYYY")," from ", Main!BZ25," in  respect  of ", Main!B15, " ",Main!C15,", ",Main!C16,", ",Main!C17,", ",Main!C19, " Mandal , ",Main!C18," District Pin Code : ",Main!C20)</f>
        <v xml:space="preserve">                Received a sum of Rs: 99600 /-  ( NINTY NINE THOUSAND AND SIX HUNDRED   RUPEES ONLY )  Amount  being  the  rent Rs: 8300 /- per month for  the  period  of March-2015 to February-2016 from Smt: ANURADHA KORA in  respect  of House No: __________________, _______________ ________________________________ ___________________, ____________________, Nellore Mandal , Sri Pottisreeramulu Nellore District Pin Code : </v>
      </c>
      <c r="B3" s="1437"/>
      <c r="C3" s="1437"/>
      <c r="D3" s="1437"/>
      <c r="E3" s="1437"/>
      <c r="F3" s="1437"/>
      <c r="G3" s="1437"/>
      <c r="H3" s="1437"/>
      <c r="I3" s="1437"/>
      <c r="J3" s="1437"/>
      <c r="K3" s="1437"/>
      <c r="L3" s="1437"/>
      <c r="M3" s="1437"/>
      <c r="N3" s="1437"/>
      <c r="O3" s="1437"/>
      <c r="P3" s="1437"/>
      <c r="Q3" s="1437"/>
      <c r="R3" s="1437"/>
      <c r="S3" s="1438"/>
    </row>
    <row r="4" spans="1:24" ht="46.5" customHeight="1">
      <c r="A4" s="423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5"/>
    </row>
    <row r="5" spans="1:24" ht="18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/>
      <c r="T5" s="15"/>
      <c r="U5" s="16" t="s">
        <v>1440</v>
      </c>
      <c r="V5" s="644"/>
    </row>
    <row r="6" spans="1:24" ht="18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3"/>
      <c r="N6" s="3"/>
      <c r="O6" s="19"/>
      <c r="P6" s="19"/>
      <c r="Q6" s="19"/>
      <c r="R6" s="19"/>
      <c r="S6" s="20"/>
      <c r="T6" s="15"/>
      <c r="U6" s="16" t="s">
        <v>34</v>
      </c>
      <c r="V6" s="645"/>
    </row>
    <row r="7" spans="1:24" ht="38.450000000000003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3"/>
      <c r="N7" s="3"/>
      <c r="O7" s="19"/>
      <c r="P7" s="19"/>
      <c r="Q7" s="19"/>
      <c r="R7" s="19"/>
      <c r="S7" s="20"/>
      <c r="T7" s="15"/>
      <c r="U7" s="16" t="s">
        <v>1441</v>
      </c>
      <c r="V7" s="646" t="s">
        <v>1869</v>
      </c>
    </row>
    <row r="8" spans="1:24" ht="18">
      <c r="A8" s="21" t="s">
        <v>1426</v>
      </c>
      <c r="B8" s="22"/>
      <c r="C8" s="1431" t="str">
        <f>V8</f>
        <v>12/02/2016</v>
      </c>
      <c r="D8" s="1431"/>
      <c r="E8" s="1431"/>
      <c r="F8" s="1431"/>
      <c r="G8" s="22"/>
      <c r="H8" s="24"/>
      <c r="I8" s="24"/>
      <c r="J8" s="22" t="s">
        <v>1438</v>
      </c>
      <c r="K8" s="22"/>
      <c r="L8" s="22"/>
      <c r="M8" s="3"/>
      <c r="N8" s="3"/>
      <c r="O8" s="3"/>
      <c r="P8" s="3"/>
      <c r="Q8" s="3"/>
      <c r="R8" s="3"/>
      <c r="S8" s="25"/>
      <c r="T8" s="15"/>
      <c r="U8" s="17" t="s">
        <v>1442</v>
      </c>
      <c r="V8" s="647" t="s">
        <v>1950</v>
      </c>
    </row>
    <row r="9" spans="1:24" ht="18">
      <c r="A9" s="21" t="s">
        <v>30</v>
      </c>
      <c r="B9" s="22"/>
      <c r="C9" s="1432" t="str">
        <f>PROPER(Main!C17)</f>
        <v>____________________</v>
      </c>
      <c r="D9" s="1432"/>
      <c r="E9" s="1432"/>
      <c r="F9" s="1432"/>
      <c r="G9" s="1432"/>
      <c r="H9" s="1432"/>
      <c r="I9" s="24"/>
      <c r="J9" s="8" t="s">
        <v>1439</v>
      </c>
      <c r="K9" s="22"/>
      <c r="L9" s="22"/>
      <c r="M9" s="3"/>
      <c r="N9" s="3"/>
      <c r="O9" s="3"/>
      <c r="P9" s="3"/>
      <c r="Q9" s="3"/>
      <c r="R9" s="3"/>
      <c r="S9" s="25"/>
      <c r="T9" s="15"/>
      <c r="U9" s="17" t="s">
        <v>1340</v>
      </c>
      <c r="V9" s="648" t="s">
        <v>1868</v>
      </c>
    </row>
    <row r="10" spans="1:24" ht="18">
      <c r="A10" s="26"/>
      <c r="B10" s="24"/>
      <c r="C10" s="1432"/>
      <c r="D10" s="1432"/>
      <c r="E10" s="1432"/>
      <c r="F10" s="1432"/>
      <c r="G10" s="1432"/>
      <c r="H10" s="1432"/>
      <c r="I10" s="24"/>
      <c r="J10" s="22" t="str">
        <f>CONCATENATE("Full Name: ",UPPER(V7))</f>
        <v>Full Name: ___________________</v>
      </c>
      <c r="K10" s="22"/>
      <c r="L10" s="22"/>
      <c r="M10" s="3"/>
      <c r="N10" s="3"/>
      <c r="O10" s="27"/>
      <c r="P10" s="27"/>
      <c r="Q10" s="27"/>
      <c r="R10" s="27"/>
      <c r="S10" s="28"/>
    </row>
    <row r="11" spans="1:24" ht="18">
      <c r="A11" s="26"/>
      <c r="B11" s="24"/>
      <c r="C11" s="1432"/>
      <c r="D11" s="1432"/>
      <c r="E11" s="1432"/>
      <c r="F11" s="1432"/>
      <c r="G11" s="1432"/>
      <c r="H11" s="1432"/>
      <c r="I11" s="24"/>
      <c r="J11" s="1439" t="str">
        <f>IF(SB!F22&gt;100000,CONCATENATE("PAN: ",V9),"")</f>
        <v/>
      </c>
      <c r="K11" s="1439"/>
      <c r="L11" s="1439"/>
      <c r="M11" s="1439"/>
      <c r="N11" s="1439"/>
      <c r="O11" s="1439"/>
      <c r="P11" s="1439"/>
      <c r="Q11" s="3"/>
      <c r="R11" s="3"/>
      <c r="S11" s="25"/>
    </row>
    <row r="12" spans="1:24" ht="48" customHeight="1" thickBo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1"/>
      <c r="M12" s="31"/>
      <c r="N12" s="31"/>
      <c r="O12" s="31"/>
      <c r="P12" s="31"/>
      <c r="Q12" s="31"/>
      <c r="R12" s="31"/>
      <c r="S12" s="32"/>
      <c r="T12" s="19"/>
      <c r="U12" s="19"/>
      <c r="V12" s="19"/>
      <c r="W12" s="19"/>
      <c r="X12" s="19"/>
    </row>
    <row r="13" spans="1:24" ht="13.5" thickTop="1"/>
  </sheetData>
  <sheetProtection password="F90B" sheet="1" objects="1" scenarios="1" selectLockedCells="1"/>
  <protectedRanges>
    <protectedRange sqref="C8:F9" name="Range8"/>
    <protectedRange sqref="K3:K4" name="Range2"/>
    <protectedRange sqref="O10" name="Range7"/>
  </protectedRanges>
  <customSheetViews>
    <customSheetView guid="{AF8DD0C3-82AF-40F4-9518-B58C2E7D25DB}" showPageBreaks="1" printArea="1" view="pageBreakPreview">
      <selection activeCell="V3" sqref="V3"/>
      <pageMargins left="0.511811023622047" right="0.511811023622047" top="0.74803149606299202" bottom="0.74803149606299202" header="0.31496062992126" footer="0.31496062992126"/>
      <printOptions horizontalCentered="1"/>
      <pageSetup paperSize="9" orientation="portrait" r:id="rId1"/>
    </customSheetView>
    <customSheetView guid="{42E2D281-D8CE-4199-94CF-E6DFE3EDCACD}" topLeftCell="A25">
      <selection activeCell="A27" sqref="A27:S27"/>
      <pageMargins left="0.51181102362204722" right="0.51181102362204722" top="0.74803149606299213" bottom="0.74803149606299213" header="0.31496062992125984" footer="0.31496062992125984"/>
      <printOptions horizontalCentered="1"/>
      <pageSetup paperSize="5" orientation="portrait" r:id="rId2"/>
    </customSheetView>
    <customSheetView guid="{79BDAD5E-470D-413B-AE3A-BBB122EFD8E5}">
      <selection activeCell="V2" sqref="V2"/>
      <pageMargins left="0.511811023622047" right="0.511811023622047" top="0.74803149606299202" bottom="0.74803149606299202" header="0.31496062992126" footer="0.31496062992126"/>
      <printOptions horizontalCentered="1"/>
      <pageSetup paperSize="9" orientation="portrait" r:id="rId3"/>
    </customSheetView>
  </customSheetViews>
  <mergeCells count="5">
    <mergeCell ref="C8:F8"/>
    <mergeCell ref="C9:H11"/>
    <mergeCell ref="A1:S1"/>
    <mergeCell ref="A3:S3"/>
    <mergeCell ref="J11:P11"/>
  </mergeCells>
  <conditionalFormatting sqref="A1:XFD10 A12:XFD1048576 A11:J11 Q11:XFD11">
    <cfRule type="cellIs" dxfId="2" priority="3" operator="equal">
      <formula>0</formula>
    </cfRule>
  </conditionalFormatting>
  <conditionalFormatting sqref="A1:S10 A12:S12 A11:J11 Q11:S11">
    <cfRule type="cellIs" dxfId="1" priority="2" operator="equal">
      <formula>0</formula>
    </cfRule>
  </conditionalFormatting>
  <conditionalFormatting sqref="V5:V6">
    <cfRule type="cellIs" dxfId="0" priority="1" operator="equal">
      <formula>0</formula>
    </cfRule>
  </conditionalFormatting>
  <printOptions horizontalCentered="1"/>
  <pageMargins left="0.511811023622047" right="0.511811023622047" top="0.74803149606299202" bottom="0.74803149606299202" header="0.31496062992126" footer="0.31496062992126"/>
  <pageSetup paperSize="9"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E24" sqref="E24"/>
    </sheetView>
  </sheetViews>
  <sheetFormatPr defaultRowHeight="16.5"/>
  <cols>
    <col min="1" max="1" width="5.7109375" style="676" customWidth="1"/>
    <col min="2" max="2" width="3" style="673" customWidth="1"/>
    <col min="3" max="3" width="42.7109375" style="681" customWidth="1"/>
    <col min="4" max="4" width="4.5703125" style="673" customWidth="1"/>
    <col min="5" max="5" width="23.42578125" style="673" customWidth="1"/>
    <col min="6" max="6" width="4.28515625" style="673" customWidth="1"/>
    <col min="7" max="7" width="22.85546875" style="673" customWidth="1"/>
    <col min="8" max="8" width="8.42578125" style="673" customWidth="1"/>
    <col min="9" max="16384" width="9.140625" style="673"/>
  </cols>
  <sheetData>
    <row r="1" spans="1:7" ht="48" customHeight="1">
      <c r="A1" s="1455" t="s">
        <v>1854</v>
      </c>
      <c r="B1" s="1455"/>
      <c r="C1" s="1455"/>
      <c r="D1" s="1455"/>
      <c r="E1" s="1455"/>
      <c r="F1" s="1455"/>
      <c r="G1" s="1455"/>
    </row>
    <row r="2" spans="1:7" ht="14.25" customHeight="1">
      <c r="A2" s="674"/>
      <c r="B2" s="675"/>
      <c r="C2" s="675"/>
      <c r="D2" s="675"/>
      <c r="E2" s="675"/>
      <c r="F2" s="675"/>
    </row>
    <row r="3" spans="1:7" ht="22.5" customHeight="1">
      <c r="A3" s="676">
        <v>1</v>
      </c>
      <c r="B3" s="1450" t="s">
        <v>1770</v>
      </c>
      <c r="C3" s="1450"/>
      <c r="D3" s="1456" t="str">
        <f>SB!F3</f>
        <v>Smt: ANURADHA KORA</v>
      </c>
      <c r="E3" s="1456"/>
      <c r="F3" s="1456"/>
      <c r="G3" s="1456"/>
    </row>
    <row r="4" spans="1:7" ht="21.75" customHeight="1">
      <c r="A4" s="676">
        <v>2</v>
      </c>
      <c r="B4" s="1450" t="s">
        <v>42</v>
      </c>
      <c r="C4" s="1450"/>
      <c r="D4" s="1457" t="str">
        <f>SB!F6</f>
        <v>School Assistant ( Biological Science )</v>
      </c>
      <c r="E4" s="1457"/>
      <c r="F4" s="1457"/>
      <c r="G4" s="1457"/>
    </row>
    <row r="5" spans="1:7" ht="19.5" customHeight="1">
      <c r="A5" s="676">
        <v>3</v>
      </c>
      <c r="B5" s="1450" t="s">
        <v>1342</v>
      </c>
      <c r="C5" s="1450"/>
      <c r="D5" s="1457" t="str">
        <f>SB!F7</f>
        <v>R.S.R.M.MCHS, NELLORE</v>
      </c>
      <c r="E5" s="1457"/>
      <c r="F5" s="1457"/>
      <c r="G5" s="1457"/>
    </row>
    <row r="6" spans="1:7">
      <c r="A6" s="676">
        <v>4</v>
      </c>
      <c r="B6" s="1450" t="s">
        <v>1772</v>
      </c>
      <c r="C6" s="1450"/>
      <c r="D6" s="1444" t="s">
        <v>1860</v>
      </c>
      <c r="E6" s="1444"/>
      <c r="F6" s="1444"/>
      <c r="G6" s="1444"/>
    </row>
    <row r="7" spans="1:7">
      <c r="B7" s="1452"/>
      <c r="C7" s="1452"/>
      <c r="D7" s="1444" t="s">
        <v>955</v>
      </c>
      <c r="E7" s="1444"/>
      <c r="F7" s="1444"/>
      <c r="G7" s="1444"/>
    </row>
    <row r="8" spans="1:7" ht="28.5" customHeight="1">
      <c r="B8" s="1452"/>
      <c r="C8" s="1452"/>
      <c r="D8" s="1453" t="s">
        <v>1861</v>
      </c>
      <c r="E8" s="1453"/>
      <c r="F8" s="1453"/>
      <c r="G8" s="1453"/>
    </row>
    <row r="9" spans="1:7">
      <c r="B9" s="1452"/>
      <c r="C9" s="1452"/>
      <c r="D9" s="1444"/>
      <c r="E9" s="1444"/>
      <c r="F9" s="1444"/>
      <c r="G9" s="1444"/>
    </row>
    <row r="10" spans="1:7">
      <c r="B10" s="1452"/>
      <c r="C10" s="1452"/>
      <c r="D10" s="1444"/>
      <c r="E10" s="1444"/>
      <c r="F10" s="1444"/>
      <c r="G10" s="1444"/>
    </row>
    <row r="11" spans="1:7">
      <c r="A11" s="676">
        <v>5</v>
      </c>
      <c r="B11" s="1450" t="s">
        <v>1804</v>
      </c>
      <c r="C11" s="1450"/>
      <c r="D11" s="689" t="s">
        <v>7</v>
      </c>
      <c r="E11" s="1454" t="s">
        <v>1862</v>
      </c>
      <c r="F11" s="1454"/>
      <c r="G11" s="1454"/>
    </row>
    <row r="12" spans="1:7">
      <c r="A12" s="676">
        <v>6</v>
      </c>
      <c r="B12" s="1450" t="s">
        <v>1775</v>
      </c>
      <c r="C12" s="1450"/>
      <c r="D12" s="1454" t="s">
        <v>1863</v>
      </c>
      <c r="E12" s="1454"/>
      <c r="F12" s="1454"/>
      <c r="G12" s="1454"/>
    </row>
    <row r="13" spans="1:7" ht="30" customHeight="1">
      <c r="A13" s="676">
        <v>7</v>
      </c>
      <c r="B13" s="1450" t="s">
        <v>1773</v>
      </c>
      <c r="C13" s="1450"/>
      <c r="D13" s="1458" t="s">
        <v>1864</v>
      </c>
      <c r="E13" s="1458"/>
      <c r="F13" s="1458"/>
      <c r="G13" s="1458"/>
    </row>
    <row r="14" spans="1:7" ht="22.5" customHeight="1">
      <c r="B14" s="1452"/>
      <c r="C14" s="1452"/>
      <c r="D14" s="1443" t="s">
        <v>1865</v>
      </c>
      <c r="E14" s="1443"/>
      <c r="F14" s="1443"/>
      <c r="G14" s="1443"/>
    </row>
    <row r="15" spans="1:7" ht="17.25" customHeight="1">
      <c r="B15" s="1452"/>
      <c r="C15" s="1452"/>
      <c r="D15" s="1443" t="s">
        <v>1866</v>
      </c>
      <c r="E15" s="1443"/>
      <c r="F15" s="1443"/>
      <c r="G15" s="1443"/>
    </row>
    <row r="16" spans="1:7" ht="21.75" customHeight="1">
      <c r="B16" s="1452"/>
      <c r="C16" s="1452"/>
      <c r="D16" s="1444" t="s">
        <v>1867</v>
      </c>
      <c r="E16" s="1444"/>
      <c r="F16" s="1444"/>
      <c r="G16" s="1444"/>
    </row>
    <row r="17" spans="1:10" ht="24" customHeight="1">
      <c r="A17" s="676">
        <v>8</v>
      </c>
      <c r="B17" s="1450" t="s">
        <v>1776</v>
      </c>
      <c r="C17" s="1450"/>
      <c r="D17" s="1454"/>
      <c r="E17" s="1454"/>
      <c r="F17" s="1454"/>
      <c r="G17" s="1454"/>
    </row>
    <row r="18" spans="1:10" ht="24" customHeight="1">
      <c r="A18" s="676">
        <v>9</v>
      </c>
      <c r="B18" s="1451" t="s">
        <v>1848</v>
      </c>
      <c r="C18" s="1451"/>
      <c r="D18" s="677" t="s">
        <v>7</v>
      </c>
      <c r="E18" s="1445">
        <f>Main!L38</f>
        <v>0</v>
      </c>
      <c r="F18" s="1445"/>
      <c r="G18" s="1445"/>
    </row>
    <row r="19" spans="1:10" ht="24" customHeight="1">
      <c r="B19" s="1451"/>
      <c r="C19" s="1451"/>
      <c r="D19" s="1446"/>
      <c r="E19" s="1446"/>
      <c r="F19" s="1446"/>
      <c r="G19" s="1446"/>
      <c r="J19" s="673" t="s">
        <v>1855</v>
      </c>
    </row>
    <row r="20" spans="1:10" ht="27.75" customHeight="1">
      <c r="A20" s="676">
        <v>10</v>
      </c>
      <c r="B20" s="1447" t="s">
        <v>1843</v>
      </c>
      <c r="C20" s="1447"/>
      <c r="D20" s="1442" t="str">
        <f>Main!L33</f>
        <v>Self-Occupied Property</v>
      </c>
      <c r="E20" s="1442"/>
      <c r="F20" s="1442"/>
      <c r="G20" s="1442"/>
    </row>
    <row r="21" spans="1:10" ht="33" customHeight="1">
      <c r="A21" s="676">
        <v>11</v>
      </c>
      <c r="B21" s="1449" t="s">
        <v>1774</v>
      </c>
      <c r="C21" s="1449"/>
    </row>
    <row r="22" spans="1:10">
      <c r="A22" s="678" t="s">
        <v>1852</v>
      </c>
      <c r="B22" s="679" t="s">
        <v>1833</v>
      </c>
      <c r="C22" s="673"/>
      <c r="D22" s="1448" t="s">
        <v>1424</v>
      </c>
      <c r="E22" s="1448"/>
      <c r="F22" s="680" t="s">
        <v>1707</v>
      </c>
      <c r="G22" s="680"/>
    </row>
    <row r="23" spans="1:10" ht="19.5" customHeight="1">
      <c r="A23" s="678"/>
      <c r="B23" s="673">
        <v>1</v>
      </c>
      <c r="C23" s="681" t="s">
        <v>1832</v>
      </c>
      <c r="D23" s="785" t="s">
        <v>7</v>
      </c>
      <c r="E23" s="694">
        <f>IF(Main!L33=Main!A61,0,Main!L35)</f>
        <v>0</v>
      </c>
      <c r="F23" s="785"/>
      <c r="G23" s="694"/>
    </row>
    <row r="24" spans="1:10" ht="33.75" customHeight="1">
      <c r="A24" s="678"/>
      <c r="B24" s="682">
        <v>2</v>
      </c>
      <c r="C24" s="681" t="s">
        <v>1856</v>
      </c>
      <c r="D24" s="785" t="s">
        <v>7</v>
      </c>
      <c r="E24" s="694">
        <f>IF(Main!L33=Main!A61,0,IF(AND(Main!L33=Main!A62,E23&gt;VLOOKUP(Main!F35,Main!B140:D142,2,FALSE)),0,INT(E18/5)))</f>
        <v>0</v>
      </c>
      <c r="F24" s="785" t="s">
        <v>7</v>
      </c>
      <c r="G24" s="694">
        <f>MIN(SUM(E23:E24),VLOOKUP(Main!F35,Main!B140:D142,2,FALSE))</f>
        <v>0</v>
      </c>
    </row>
    <row r="25" spans="1:10" ht="33">
      <c r="A25" s="678"/>
      <c r="B25" s="682">
        <v>3</v>
      </c>
      <c r="C25" s="681" t="s">
        <v>1834</v>
      </c>
      <c r="D25" s="785"/>
      <c r="E25" s="694"/>
      <c r="F25" s="785" t="s">
        <v>7</v>
      </c>
      <c r="G25" s="694">
        <f>-G24</f>
        <v>0</v>
      </c>
    </row>
    <row r="26" spans="1:10" ht="21" customHeight="1">
      <c r="A26" s="678" t="s">
        <v>1391</v>
      </c>
      <c r="B26" s="683" t="s">
        <v>1835</v>
      </c>
      <c r="D26" s="785"/>
      <c r="E26" s="785"/>
      <c r="F26" s="785"/>
      <c r="G26" s="694"/>
    </row>
    <row r="27" spans="1:10" ht="33">
      <c r="B27" s="682">
        <v>1</v>
      </c>
      <c r="C27" s="782" t="s">
        <v>1951</v>
      </c>
      <c r="D27" s="785" t="s">
        <v>7</v>
      </c>
      <c r="E27" s="694">
        <f>IF(Main!L33=Main!A60,0,Main!L36)</f>
        <v>0</v>
      </c>
      <c r="F27" s="785"/>
      <c r="G27" s="694"/>
    </row>
    <row r="28" spans="1:10" ht="33">
      <c r="B28" s="682">
        <v>2</v>
      </c>
      <c r="C28" s="783" t="s">
        <v>1836</v>
      </c>
      <c r="D28" s="785" t="s">
        <v>7</v>
      </c>
      <c r="E28" s="694">
        <f>IF(Main!L33=Main!A60,0,Main!L37)</f>
        <v>0</v>
      </c>
      <c r="F28" s="785"/>
      <c r="G28" s="694"/>
    </row>
    <row r="29" spans="1:10" ht="23.25" customHeight="1">
      <c r="B29" s="682">
        <v>3</v>
      </c>
      <c r="C29" s="782" t="s">
        <v>1952</v>
      </c>
      <c r="D29" s="785" t="s">
        <v>7</v>
      </c>
      <c r="E29" s="694">
        <f>IF(Main!L33=Main!A60,0,Main!L39)</f>
        <v>0</v>
      </c>
      <c r="F29" s="785"/>
      <c r="G29" s="694"/>
    </row>
    <row r="30" spans="1:10" ht="20.25" customHeight="1">
      <c r="B30" s="673">
        <v>4</v>
      </c>
      <c r="C30" s="783" t="s">
        <v>1837</v>
      </c>
      <c r="D30" s="785"/>
      <c r="E30" s="694"/>
      <c r="F30" s="785" t="s">
        <v>7</v>
      </c>
      <c r="G30" s="694">
        <f>SUM(E27,-E28,-E29)</f>
        <v>0</v>
      </c>
    </row>
    <row r="31" spans="1:10" ht="33.75" customHeight="1">
      <c r="B31" s="682">
        <v>5</v>
      </c>
      <c r="C31" s="782" t="s">
        <v>1838</v>
      </c>
      <c r="D31" s="785"/>
      <c r="E31" s="694"/>
      <c r="F31" s="785"/>
      <c r="G31" s="694"/>
    </row>
    <row r="32" spans="1:10" ht="37.5" customHeight="1">
      <c r="C32" s="782" t="s">
        <v>1841</v>
      </c>
      <c r="D32" s="785" t="s">
        <v>7</v>
      </c>
      <c r="E32" s="694">
        <f>IF(G30&gt;0,ROUND(G30*30%,0),0)</f>
        <v>0</v>
      </c>
      <c r="F32" s="785"/>
      <c r="G32" s="694"/>
    </row>
    <row r="33" spans="1:7" ht="21" customHeight="1">
      <c r="C33" s="782" t="s">
        <v>1842</v>
      </c>
      <c r="D33" s="785" t="s">
        <v>7</v>
      </c>
      <c r="E33" s="694">
        <f>IF(Main!L33=Main!A60,0,IF(Main!L33=Main!A61,Main!L35,IF(AND(Main!L33=Main!A62,IHP!E23-IHP!G24&lt;0),0,IHP!E23-IHP!G24)))</f>
        <v>0</v>
      </c>
      <c r="F33" s="785"/>
      <c r="G33" s="694"/>
    </row>
    <row r="34" spans="1:7" ht="37.5" customHeight="1">
      <c r="C34" s="782" t="s">
        <v>1847</v>
      </c>
      <c r="D34" s="785" t="s">
        <v>7</v>
      </c>
      <c r="E34" s="694">
        <f>IF(E24&gt;0,0,IF(Main!L33=Main!A60,0,INT(E18/5)))</f>
        <v>0</v>
      </c>
      <c r="F34" s="785" t="s">
        <v>7</v>
      </c>
      <c r="G34" s="694">
        <f>SUM(E32:E34)</f>
        <v>0</v>
      </c>
    </row>
    <row r="35" spans="1:7" ht="21" customHeight="1">
      <c r="B35" s="673">
        <v>6</v>
      </c>
      <c r="C35" s="783" t="s">
        <v>1840</v>
      </c>
      <c r="D35" s="785"/>
      <c r="E35" s="785"/>
      <c r="F35" s="785" t="s">
        <v>7</v>
      </c>
      <c r="G35" s="694">
        <f>G30-G34</f>
        <v>0</v>
      </c>
    </row>
    <row r="36" spans="1:7" ht="19.5" customHeight="1">
      <c r="B36" s="685" t="s">
        <v>1853</v>
      </c>
      <c r="C36" s="784"/>
      <c r="D36" s="786" t="s">
        <v>7</v>
      </c>
      <c r="E36" s="786"/>
      <c r="F36" s="786" t="s">
        <v>7</v>
      </c>
      <c r="G36" s="787">
        <f>SUM(G25,G35)</f>
        <v>0</v>
      </c>
    </row>
    <row r="37" spans="1:7" ht="18" customHeight="1">
      <c r="B37" s="682"/>
      <c r="C37" s="684"/>
      <c r="D37" s="682"/>
      <c r="E37" s="682"/>
      <c r="F37" s="682"/>
      <c r="G37" s="686"/>
    </row>
    <row r="38" spans="1:7" ht="45.75" customHeight="1">
      <c r="A38" s="1447" t="str">
        <f>CONCATENATE("         I, ", D3," (name of the assessee), do declare that what is stated above is true to the best of my information and belief.")</f>
        <v xml:space="preserve">         I, Smt: ANURADHA KORA (name of the assessee), do declare that what is stated above is true to the best of my information and belief.</v>
      </c>
      <c r="B38" s="1447"/>
      <c r="C38" s="1447"/>
      <c r="D38" s="1447"/>
      <c r="E38" s="1447"/>
      <c r="F38" s="1447"/>
      <c r="G38" s="1447"/>
    </row>
    <row r="40" spans="1:7">
      <c r="C40" s="1440" t="s">
        <v>1780</v>
      </c>
      <c r="D40" s="1440"/>
      <c r="E40" s="1440"/>
      <c r="F40" s="1440"/>
      <c r="G40" s="1440"/>
    </row>
    <row r="41" spans="1:7">
      <c r="C41" s="1441" t="str">
        <f>CONCATENATE("( ",Main!C4," )")</f>
        <v>( ANURADHA KORA )</v>
      </c>
      <c r="D41" s="1441"/>
      <c r="E41" s="1441"/>
      <c r="F41" s="1441"/>
      <c r="G41" s="1441"/>
    </row>
    <row r="58" spans="1:7" hidden="1">
      <c r="A58" s="676" t="s">
        <v>15</v>
      </c>
      <c r="B58" s="678"/>
      <c r="C58" s="684" t="s">
        <v>1778</v>
      </c>
      <c r="D58" s="682" t="s">
        <v>7</v>
      </c>
      <c r="E58" s="687">
        <f>Main!L36</f>
        <v>0</v>
      </c>
      <c r="F58" s="687"/>
      <c r="G58" s="687"/>
    </row>
    <row r="59" spans="1:7" ht="23.25" hidden="1" customHeight="1">
      <c r="A59" s="676" t="s">
        <v>14</v>
      </c>
      <c r="B59" s="678"/>
      <c r="C59" s="684" t="s">
        <v>1771</v>
      </c>
      <c r="D59" s="682" t="s">
        <v>7</v>
      </c>
      <c r="E59" s="687">
        <f>Main!L37</f>
        <v>0</v>
      </c>
      <c r="F59" s="687"/>
      <c r="G59" s="687"/>
    </row>
    <row r="60" spans="1:7" ht="32.25" hidden="1" customHeight="1">
      <c r="A60" s="676" t="s">
        <v>13</v>
      </c>
      <c r="B60" s="678"/>
      <c r="C60" s="684" t="s">
        <v>1805</v>
      </c>
      <c r="D60" s="682" t="s">
        <v>7</v>
      </c>
      <c r="E60" s="688">
        <f>ROUND(E58*30%,0)</f>
        <v>0</v>
      </c>
      <c r="F60" s="688"/>
      <c r="G60" s="687"/>
    </row>
    <row r="61" spans="1:7" ht="35.25" hidden="1" customHeight="1">
      <c r="A61" s="676" t="s">
        <v>12</v>
      </c>
      <c r="B61" s="678"/>
      <c r="C61" s="684" t="s">
        <v>1777</v>
      </c>
      <c r="D61" s="682" t="s">
        <v>7</v>
      </c>
      <c r="E61" s="687">
        <f>INT(E18/5)</f>
        <v>0</v>
      </c>
      <c r="F61" s="687"/>
      <c r="G61" s="687"/>
    </row>
    <row r="62" spans="1:7" ht="37.5" hidden="1" customHeight="1">
      <c r="A62" s="676" t="s">
        <v>11</v>
      </c>
      <c r="B62" s="678"/>
      <c r="C62" s="684" t="s">
        <v>1798</v>
      </c>
      <c r="D62" s="682" t="s">
        <v>7</v>
      </c>
      <c r="E62" s="687">
        <f>Main!I138</f>
        <v>0</v>
      </c>
      <c r="F62" s="687"/>
      <c r="G62" s="687"/>
    </row>
    <row r="63" spans="1:7" ht="33" hidden="1" customHeight="1">
      <c r="A63" s="676" t="s">
        <v>1714</v>
      </c>
      <c r="B63" s="678"/>
      <c r="C63" s="684" t="s">
        <v>1779</v>
      </c>
      <c r="D63" s="682" t="s">
        <v>7</v>
      </c>
      <c r="E63" s="687">
        <f>SUM(E58,-SUM(E59:E62))</f>
        <v>0</v>
      </c>
      <c r="F63" s="687"/>
      <c r="G63" s="687"/>
    </row>
    <row r="64" spans="1:7" hidden="1"/>
    <row r="65" hidden="1"/>
  </sheetData>
  <sheetProtection password="F90B" sheet="1" objects="1" scenarios="1" formatCells="0" formatColumns="0" formatRows="0" insertColumns="0" insertRows="0"/>
  <mergeCells count="41">
    <mergeCell ref="D12:G12"/>
    <mergeCell ref="D17:G17"/>
    <mergeCell ref="D10:G10"/>
    <mergeCell ref="B12:C12"/>
    <mergeCell ref="B13:C13"/>
    <mergeCell ref="B14:C14"/>
    <mergeCell ref="B15:C15"/>
    <mergeCell ref="B16:C16"/>
    <mergeCell ref="D14:G14"/>
    <mergeCell ref="D13:G13"/>
    <mergeCell ref="A1:G1"/>
    <mergeCell ref="D3:G3"/>
    <mergeCell ref="D4:G4"/>
    <mergeCell ref="D5:G5"/>
    <mergeCell ref="D6:G6"/>
    <mergeCell ref="D7:G7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D8:G8"/>
    <mergeCell ref="D9:G9"/>
    <mergeCell ref="E11:G11"/>
    <mergeCell ref="C40:G40"/>
    <mergeCell ref="C41:G41"/>
    <mergeCell ref="D20:G20"/>
    <mergeCell ref="D15:G15"/>
    <mergeCell ref="D16:G16"/>
    <mergeCell ref="E18:G18"/>
    <mergeCell ref="D19:G19"/>
    <mergeCell ref="A38:G38"/>
    <mergeCell ref="D22:E22"/>
    <mergeCell ref="B21:C21"/>
    <mergeCell ref="B17:C17"/>
    <mergeCell ref="B18:C19"/>
    <mergeCell ref="B20:C20"/>
  </mergeCells>
  <dataValidations count="1">
    <dataValidation allowBlank="1" showInputMessage="1" showErrorMessage="1" promptTitle="Annual Rent Receieved" prompt="Higher if let out for whole of the year, lower if let out for part of the year " sqref="C27"/>
  </dataValidations>
  <pageMargins left="0.45" right="0.45" top="0.5" bottom="0.5" header="0.3" footer="0.3"/>
  <pageSetup paperSize="5" scale="90" orientation="portrait" blackAndWhite="1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L6" sqref="L6"/>
    </sheetView>
  </sheetViews>
  <sheetFormatPr defaultRowHeight="12.75"/>
  <cols>
    <col min="1" max="6" width="10.7109375" style="556" customWidth="1"/>
    <col min="7" max="7" width="15" style="556" customWidth="1"/>
    <col min="8" max="8" width="14.7109375" style="556" customWidth="1"/>
    <col min="9" max="16384" width="9.140625" style="556"/>
  </cols>
  <sheetData>
    <row r="1" spans="1:8" ht="30.75" customHeight="1">
      <c r="A1" s="1462" t="s">
        <v>1781</v>
      </c>
      <c r="B1" s="1462"/>
      <c r="C1" s="1462"/>
      <c r="D1" s="1462"/>
      <c r="E1" s="1462"/>
      <c r="F1" s="1462"/>
      <c r="G1" s="1462"/>
      <c r="H1" s="1462"/>
    </row>
    <row r="2" spans="1:8" ht="22.5" customHeight="1">
      <c r="A2" s="1463" t="s">
        <v>1782</v>
      </c>
      <c r="B2" s="1463"/>
      <c r="C2" s="1463"/>
      <c r="D2" s="1463"/>
      <c r="E2" s="1463"/>
      <c r="F2" s="1463"/>
      <c r="G2" s="1463"/>
      <c r="H2" s="1463"/>
    </row>
    <row r="3" spans="1:8" ht="52.5" customHeight="1">
      <c r="A3" s="1464" t="s">
        <v>1783</v>
      </c>
      <c r="B3" s="1465"/>
      <c r="C3" s="1465"/>
      <c r="D3" s="1465"/>
      <c r="E3" s="1465"/>
      <c r="F3" s="1465"/>
      <c r="G3" s="1465"/>
      <c r="H3" s="1465"/>
    </row>
    <row r="4" spans="1:8">
      <c r="A4" s="1466"/>
      <c r="B4" s="1466"/>
      <c r="C4" s="1466"/>
      <c r="D4" s="1466"/>
      <c r="E4" s="1466"/>
      <c r="F4" s="1466"/>
      <c r="G4" s="1466"/>
      <c r="H4" s="1466"/>
    </row>
    <row r="5" spans="1:8" ht="14.25">
      <c r="A5" s="1467"/>
      <c r="B5" s="1467"/>
      <c r="C5" s="1467"/>
      <c r="D5" s="1467"/>
      <c r="E5" s="1467"/>
      <c r="F5" s="1467"/>
      <c r="G5" s="1467"/>
      <c r="H5" s="1467"/>
    </row>
    <row r="6" spans="1:8" ht="22.5" customHeight="1">
      <c r="A6" s="1468" t="s">
        <v>1784</v>
      </c>
      <c r="B6" s="1468"/>
      <c r="C6" s="1468"/>
      <c r="D6" s="1468"/>
      <c r="E6" s="1468"/>
      <c r="F6" s="1468"/>
      <c r="G6" s="1468"/>
      <c r="H6" s="1468"/>
    </row>
    <row r="7" spans="1:8" ht="23.25" customHeight="1">
      <c r="A7" s="1468" t="s">
        <v>1785</v>
      </c>
      <c r="B7" s="1468"/>
      <c r="C7" s="1468"/>
      <c r="D7" s="1468"/>
      <c r="E7" s="1468"/>
      <c r="F7" s="1468"/>
      <c r="G7" s="1468"/>
      <c r="H7" s="1468"/>
    </row>
    <row r="8" spans="1:8" ht="23.25" customHeight="1">
      <c r="A8" s="557"/>
      <c r="B8" s="557"/>
      <c r="C8" s="557"/>
      <c r="D8" s="557"/>
      <c r="E8" s="557"/>
      <c r="F8" s="557"/>
      <c r="G8" s="557"/>
      <c r="H8" s="557"/>
    </row>
    <row r="9" spans="1:8" ht="111.75" customHeight="1">
      <c r="A9" s="1469" t="s">
        <v>1786</v>
      </c>
      <c r="B9" s="1470"/>
      <c r="C9" s="1470"/>
      <c r="D9" s="1470"/>
      <c r="E9" s="1470"/>
      <c r="F9" s="1470"/>
      <c r="G9" s="1470"/>
      <c r="H9" s="1470"/>
    </row>
    <row r="10" spans="1:8" ht="14.25">
      <c r="A10" s="1459"/>
      <c r="B10" s="1459"/>
      <c r="C10" s="1459"/>
      <c r="D10" s="1459"/>
      <c r="E10" s="1459"/>
      <c r="F10" s="1459"/>
      <c r="G10" s="1459"/>
      <c r="H10" s="1459"/>
    </row>
    <row r="11" spans="1:8" ht="14.25">
      <c r="A11" s="1471" t="s">
        <v>1787</v>
      </c>
      <c r="B11" s="1471"/>
      <c r="C11" s="1471"/>
      <c r="D11" s="1471"/>
      <c r="E11" s="1471"/>
      <c r="F11" s="1471"/>
      <c r="G11" s="1471"/>
      <c r="H11" s="1471"/>
    </row>
    <row r="12" spans="1:8" ht="12" customHeight="1">
      <c r="A12" s="1467"/>
      <c r="B12" s="1467"/>
      <c r="C12" s="1467"/>
      <c r="D12" s="1467"/>
      <c r="E12" s="1467"/>
      <c r="F12" s="1467"/>
      <c r="G12" s="1467"/>
      <c r="H12" s="1467"/>
    </row>
    <row r="13" spans="1:8" ht="15">
      <c r="A13" s="1461" t="s">
        <v>1788</v>
      </c>
      <c r="B13" s="1461"/>
      <c r="C13" s="1461"/>
      <c r="D13" s="1461"/>
      <c r="E13" s="1461"/>
      <c r="F13" s="1461"/>
      <c r="G13" s="1461"/>
      <c r="H13" s="1461"/>
    </row>
    <row r="14" spans="1:8" ht="14.25">
      <c r="A14" s="1459"/>
      <c r="B14" s="1459"/>
      <c r="C14" s="1459"/>
      <c r="D14" s="1459"/>
      <c r="E14" s="1459"/>
      <c r="F14" s="1459"/>
      <c r="G14" s="1459"/>
      <c r="H14" s="1459"/>
    </row>
    <row r="15" spans="1:8" ht="14.25">
      <c r="A15" s="396"/>
      <c r="B15" s="396"/>
      <c r="C15" s="396"/>
      <c r="D15" s="396"/>
      <c r="E15" s="396"/>
      <c r="F15" s="396"/>
      <c r="G15" s="396"/>
      <c r="H15" s="396"/>
    </row>
    <row r="16" spans="1:8" ht="14.25">
      <c r="A16" s="396"/>
      <c r="B16" s="396"/>
      <c r="C16" s="396"/>
      <c r="D16" s="396"/>
      <c r="E16" s="396"/>
      <c r="F16" s="396"/>
      <c r="G16" s="396"/>
      <c r="H16" s="396"/>
    </row>
    <row r="17" spans="1:8" ht="16.5" customHeight="1">
      <c r="A17" s="396"/>
      <c r="B17" s="396"/>
      <c r="C17" s="396"/>
      <c r="D17" s="396"/>
      <c r="E17" s="396"/>
      <c r="F17" s="396"/>
      <c r="G17" s="396"/>
      <c r="H17" s="558" t="s">
        <v>1789</v>
      </c>
    </row>
    <row r="18" spans="1:8" ht="32.25" customHeight="1">
      <c r="A18" s="396"/>
      <c r="B18" s="396"/>
      <c r="C18" s="396"/>
      <c r="D18" s="396"/>
      <c r="E18" s="396"/>
      <c r="F18" s="396"/>
      <c r="G18" s="396"/>
      <c r="H18" s="559" t="s">
        <v>1790</v>
      </c>
    </row>
    <row r="19" spans="1:8" ht="42.75" customHeight="1">
      <c r="A19" s="396"/>
      <c r="B19" s="396"/>
      <c r="C19" s="396"/>
      <c r="D19" s="396"/>
      <c r="E19" s="396"/>
      <c r="F19" s="396"/>
      <c r="G19" s="396"/>
      <c r="H19" s="559"/>
    </row>
    <row r="20" spans="1:8" ht="15">
      <c r="A20" s="1459" t="s">
        <v>1791</v>
      </c>
      <c r="B20" s="1459"/>
      <c r="C20" s="1459"/>
      <c r="D20" s="1459"/>
      <c r="E20" s="1459"/>
      <c r="F20" s="1459"/>
      <c r="G20" s="1459"/>
      <c r="H20" s="1459"/>
    </row>
    <row r="21" spans="1:8" ht="14.25">
      <c r="A21" s="1459" t="s">
        <v>1792</v>
      </c>
      <c r="B21" s="1459"/>
      <c r="C21" s="1459"/>
      <c r="D21" s="1459"/>
      <c r="E21" s="1459"/>
      <c r="F21" s="1459"/>
      <c r="G21" s="1459"/>
      <c r="H21" s="1459"/>
    </row>
    <row r="22" spans="1:8" ht="15">
      <c r="A22" s="1460" t="s">
        <v>1793</v>
      </c>
      <c r="B22" s="1460"/>
      <c r="C22" s="1460"/>
      <c r="D22" s="1460"/>
      <c r="E22" s="1460"/>
      <c r="F22" s="1460"/>
      <c r="G22" s="1460"/>
      <c r="H22" s="1460"/>
    </row>
    <row r="23" spans="1:8" ht="15">
      <c r="A23" s="1460" t="s">
        <v>1793</v>
      </c>
      <c r="B23" s="1460"/>
      <c r="C23" s="1460"/>
      <c r="D23" s="1460"/>
      <c r="E23" s="1460"/>
      <c r="F23" s="1460"/>
      <c r="G23" s="1460"/>
      <c r="H23" s="1460"/>
    </row>
    <row r="24" spans="1:8" ht="15">
      <c r="A24" s="1460"/>
      <c r="B24" s="1460"/>
      <c r="C24" s="1460"/>
      <c r="D24" s="1460"/>
      <c r="E24" s="1460"/>
      <c r="F24" s="1460"/>
      <c r="G24" s="1460"/>
      <c r="H24" s="1460"/>
    </row>
    <row r="25" spans="1:8" ht="15">
      <c r="A25" s="1459" t="s">
        <v>1794</v>
      </c>
      <c r="B25" s="1459"/>
      <c r="C25" s="1459"/>
      <c r="D25" s="1459"/>
      <c r="E25" s="1459"/>
      <c r="F25" s="1459"/>
      <c r="G25" s="1459"/>
      <c r="H25" s="1459"/>
    </row>
    <row r="26" spans="1:8" ht="14.25">
      <c r="A26" s="1459" t="s">
        <v>1795</v>
      </c>
      <c r="B26" s="1459"/>
      <c r="C26" s="1459"/>
      <c r="D26" s="1459"/>
      <c r="E26" s="1459"/>
      <c r="F26" s="1459"/>
      <c r="G26" s="1459"/>
      <c r="H26" s="1459"/>
    </row>
    <row r="27" spans="1:8" ht="14.25">
      <c r="A27" s="1459" t="s">
        <v>1796</v>
      </c>
      <c r="B27" s="1459"/>
      <c r="C27" s="1459"/>
      <c r="D27" s="1459"/>
      <c r="E27" s="1459"/>
      <c r="F27" s="1459"/>
      <c r="G27" s="1459"/>
      <c r="H27" s="1459"/>
    </row>
    <row r="28" spans="1:8" ht="14.25">
      <c r="A28" s="1459" t="s">
        <v>1797</v>
      </c>
      <c r="B28" s="1459"/>
      <c r="C28" s="1459"/>
      <c r="D28" s="1459"/>
      <c r="E28" s="1459"/>
      <c r="F28" s="1459"/>
      <c r="G28" s="1459"/>
      <c r="H28" s="1459"/>
    </row>
  </sheetData>
  <sheetProtection sheet="1" objects="1" scenarios="1"/>
  <customSheetViews>
    <customSheetView guid="{79BDAD5E-470D-413B-AE3A-BBB122EFD8E5}">
      <selection activeCell="J9" sqref="J9"/>
      <pageMargins left="0.45" right="0.45" top="0.75" bottom="0.75" header="0.3" footer="0.3"/>
      <printOptions horizontalCentered="1"/>
      <pageSetup paperSize="9" scale="95" orientation="portrait" verticalDpi="0" r:id="rId1"/>
    </customSheetView>
  </customSheetViews>
  <mergeCells count="22">
    <mergeCell ref="A13:H13"/>
    <mergeCell ref="A1:H1"/>
    <mergeCell ref="A2:H2"/>
    <mergeCell ref="A3:H3"/>
    <mergeCell ref="A4:H4"/>
    <mergeCell ref="A5:H5"/>
    <mergeCell ref="A6:H6"/>
    <mergeCell ref="A7:H7"/>
    <mergeCell ref="A9:H9"/>
    <mergeCell ref="A10:H10"/>
    <mergeCell ref="A11:H11"/>
    <mergeCell ref="A12:H12"/>
    <mergeCell ref="A25:H25"/>
    <mergeCell ref="A26:H26"/>
    <mergeCell ref="A27:H27"/>
    <mergeCell ref="A28:H28"/>
    <mergeCell ref="A14:H14"/>
    <mergeCell ref="A20:H20"/>
    <mergeCell ref="A21:H21"/>
    <mergeCell ref="A22:H22"/>
    <mergeCell ref="A23:H23"/>
    <mergeCell ref="A24:H24"/>
  </mergeCells>
  <printOptions horizontalCentered="1"/>
  <pageMargins left="0.45" right="0.45" top="0.75" bottom="0.75" header="0.3" footer="0.3"/>
  <pageSetup paperSize="9" scale="95"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J28"/>
  <sheetViews>
    <sheetView workbookViewId="0">
      <selection activeCell="J11" sqref="J11"/>
    </sheetView>
  </sheetViews>
  <sheetFormatPr defaultColWidth="8.85546875" defaultRowHeight="12.75"/>
  <cols>
    <col min="1" max="1" width="3" style="455" customWidth="1"/>
    <col min="2" max="2" width="12.85546875" style="434" customWidth="1"/>
    <col min="3" max="3" width="9.7109375" style="434" customWidth="1"/>
    <col min="4" max="4" width="17.7109375" style="434" customWidth="1"/>
    <col min="5" max="5" width="25.7109375" style="434" customWidth="1"/>
    <col min="6" max="6" width="14" style="434" customWidth="1"/>
    <col min="7" max="7" width="5.42578125" style="434" customWidth="1"/>
    <col min="8" max="8" width="1.28515625" style="434" hidden="1" customWidth="1"/>
    <col min="9" max="9" width="19.85546875" style="434" customWidth="1"/>
    <col min="10" max="10" width="30.85546875" style="434" customWidth="1"/>
    <col min="11" max="16384" width="8.85546875" style="434"/>
  </cols>
  <sheetData>
    <row r="1" spans="1:10" ht="31.9" customHeight="1">
      <c r="A1" s="1485" t="s">
        <v>1454</v>
      </c>
      <c r="B1" s="1485"/>
      <c r="C1" s="1485"/>
      <c r="D1" s="1485"/>
      <c r="E1" s="1485"/>
      <c r="F1" s="1485"/>
      <c r="G1" s="1485"/>
      <c r="H1" s="433"/>
    </row>
    <row r="2" spans="1:10" ht="22.9" customHeight="1">
      <c r="A2" s="1486" t="s">
        <v>1444</v>
      </c>
      <c r="B2" s="1486"/>
      <c r="C2" s="1486"/>
      <c r="D2" s="1486"/>
      <c r="E2" s="1486"/>
      <c r="F2" s="1486"/>
      <c r="G2" s="1486"/>
      <c r="H2" s="219"/>
      <c r="I2" s="435"/>
      <c r="J2" s="435"/>
    </row>
    <row r="3" spans="1:10" ht="18" customHeight="1">
      <c r="A3" s="436">
        <v>1</v>
      </c>
      <c r="B3" s="1483" t="s">
        <v>1447</v>
      </c>
      <c r="C3" s="1483"/>
      <c r="D3" s="1483"/>
      <c r="E3" s="1478" t="s">
        <v>1456</v>
      </c>
      <c r="F3" s="1479"/>
      <c r="G3" s="1479"/>
      <c r="H3" s="437"/>
      <c r="I3" s="438"/>
      <c r="J3" s="438"/>
    </row>
    <row r="4" spans="1:10" ht="18" customHeight="1">
      <c r="A4" s="436">
        <v>2</v>
      </c>
      <c r="B4" s="1487" t="s">
        <v>1448</v>
      </c>
      <c r="C4" s="1487"/>
      <c r="D4" s="1487"/>
      <c r="E4" s="1479"/>
      <c r="F4" s="1479"/>
      <c r="G4" s="1479"/>
      <c r="H4" s="437"/>
      <c r="I4" s="438"/>
      <c r="J4" s="438"/>
    </row>
    <row r="5" spans="1:10" ht="18" customHeight="1">
      <c r="A5" s="436"/>
      <c r="B5" s="1487"/>
      <c r="C5" s="1487"/>
      <c r="D5" s="1487"/>
      <c r="E5" s="1479"/>
      <c r="F5" s="1479"/>
      <c r="G5" s="1479"/>
      <c r="H5" s="437"/>
      <c r="I5" s="438"/>
      <c r="J5" s="438"/>
    </row>
    <row r="6" spans="1:10" ht="18" customHeight="1">
      <c r="A6" s="436"/>
      <c r="B6" s="1487"/>
      <c r="C6" s="1487"/>
      <c r="D6" s="1487"/>
      <c r="E6" s="1479"/>
      <c r="F6" s="1479"/>
      <c r="G6" s="1479"/>
      <c r="H6" s="437"/>
      <c r="I6" s="1472" t="s">
        <v>1455</v>
      </c>
      <c r="J6" s="1473" t="s">
        <v>1553</v>
      </c>
    </row>
    <row r="7" spans="1:10" ht="18" customHeight="1">
      <c r="A7" s="436"/>
      <c r="B7" s="1487"/>
      <c r="C7" s="1487"/>
      <c r="D7" s="1487"/>
      <c r="E7" s="1479"/>
      <c r="F7" s="1479"/>
      <c r="G7" s="1479"/>
      <c r="H7" s="437"/>
      <c r="I7" s="1472"/>
      <c r="J7" s="1473"/>
    </row>
    <row r="8" spans="1:10" ht="18" customHeight="1">
      <c r="A8" s="436">
        <v>3</v>
      </c>
      <c r="B8" s="1484" t="s">
        <v>1449</v>
      </c>
      <c r="C8" s="1484"/>
      <c r="D8" s="1484"/>
      <c r="E8" s="1479"/>
      <c r="F8" s="1479"/>
      <c r="G8" s="1479"/>
      <c r="H8" s="437"/>
      <c r="I8" s="1472"/>
      <c r="J8" s="1473"/>
    </row>
    <row r="9" spans="1:10" ht="46.9" customHeight="1">
      <c r="A9" s="436">
        <v>4</v>
      </c>
      <c r="B9" s="1477" t="s">
        <v>1450</v>
      </c>
      <c r="C9" s="1477"/>
      <c r="D9" s="1477"/>
      <c r="E9" s="1479"/>
      <c r="F9" s="1479"/>
      <c r="G9" s="1479"/>
      <c r="H9" s="437"/>
      <c r="I9" s="438"/>
      <c r="J9" s="438"/>
    </row>
    <row r="10" spans="1:10" ht="31.9" customHeight="1">
      <c r="A10" s="436">
        <v>5</v>
      </c>
      <c r="B10" s="1477" t="s">
        <v>1451</v>
      </c>
      <c r="C10" s="1477"/>
      <c r="D10" s="1477"/>
      <c r="E10" s="1478"/>
      <c r="F10" s="1479"/>
      <c r="G10" s="1479"/>
      <c r="H10" s="437"/>
      <c r="I10" s="438"/>
      <c r="J10" s="438"/>
    </row>
    <row r="11" spans="1:10" ht="54" customHeight="1">
      <c r="A11" s="436">
        <v>6</v>
      </c>
      <c r="B11" s="1477" t="s">
        <v>1452</v>
      </c>
      <c r="C11" s="1477"/>
      <c r="D11" s="1477"/>
      <c r="E11" s="1479"/>
      <c r="F11" s="1479"/>
      <c r="G11" s="1479"/>
      <c r="H11" s="437"/>
      <c r="I11" s="438"/>
      <c r="J11" s="438"/>
    </row>
    <row r="12" spans="1:10" ht="20.45" customHeight="1">
      <c r="A12" s="436">
        <v>7</v>
      </c>
      <c r="B12" s="1482" t="s">
        <v>1453</v>
      </c>
      <c r="C12" s="1482"/>
      <c r="D12" s="1482"/>
      <c r="E12" s="1478" t="s">
        <v>1457</v>
      </c>
      <c r="F12" s="1479"/>
      <c r="G12" s="1479"/>
      <c r="H12" s="437"/>
      <c r="I12" s="438"/>
      <c r="J12" s="438"/>
    </row>
    <row r="13" spans="1:10" ht="58.15" customHeight="1">
      <c r="A13" s="439"/>
      <c r="B13" s="1482"/>
      <c r="C13" s="1482"/>
      <c r="D13" s="1482"/>
      <c r="E13" s="1478"/>
      <c r="F13" s="1479"/>
      <c r="G13" s="1479"/>
      <c r="H13" s="437"/>
      <c r="I13" s="438"/>
      <c r="J13" s="438"/>
    </row>
    <row r="14" spans="1:10" ht="27" customHeight="1">
      <c r="A14" s="1481" t="s">
        <v>1445</v>
      </c>
      <c r="B14" s="1481"/>
      <c r="C14" s="1481"/>
      <c r="D14" s="1481"/>
      <c r="E14" s="1481"/>
      <c r="F14" s="1481"/>
      <c r="G14" s="1481"/>
      <c r="H14" s="440"/>
      <c r="I14" s="441"/>
      <c r="J14" s="441"/>
    </row>
    <row r="15" spans="1:10" ht="120.6" customHeight="1">
      <c r="A15" s="439"/>
      <c r="B15" s="1480" t="str">
        <f>CONCATENATE("               This is to verify that I, Dr.",UPPER(E12), "S/o (w/o) Shri ",UPPER(J6),"  in the case of the patient Shri/Smt./Ms. ",UPPER(E3)," , afterconsidering the entire history of illness, careful examination and appropriate investigations, am of theopinion that the patient is suffering from ",UPPER(E10)," disease/ailment during the previous year ending on 31st MARCH 2013. I also certify (only in case of neurological disease) that the extent of disability is more than 40%) (Strikeoff, if not applicable).","I certify that the information furnished above is true to the best of my knowledge.")</f>
        <v xml:space="preserve">               This is to verify that I, Dr._______________________________S/o (w/o) Shri __________________  in the case of the patient Shri/Smt./Ms. ________________________ , afterconsidering the entire history of illness, careful examination and appropriate investigations, am of theopinion that the patient is suffering from  disease/ailment during the previous year ending on 31st MARCH 2013. I also certify (only in case of neurological disease) that the extent of disability is more than 40%) (Strikeoff, if not applicable).I certify that the information furnished above is true to the best of my knowledge.</v>
      </c>
      <c r="C15" s="1480"/>
      <c r="D15" s="1480"/>
      <c r="E15" s="1480"/>
      <c r="F15" s="1480"/>
      <c r="G15" s="1480"/>
      <c r="H15" s="442"/>
      <c r="I15" s="443"/>
      <c r="J15" s="443"/>
    </row>
    <row r="16" spans="1:10" ht="33.6" customHeight="1">
      <c r="A16" s="439"/>
      <c r="B16" s="1475" t="s">
        <v>1462</v>
      </c>
      <c r="C16" s="1475"/>
      <c r="D16" s="1475"/>
      <c r="E16" s="1475"/>
      <c r="F16" s="1475"/>
      <c r="G16" s="1475"/>
      <c r="H16" s="444"/>
      <c r="I16" s="445"/>
      <c r="J16" s="445"/>
    </row>
    <row r="17" spans="1:10" ht="18.600000000000001" customHeight="1">
      <c r="A17" s="439"/>
      <c r="B17" s="1476" t="s">
        <v>1463</v>
      </c>
      <c r="C17" s="1476"/>
      <c r="D17" s="1476"/>
      <c r="E17" s="1476"/>
      <c r="F17" s="1476"/>
      <c r="G17" s="1476"/>
      <c r="H17" s="446"/>
      <c r="I17" s="447"/>
      <c r="J17" s="447"/>
    </row>
    <row r="18" spans="1:10">
      <c r="A18" s="439"/>
      <c r="B18" s="448"/>
      <c r="C18" s="448"/>
      <c r="D18" s="448"/>
      <c r="E18" s="448"/>
      <c r="F18" s="448"/>
      <c r="G18" s="448"/>
      <c r="H18" s="449"/>
      <c r="I18" s="450"/>
      <c r="J18" s="450"/>
    </row>
    <row r="19" spans="1:10">
      <c r="A19" s="439"/>
      <c r="B19" s="448" t="s">
        <v>1458</v>
      </c>
      <c r="C19" s="448"/>
      <c r="D19" s="448"/>
      <c r="E19" s="1474" t="s">
        <v>1460</v>
      </c>
      <c r="F19" s="1474"/>
      <c r="G19" s="1474"/>
      <c r="H19" s="220"/>
      <c r="I19" s="451"/>
      <c r="J19" s="451"/>
    </row>
    <row r="20" spans="1:10" ht="15" customHeight="1">
      <c r="A20" s="439"/>
      <c r="B20" s="448" t="s">
        <v>1459</v>
      </c>
      <c r="C20" s="452"/>
      <c r="D20" s="452"/>
      <c r="E20" s="1474"/>
      <c r="F20" s="1474"/>
      <c r="G20" s="1474"/>
      <c r="H20" s="220"/>
      <c r="I20" s="451"/>
      <c r="J20" s="451"/>
    </row>
    <row r="21" spans="1:10" ht="15.6" customHeight="1">
      <c r="A21" s="439"/>
      <c r="B21" s="452"/>
      <c r="C21" s="452"/>
      <c r="D21" s="452"/>
      <c r="E21" s="1474" t="s">
        <v>1446</v>
      </c>
      <c r="F21" s="1474"/>
      <c r="G21" s="1474"/>
      <c r="H21" s="220"/>
      <c r="I21" s="451"/>
      <c r="J21" s="451"/>
    </row>
    <row r="22" spans="1:10" ht="36.75" customHeight="1">
      <c r="A22" s="439"/>
      <c r="B22" s="452"/>
      <c r="C22" s="452"/>
      <c r="D22" s="452"/>
      <c r="E22" s="452"/>
      <c r="F22" s="448"/>
      <c r="G22" s="452"/>
      <c r="H22" s="218"/>
    </row>
    <row r="23" spans="1:10" ht="35.25" customHeight="1">
      <c r="A23" s="439"/>
      <c r="B23" s="1477" t="s">
        <v>1461</v>
      </c>
      <c r="C23" s="1477"/>
      <c r="D23" s="1477"/>
      <c r="E23" s="1477"/>
      <c r="F23" s="1477"/>
      <c r="G23" s="1477"/>
      <c r="H23" s="453"/>
      <c r="I23" s="454"/>
      <c r="J23" s="454"/>
    </row>
    <row r="24" spans="1:10">
      <c r="A24" s="439"/>
      <c r="B24" s="452"/>
      <c r="C24" s="452"/>
      <c r="D24" s="452"/>
      <c r="E24" s="452"/>
      <c r="F24" s="452"/>
      <c r="G24" s="452"/>
      <c r="H24" s="218"/>
    </row>
    <row r="25" spans="1:10">
      <c r="A25" s="439"/>
      <c r="B25" s="448" t="s">
        <v>1458</v>
      </c>
      <c r="C25" s="448"/>
      <c r="D25" s="448"/>
      <c r="E25" s="1474" t="s">
        <v>1460</v>
      </c>
      <c r="F25" s="1474"/>
      <c r="G25" s="1474"/>
      <c r="H25" s="220"/>
    </row>
    <row r="26" spans="1:10">
      <c r="A26" s="439"/>
      <c r="B26" s="448" t="s">
        <v>1459</v>
      </c>
      <c r="C26" s="452"/>
      <c r="D26" s="452"/>
      <c r="E26" s="1474"/>
      <c r="F26" s="1474"/>
      <c r="G26" s="1474"/>
      <c r="H26" s="220"/>
    </row>
    <row r="27" spans="1:10" ht="19.149999999999999" customHeight="1">
      <c r="A27" s="439"/>
      <c r="B27" s="452"/>
      <c r="C27" s="452"/>
      <c r="D27" s="452"/>
      <c r="E27" s="1474" t="s">
        <v>1446</v>
      </c>
      <c r="F27" s="1474"/>
      <c r="G27" s="1474"/>
      <c r="H27" s="220"/>
    </row>
    <row r="28" spans="1:10">
      <c r="A28" s="439"/>
      <c r="B28" s="452"/>
      <c r="C28" s="452"/>
      <c r="D28" s="452"/>
      <c r="E28" s="452"/>
      <c r="F28" s="452"/>
      <c r="G28" s="452"/>
      <c r="H28" s="218"/>
    </row>
  </sheetData>
  <sheetProtection password="CC00" sheet="1" objects="1" scenarios="1" formatCells="0" formatColumns="0" formatRows="0" insertColumns="0" insertRows="0"/>
  <customSheetViews>
    <customSheetView guid="{AF8DD0C3-82AF-40F4-9518-B58C2E7D25DB}" hiddenColumns="1">
      <selection activeCell="J11" sqref="J11"/>
      <pageMargins left="0.7" right="0.7" top="0.5" bottom="0.5" header="0.3" footer="0.3"/>
      <printOptions horizontalCentered="1"/>
      <pageSetup paperSize="9" orientation="portrait" blackAndWhite="1" r:id="rId1"/>
    </customSheetView>
    <customSheetView guid="{42E2D281-D8CE-4199-94CF-E6DFE3EDCACD}" showGridLines="0" showRowCol="0" topLeftCell="A4">
      <selection activeCell="B16" sqref="B16:G16"/>
      <pageMargins left="0.7" right="0.7" top="0.75" bottom="0.75" header="0.3" footer="0.3"/>
      <pageSetup paperSize="5" orientation="portrait" r:id="rId2"/>
    </customSheetView>
    <customSheetView guid="{79BDAD5E-470D-413B-AE3A-BBB122EFD8E5}" hiddenColumns="1">
      <selection activeCell="B8" sqref="B8:D8"/>
      <pageMargins left="0.7" right="0.7" top="0.5" bottom="0.5" header="0.3" footer="0.3"/>
      <printOptions horizontalCentered="1"/>
      <pageSetup paperSize="9" orientation="portrait" blackAndWhite="1" r:id="rId3"/>
    </customSheetView>
  </customSheetViews>
  <mergeCells count="33">
    <mergeCell ref="A1:G1"/>
    <mergeCell ref="A2:G2"/>
    <mergeCell ref="E5:G5"/>
    <mergeCell ref="E6:G6"/>
    <mergeCell ref="E3:G3"/>
    <mergeCell ref="E4:G4"/>
    <mergeCell ref="B4:D7"/>
    <mergeCell ref="B10:D10"/>
    <mergeCell ref="B11:D11"/>
    <mergeCell ref="E11:G11"/>
    <mergeCell ref="E12:G12"/>
    <mergeCell ref="B3:D3"/>
    <mergeCell ref="B8:D8"/>
    <mergeCell ref="B9:D9"/>
    <mergeCell ref="E8:G8"/>
    <mergeCell ref="E9:G9"/>
    <mergeCell ref="E7:G7"/>
    <mergeCell ref="I6:I8"/>
    <mergeCell ref="J6:J8"/>
    <mergeCell ref="E25:G25"/>
    <mergeCell ref="E26:G26"/>
    <mergeCell ref="E27:G27"/>
    <mergeCell ref="B16:G16"/>
    <mergeCell ref="B17:G17"/>
    <mergeCell ref="B23:G23"/>
    <mergeCell ref="E10:G10"/>
    <mergeCell ref="B15:G15"/>
    <mergeCell ref="E19:G19"/>
    <mergeCell ref="E20:G20"/>
    <mergeCell ref="E21:G21"/>
    <mergeCell ref="A14:G14"/>
    <mergeCell ref="B12:D13"/>
    <mergeCell ref="E13:G13"/>
  </mergeCells>
  <printOptions horizontalCentered="1"/>
  <pageMargins left="0.7" right="0.7" top="0.5" bottom="0.5" header="0.3" footer="0.3"/>
  <pageSetup paperSize="9" orientation="portrait" blackAndWhite="1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CJ2150"/>
  <sheetViews>
    <sheetView topLeftCell="A2" zoomScale="110" zoomScaleNormal="110" workbookViewId="0">
      <selection activeCell="D34" sqref="D34"/>
    </sheetView>
  </sheetViews>
  <sheetFormatPr defaultColWidth="8.85546875" defaultRowHeight="15"/>
  <cols>
    <col min="1" max="1" width="4.140625" style="35" customWidth="1"/>
    <col min="2" max="2" width="24.140625" style="38" customWidth="1"/>
    <col min="3" max="3" width="12" style="37" customWidth="1"/>
    <col min="4" max="4" width="16.140625" style="37" customWidth="1"/>
    <col min="5" max="5" width="2" style="37" customWidth="1"/>
    <col min="6" max="6" width="10" style="38" customWidth="1"/>
    <col min="7" max="7" width="12.140625" style="38" customWidth="1"/>
    <col min="8" max="8" width="10.140625" style="38" customWidth="1"/>
    <col min="9" max="11" width="9.7109375" style="38" customWidth="1"/>
    <col min="12" max="12" width="11.7109375" style="38" customWidth="1"/>
    <col min="13" max="13" width="12.7109375" style="38" customWidth="1"/>
    <col min="14" max="14" width="17.5703125" style="38" customWidth="1"/>
    <col min="15" max="15" width="19.140625" style="38" customWidth="1"/>
    <col min="16" max="16" width="9.42578125" style="38" customWidth="1"/>
    <col min="17" max="17" width="10" style="222" customWidth="1"/>
    <col min="18" max="18" width="7.7109375" style="222" hidden="1" customWidth="1"/>
    <col min="19" max="19" width="8.85546875" style="222" hidden="1" customWidth="1"/>
    <col min="20" max="20" width="10.140625" style="222" hidden="1" customWidth="1"/>
    <col min="21" max="22" width="8.85546875" style="222" hidden="1" customWidth="1"/>
    <col min="23" max="23" width="8.5703125" style="222" hidden="1" customWidth="1"/>
    <col min="24" max="25" width="8.85546875" style="222" hidden="1" customWidth="1"/>
    <col min="26" max="26" width="10.7109375" style="222" hidden="1" customWidth="1"/>
    <col min="27" max="27" width="7.85546875" style="222" hidden="1" customWidth="1"/>
    <col min="28" max="28" width="8" style="222" hidden="1" customWidth="1"/>
    <col min="29" max="36" width="8.85546875" style="222" hidden="1" customWidth="1"/>
    <col min="37" max="37" width="10.42578125" style="222" hidden="1" customWidth="1"/>
    <col min="38" max="38" width="18.5703125" style="222" hidden="1" customWidth="1"/>
    <col min="39" max="39" width="15.7109375" style="222" hidden="1" customWidth="1"/>
    <col min="40" max="40" width="22.140625" style="222" hidden="1" customWidth="1"/>
    <col min="41" max="41" width="10.5703125" style="222" hidden="1" customWidth="1"/>
    <col min="42" max="42" width="10.42578125" style="222" hidden="1" customWidth="1"/>
    <col min="43" max="63" width="8.85546875" style="222" hidden="1" customWidth="1"/>
    <col min="64" max="64" width="9" style="222" hidden="1" customWidth="1"/>
    <col min="65" max="67" width="8.85546875" style="222" hidden="1" customWidth="1"/>
    <col min="68" max="68" width="9" style="222" hidden="1" customWidth="1"/>
    <col min="69" max="76" width="8.85546875" style="222" hidden="1" customWidth="1"/>
    <col min="77" max="77" width="13.42578125" style="222" hidden="1" customWidth="1"/>
    <col min="78" max="93" width="8.85546875" style="222" hidden="1" customWidth="1"/>
    <col min="94" max="94" width="9" style="222" hidden="1" customWidth="1"/>
    <col min="95" max="199" width="8.85546875" style="222" hidden="1" customWidth="1"/>
    <col min="200" max="764" width="8.85546875" style="38" hidden="1" customWidth="1"/>
    <col min="765" max="953" width="8.85546875" style="38" customWidth="1"/>
    <col min="954" max="16384" width="8.85546875" style="38"/>
  </cols>
  <sheetData>
    <row r="1" spans="1:672" ht="36" hidden="1" customHeight="1">
      <c r="B1" s="36"/>
      <c r="C1" s="95"/>
      <c r="F1" s="37"/>
      <c r="H1" s="39"/>
      <c r="AK1" s="222" t="s">
        <v>1429</v>
      </c>
      <c r="AM1" s="222" t="s">
        <v>1430</v>
      </c>
      <c r="BL1" s="432">
        <f>DATE(2016,2,29)</f>
        <v>42429</v>
      </c>
      <c r="BM1" s="432">
        <f>DATE(2015,1,3)</f>
        <v>42007</v>
      </c>
      <c r="BN1" s="223"/>
      <c r="CA1" s="223"/>
      <c r="CB1" s="223"/>
      <c r="CC1" s="223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</row>
    <row r="2" spans="1:672" ht="24.75" customHeight="1">
      <c r="A2" s="1101" t="s">
        <v>1883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  <c r="AC2" s="1002" t="s">
        <v>1505</v>
      </c>
      <c r="AD2" s="1002"/>
      <c r="AF2" s="222" t="s">
        <v>1358</v>
      </c>
      <c r="AG2" s="222">
        <v>1</v>
      </c>
      <c r="AM2" s="289">
        <f>VLOOKUP(H7,AM3:AN6,2,FALSE)</f>
        <v>1</v>
      </c>
      <c r="AN2" s="296">
        <f>AM2</f>
        <v>1</v>
      </c>
      <c r="AX2" s="1014" t="s">
        <v>291</v>
      </c>
      <c r="AY2" s="1014"/>
      <c r="AZ2" s="1014"/>
      <c r="BA2" s="1014"/>
      <c r="BC2" s="222" t="s">
        <v>1358</v>
      </c>
      <c r="BG2" s="223" t="s">
        <v>1389</v>
      </c>
      <c r="BH2" s="223"/>
      <c r="BI2" s="223"/>
      <c r="BJ2" s="224"/>
      <c r="BL2" s="290">
        <f>DATE(2015,1,1)</f>
        <v>42005</v>
      </c>
      <c r="BM2" s="223"/>
      <c r="BN2" s="223"/>
      <c r="BP2" s="222" t="s">
        <v>1429</v>
      </c>
      <c r="BS2" s="222" t="s">
        <v>1430</v>
      </c>
      <c r="BY2" s="226">
        <f>BL3</f>
        <v>42036</v>
      </c>
      <c r="BZ2" s="227">
        <f>BL4</f>
        <v>42064</v>
      </c>
      <c r="CA2" s="223"/>
      <c r="CB2" s="223"/>
      <c r="CC2" s="223"/>
      <c r="CE2" s="222">
        <v>0</v>
      </c>
      <c r="CG2" s="222">
        <v>0</v>
      </c>
      <c r="CK2" s="222" t="s">
        <v>1808</v>
      </c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YS2" s="38" t="e">
        <f>RIGHT(CONCATENATE(0,#REF!),7)</f>
        <v>#REF!</v>
      </c>
      <c r="YT2" s="38">
        <v>13000</v>
      </c>
      <c r="YU2" s="38">
        <v>6700</v>
      </c>
      <c r="YV2" s="38">
        <f>VLOOKUP(H6,YT2:YU33,2,FALSE)</f>
        <v>18030</v>
      </c>
    </row>
    <row r="3" spans="1:672" ht="33" customHeight="1">
      <c r="A3" s="1066" t="s">
        <v>1488</v>
      </c>
      <c r="B3" s="1066"/>
      <c r="C3" s="1066"/>
      <c r="D3" s="1066"/>
      <c r="F3" s="1104" t="s">
        <v>1729</v>
      </c>
      <c r="G3" s="1104"/>
      <c r="H3" s="1104"/>
      <c r="I3" s="1104"/>
      <c r="J3" s="1104"/>
      <c r="K3" s="1104"/>
      <c r="L3" s="1104"/>
      <c r="M3" s="1104"/>
      <c r="N3" s="955" t="s">
        <v>1976</v>
      </c>
      <c r="O3" s="955"/>
      <c r="P3" s="955"/>
      <c r="Q3" s="955"/>
      <c r="AB3" s="716" t="s">
        <v>1539</v>
      </c>
      <c r="AC3" s="715" t="s">
        <v>49</v>
      </c>
      <c r="AD3" s="715" t="s">
        <v>1422</v>
      </c>
      <c r="AF3" s="222" t="s">
        <v>1378</v>
      </c>
      <c r="AG3" s="222">
        <v>2</v>
      </c>
      <c r="AK3" s="222" t="s">
        <v>1358</v>
      </c>
      <c r="AL3" s="228"/>
      <c r="AM3" s="229" t="s">
        <v>1358</v>
      </c>
      <c r="AN3" s="296">
        <v>1</v>
      </c>
      <c r="AO3" s="231"/>
      <c r="AX3" s="222" t="s">
        <v>293</v>
      </c>
      <c r="BA3" s="230"/>
      <c r="BC3" s="594" t="str">
        <f>CONCATENATE("SL FY -",CC8)</f>
        <v>SL FY -2015-2016</v>
      </c>
      <c r="BD3" s="231"/>
      <c r="BE3" s="96">
        <v>15</v>
      </c>
      <c r="BF3" s="232">
        <v>0</v>
      </c>
      <c r="BG3" s="232">
        <v>0</v>
      </c>
      <c r="BH3" s="222" t="s">
        <v>1347</v>
      </c>
      <c r="BI3" s="223"/>
      <c r="BJ3" s="224"/>
      <c r="BL3" s="245">
        <f>DATE(YEAR(BL2),MONTH(BL2)+1,1)</f>
        <v>42036</v>
      </c>
      <c r="BM3" s="223"/>
      <c r="BN3" s="223"/>
      <c r="BO3" s="222" t="s">
        <v>1576</v>
      </c>
      <c r="BR3" s="96"/>
      <c r="BS3" s="96"/>
      <c r="BT3" s="96"/>
      <c r="BU3" s="96"/>
      <c r="BY3" s="226">
        <f t="shared" ref="BY3:BY14" si="0">BL4</f>
        <v>42064</v>
      </c>
      <c r="BZ3" s="227">
        <f t="shared" ref="BZ3:BZ15" si="1">BL5</f>
        <v>42095</v>
      </c>
      <c r="CA3" s="223">
        <v>15</v>
      </c>
      <c r="CB3" s="223">
        <v>10</v>
      </c>
      <c r="CC3" s="223" t="s">
        <v>1354</v>
      </c>
      <c r="CE3" s="233">
        <v>50</v>
      </c>
      <c r="CF3" s="234">
        <v>75</v>
      </c>
      <c r="CG3" s="283">
        <v>400</v>
      </c>
      <c r="CH3" s="283">
        <v>500</v>
      </c>
      <c r="CI3" s="736">
        <f>VLOOKUP(L9,CG2:CH5,2,FALSE)</f>
        <v>0</v>
      </c>
      <c r="CK3" s="222" t="s">
        <v>1510</v>
      </c>
      <c r="CL3" s="230">
        <f>DATE(2011,4,1)</f>
        <v>40634</v>
      </c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FF3" s="235"/>
      <c r="YS3" s="38" t="e">
        <f>RIGHT(CONCATENATE(0,#REF!),7)</f>
        <v>#REF!</v>
      </c>
      <c r="YT3" s="38">
        <v>13390</v>
      </c>
      <c r="YU3" s="38">
        <v>6900</v>
      </c>
      <c r="YV3" s="38">
        <f>VLOOKUP(H8,YT2:YU33,2,FALSE)</f>
        <v>21820</v>
      </c>
    </row>
    <row r="4" spans="1:672" s="2" customFormat="1" ht="24" customHeight="1">
      <c r="A4" s="40">
        <v>1</v>
      </c>
      <c r="B4" s="41" t="s">
        <v>59</v>
      </c>
      <c r="C4" s="1033" t="s">
        <v>1970</v>
      </c>
      <c r="D4" s="1034"/>
      <c r="E4" s="37"/>
      <c r="F4" s="1082" t="str">
        <f>CONCATENATE("Basic  Pay  as  on ",TEXT(BL2,"DD-MM-YYYY"))</f>
        <v>Basic  Pay  as  on 01-01-2015</v>
      </c>
      <c r="G4" s="1082"/>
      <c r="H4" s="775">
        <v>53950</v>
      </c>
      <c r="I4" s="775">
        <f>AB66</f>
        <v>25600</v>
      </c>
      <c r="J4" s="775">
        <v>53950</v>
      </c>
      <c r="K4" s="721" t="str">
        <f>IF(H4&lt;S66,"Date of Pay Change"," Next Increment")</f>
        <v xml:space="preserve"> Next Increment</v>
      </c>
      <c r="L4" s="776">
        <v>42248</v>
      </c>
      <c r="M4" s="333">
        <v>1</v>
      </c>
      <c r="N4" s="1068" t="s">
        <v>1517</v>
      </c>
      <c r="O4" s="1069"/>
      <c r="P4" s="1069"/>
      <c r="Q4" s="1069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>
        <f t="shared" ref="AB4:AB9" si="2">IF(N6=$AF$2,$AG$2,IF(N6=$AF$3,$AG$3,$AG$4))</f>
        <v>1</v>
      </c>
      <c r="AC4" s="237">
        <f>IF(N6=$AF$2,'IN RPS-2015'!$C$9,P6+O6-1)</f>
        <v>42461</v>
      </c>
      <c r="AD4" s="237">
        <f>IF(N6=$AF$2,'IN RPS-2015'!$C$9,Q6+O6-1)</f>
        <v>42461</v>
      </c>
      <c r="AE4" s="236"/>
      <c r="AF4" s="222" t="s">
        <v>1379</v>
      </c>
      <c r="AG4" s="236">
        <v>3</v>
      </c>
      <c r="AH4" s="236"/>
      <c r="AI4" s="236"/>
      <c r="AJ4" s="236"/>
      <c r="AK4" s="236" t="s">
        <v>1353</v>
      </c>
      <c r="AL4" s="228"/>
      <c r="AM4" s="294" t="s">
        <v>1431</v>
      </c>
      <c r="AN4" s="296">
        <v>2</v>
      </c>
      <c r="AO4" s="231"/>
      <c r="AP4" s="236"/>
      <c r="AQ4" s="236"/>
      <c r="AR4" s="236"/>
      <c r="AS4" s="236"/>
      <c r="AT4" s="236"/>
      <c r="AU4" s="236"/>
      <c r="AV4" s="236"/>
      <c r="AW4" s="236"/>
      <c r="AX4" s="284" t="str">
        <f>AX35</f>
        <v>Not-Applicable</v>
      </c>
      <c r="AY4" s="238" t="s">
        <v>1357</v>
      </c>
      <c r="AZ4" s="238" t="s">
        <v>1355</v>
      </c>
      <c r="BA4" s="238" t="s">
        <v>1356</v>
      </c>
      <c r="BB4" s="239" t="s">
        <v>296</v>
      </c>
      <c r="BC4" s="594" t="str">
        <f>CONCATENATE("SL FY ",CC8," &amp; ",CC9)</f>
        <v>SL FY 2015-2016 &amp; 2014-2015</v>
      </c>
      <c r="BD4" s="101"/>
      <c r="BE4" s="101">
        <v>30</v>
      </c>
      <c r="BF4" s="232">
        <v>10</v>
      </c>
      <c r="BG4" s="232">
        <v>20</v>
      </c>
      <c r="BH4" s="222" t="s">
        <v>1535</v>
      </c>
      <c r="BI4" s="223"/>
      <c r="BJ4" s="224">
        <v>1</v>
      </c>
      <c r="BK4" s="240">
        <f>BL3</f>
        <v>42036</v>
      </c>
      <c r="BL4" s="245">
        <f>DATE(YEAR(BL3),MONTH(BL3)+1,1)</f>
        <v>42064</v>
      </c>
      <c r="BM4" s="225">
        <f>BL3</f>
        <v>42036</v>
      </c>
      <c r="BN4" s="223">
        <v>1</v>
      </c>
      <c r="BO4" s="223">
        <f>IF($L$4=$BM$16,"",1)</f>
        <v>1</v>
      </c>
      <c r="BP4" s="240">
        <f>MAX(L5,BM1)</f>
        <v>42095</v>
      </c>
      <c r="BQ4" s="223">
        <v>1</v>
      </c>
      <c r="BS4" s="240">
        <f>MAX(L7,DATE(YEAR(BM1),1,1))</f>
        <v>42309</v>
      </c>
      <c r="BT4" s="241">
        <v>1</v>
      </c>
      <c r="BU4" s="242">
        <f>IF(AN10=4,L4,BL4)</f>
        <v>42064</v>
      </c>
      <c r="BV4" s="222">
        <v>1901</v>
      </c>
      <c r="BW4" s="241">
        <v>1</v>
      </c>
      <c r="BX4" s="241">
        <v>1</v>
      </c>
      <c r="BY4" s="226">
        <f t="shared" si="0"/>
        <v>42095</v>
      </c>
      <c r="BZ4" s="227">
        <f t="shared" si="1"/>
        <v>42125</v>
      </c>
      <c r="CA4" s="223">
        <v>30</v>
      </c>
      <c r="CB4" s="223">
        <v>12.5</v>
      </c>
      <c r="CC4" s="223">
        <v>15</v>
      </c>
      <c r="CD4" s="222"/>
      <c r="CE4" s="233">
        <v>75</v>
      </c>
      <c r="CF4" s="234">
        <v>110</v>
      </c>
      <c r="CG4" s="283">
        <v>500</v>
      </c>
      <c r="CH4" s="283">
        <v>600</v>
      </c>
      <c r="CI4" s="236"/>
      <c r="CJ4" s="222"/>
      <c r="CK4" s="222">
        <v>0</v>
      </c>
      <c r="CL4" s="222">
        <v>0</v>
      </c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/>
      <c r="FC4" s="236"/>
      <c r="FD4" s="236"/>
      <c r="FE4" s="236"/>
      <c r="FF4" s="236"/>
      <c r="FG4" s="236"/>
      <c r="FH4" s="236"/>
      <c r="FI4" s="236"/>
      <c r="FJ4" s="236"/>
      <c r="FK4" s="236"/>
      <c r="FL4" s="236"/>
      <c r="FM4" s="236"/>
      <c r="FN4" s="236"/>
      <c r="FO4" s="236"/>
      <c r="FP4" s="236"/>
      <c r="FQ4" s="236"/>
      <c r="FR4" s="236"/>
      <c r="FS4" s="236"/>
      <c r="FT4" s="236"/>
      <c r="FU4" s="236"/>
      <c r="FV4" s="236"/>
      <c r="FW4" s="236"/>
      <c r="FX4" s="236"/>
      <c r="FY4" s="236"/>
      <c r="FZ4" s="236"/>
      <c r="GA4" s="236"/>
      <c r="GB4" s="236"/>
      <c r="GC4" s="236"/>
      <c r="GD4" s="236"/>
      <c r="GE4" s="236"/>
      <c r="GF4" s="236"/>
      <c r="GG4" s="236"/>
      <c r="GH4" s="236"/>
      <c r="GI4" s="236"/>
      <c r="GJ4" s="236"/>
      <c r="GK4" s="236"/>
      <c r="GL4" s="236"/>
      <c r="GM4" s="236"/>
      <c r="GN4" s="236"/>
      <c r="GO4" s="236"/>
      <c r="GP4" s="236"/>
      <c r="GQ4" s="236"/>
      <c r="YS4" s="38" t="e">
        <f>RIGHT(CONCATENATE(0,#REF!),7)</f>
        <v>#REF!</v>
      </c>
      <c r="YT4" s="2">
        <v>13780</v>
      </c>
      <c r="YU4" s="2">
        <v>7100</v>
      </c>
    </row>
    <row r="5" spans="1:672" s="2" customFormat="1" ht="24" customHeight="1">
      <c r="A5" s="40">
        <v>2</v>
      </c>
      <c r="B5" s="41" t="s">
        <v>42</v>
      </c>
      <c r="C5" s="1033" t="s">
        <v>1977</v>
      </c>
      <c r="D5" s="1034"/>
      <c r="E5" s="37"/>
      <c r="F5" s="965" t="s">
        <v>1429</v>
      </c>
      <c r="G5" s="965"/>
      <c r="H5" s="966" t="s">
        <v>1358</v>
      </c>
      <c r="I5" s="966"/>
      <c r="J5" s="975" t="s">
        <v>1574</v>
      </c>
      <c r="K5" s="975"/>
      <c r="L5" s="97">
        <v>42095</v>
      </c>
      <c r="M5" s="293">
        <v>21</v>
      </c>
      <c r="N5" s="118" t="s">
        <v>1487</v>
      </c>
      <c r="O5" s="118" t="s">
        <v>1513</v>
      </c>
      <c r="P5" s="119" t="s">
        <v>1512</v>
      </c>
      <c r="Q5" s="256" t="s">
        <v>1511</v>
      </c>
      <c r="R5" s="243"/>
      <c r="S5" s="236"/>
      <c r="T5" s="236"/>
      <c r="U5" s="236"/>
      <c r="V5" s="236"/>
      <c r="W5" s="236"/>
      <c r="X5" s="236"/>
      <c r="Y5" s="236"/>
      <c r="Z5" s="236"/>
      <c r="AA5" s="236"/>
      <c r="AB5" s="236">
        <f t="shared" si="2"/>
        <v>1</v>
      </c>
      <c r="AC5" s="237">
        <f>IF(N7=$AF$2,'IN RPS-2015'!$C$9,P7+O7-1)</f>
        <v>42461</v>
      </c>
      <c r="AD5" s="237">
        <f>IF(N7=$AF$2,'IN RPS-2015'!$C$9,Q7+O7-1)</f>
        <v>42461</v>
      </c>
      <c r="AE5" s="236"/>
      <c r="AF5" s="236"/>
      <c r="AG5" s="236"/>
      <c r="AH5" s="236"/>
      <c r="AI5" s="236"/>
      <c r="AJ5" s="236"/>
      <c r="AK5" s="236"/>
      <c r="AL5" s="244"/>
      <c r="AM5" s="295" t="s">
        <v>1432</v>
      </c>
      <c r="AN5" s="296">
        <v>3</v>
      </c>
      <c r="AO5" s="101"/>
      <c r="AP5" s="236"/>
      <c r="AQ5" s="236"/>
      <c r="AR5" s="236"/>
      <c r="AS5" s="236"/>
      <c r="AT5" s="236"/>
      <c r="AU5" s="236"/>
      <c r="AV5" s="236"/>
      <c r="AW5" s="236"/>
      <c r="AX5" s="284">
        <v>6040</v>
      </c>
      <c r="AY5" s="284">
        <v>300</v>
      </c>
      <c r="AZ5" s="284">
        <v>375</v>
      </c>
      <c r="BA5" s="284">
        <v>450</v>
      </c>
      <c r="BB5" s="222"/>
      <c r="BC5" s="96"/>
      <c r="BD5" s="96"/>
      <c r="BE5" s="96"/>
      <c r="BF5" s="232">
        <v>12.5</v>
      </c>
      <c r="BG5" s="232">
        <v>22</v>
      </c>
      <c r="BH5" s="222" t="s">
        <v>1533</v>
      </c>
      <c r="BI5" s="223"/>
      <c r="BJ5" s="224">
        <v>2</v>
      </c>
      <c r="BK5" s="240">
        <f>DATE(YEAR(BK4),MONTH(BK4)+1,1)</f>
        <v>42064</v>
      </c>
      <c r="BL5" s="245">
        <f>DATE(YEAR(BL4),MONTH(BL4)+1,1)</f>
        <v>42095</v>
      </c>
      <c r="BM5" s="245">
        <f>DATE(YEAR(BM4),MONTH(BM4)+1,1)</f>
        <v>42064</v>
      </c>
      <c r="BN5" s="223">
        <f t="shared" ref="BN5:BN34" si="3">MIN(DAY(EOMONTH($L$5,0)),BN4+1)</f>
        <v>2</v>
      </c>
      <c r="BO5" s="223">
        <f>IF($L$4=$BM$16,"",MIN(DAY(EOMONTH($L$4,0)),BO4+1))</f>
        <v>2</v>
      </c>
      <c r="BP5" s="240">
        <f>MIN(DATE(YEAR(BP4),MONTH(BP4)+1,1),$BL$1+1)</f>
        <v>42125</v>
      </c>
      <c r="BQ5" s="223">
        <f>MIN(DAY(EOMONTH($BP$4,0)),BQ4+1)</f>
        <v>2</v>
      </c>
      <c r="BS5" s="240">
        <f>MIN(DATE(YEAR(BS4),MONTH(BS4)+1,1),$BL$1+1)</f>
        <v>42339</v>
      </c>
      <c r="BT5" s="281">
        <f>MIN(DAY(EOMONTH($BS$4,0)),BT4+1)</f>
        <v>2</v>
      </c>
      <c r="BU5" s="240">
        <f>MIN(DATE(YEAR(BU4),MONTH(BU4)+1,1),DATE(YEAR(BL2),3,1))</f>
        <v>42064</v>
      </c>
      <c r="BV5" s="222">
        <f>BV4+1</f>
        <v>1902</v>
      </c>
      <c r="BW5" s="281">
        <f t="shared" ref="BW5:BW34" si="4">MIN(DAY(EOMONTH($G$17,0)),BW4+1)</f>
        <v>2</v>
      </c>
      <c r="BX5" s="281">
        <f t="shared" ref="BX5:BX34" si="5">MIN(DAY(EOMONTH($G$18,0)),BX4+1)</f>
        <v>2</v>
      </c>
      <c r="BY5" s="226">
        <f t="shared" si="0"/>
        <v>42125</v>
      </c>
      <c r="BZ5" s="227">
        <f t="shared" si="1"/>
        <v>42156</v>
      </c>
      <c r="CA5" s="223">
        <v>60</v>
      </c>
      <c r="CB5" s="223">
        <v>20</v>
      </c>
      <c r="CC5" s="223">
        <v>30</v>
      </c>
      <c r="CD5" s="222">
        <v>1000</v>
      </c>
      <c r="CE5" s="233">
        <v>100</v>
      </c>
      <c r="CF5" s="234">
        <v>150</v>
      </c>
      <c r="CG5" s="283">
        <v>600</v>
      </c>
      <c r="CH5" s="283">
        <v>700</v>
      </c>
      <c r="CI5" s="236"/>
      <c r="CJ5" s="222"/>
      <c r="CK5" s="222">
        <v>10</v>
      </c>
      <c r="CL5" s="222">
        <v>12</v>
      </c>
      <c r="CM5" s="101"/>
      <c r="CN5" s="236"/>
      <c r="CO5" s="236"/>
      <c r="CP5" s="236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/>
      <c r="GE5" s="236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  <c r="YS5" s="38" t="e">
        <f>RIGHT(CONCATENATE(0,#REF!),7)</f>
        <v>#REF!</v>
      </c>
      <c r="YT5" s="2">
        <v>14600</v>
      </c>
      <c r="YU5" s="2">
        <v>7520</v>
      </c>
    </row>
    <row r="6" spans="1:672" s="2" customFormat="1" ht="24" customHeight="1">
      <c r="A6" s="40">
        <v>3</v>
      </c>
      <c r="B6" s="93" t="s">
        <v>60</v>
      </c>
      <c r="C6" s="1033" t="s">
        <v>1975</v>
      </c>
      <c r="D6" s="1034"/>
      <c r="E6" s="37"/>
      <c r="F6" s="1111" t="s">
        <v>1489</v>
      </c>
      <c r="G6" s="1111"/>
      <c r="H6" s="723">
        <v>35120</v>
      </c>
      <c r="I6" s="723">
        <f>YV2</f>
        <v>18030</v>
      </c>
      <c r="J6" s="975" t="str">
        <f>IF(OR(AN10=4,H5=AK4),"Pay Bill Including Month","")</f>
        <v/>
      </c>
      <c r="K6" s="975"/>
      <c r="L6" s="1110">
        <v>42309</v>
      </c>
      <c r="M6" s="1110"/>
      <c r="N6" s="211" t="s">
        <v>1358</v>
      </c>
      <c r="O6" s="212">
        <v>42339</v>
      </c>
      <c r="P6" s="213">
        <v>4</v>
      </c>
      <c r="Q6" s="213">
        <v>12</v>
      </c>
      <c r="R6" s="101"/>
      <c r="S6" s="236"/>
      <c r="T6" s="236"/>
      <c r="U6" s="236"/>
      <c r="V6" s="236"/>
      <c r="W6" s="236"/>
      <c r="X6" s="236"/>
      <c r="Y6" s="236"/>
      <c r="Z6" s="236"/>
      <c r="AA6" s="236"/>
      <c r="AB6" s="236">
        <f t="shared" si="2"/>
        <v>1</v>
      </c>
      <c r="AC6" s="237">
        <f>IF(N8=$AF$2,'IN RPS-2015'!$C$9,P8+O8-1)</f>
        <v>42461</v>
      </c>
      <c r="AD6" s="237">
        <f>IF(N8=$AF$2,'IN RPS-2015'!$C$9,Q8+O8-1)</f>
        <v>42461</v>
      </c>
      <c r="AE6" s="236"/>
      <c r="AF6" s="101"/>
      <c r="AG6" s="246"/>
      <c r="AH6" s="247"/>
      <c r="AI6" s="101"/>
      <c r="AJ6" s="101"/>
      <c r="AK6" s="236"/>
      <c r="AL6" s="244"/>
      <c r="AM6" s="295" t="s">
        <v>1433</v>
      </c>
      <c r="AN6" s="296">
        <v>4</v>
      </c>
      <c r="AO6" s="101"/>
      <c r="AP6" s="236"/>
      <c r="AQ6" s="236"/>
      <c r="AR6" s="236"/>
      <c r="AS6" s="236"/>
      <c r="AT6" s="236"/>
      <c r="AU6" s="236"/>
      <c r="AV6" s="236"/>
      <c r="AW6" s="236"/>
      <c r="AX6" s="284">
        <v>7770</v>
      </c>
      <c r="AY6" s="284">
        <v>375</v>
      </c>
      <c r="AZ6" s="284">
        <v>450</v>
      </c>
      <c r="BA6" s="284">
        <v>525</v>
      </c>
      <c r="BB6" s="222"/>
      <c r="BC6" s="96"/>
      <c r="BD6" s="96"/>
      <c r="BE6" s="96"/>
      <c r="BF6" s="232">
        <v>20</v>
      </c>
      <c r="BG6" s="232">
        <v>27.5</v>
      </c>
      <c r="BH6" s="222" t="s">
        <v>1534</v>
      </c>
      <c r="BI6" s="223"/>
      <c r="BJ6" s="224">
        <v>3</v>
      </c>
      <c r="BK6" s="240">
        <f t="shared" ref="BK6:BM29" si="6">DATE(YEAR(BK5),MONTH(BK5)+1,1)</f>
        <v>42095</v>
      </c>
      <c r="BL6" s="245">
        <f>DATE(YEAR(BL5),MONTH(BL5)+1,1)</f>
        <v>42125</v>
      </c>
      <c r="BM6" s="245">
        <f t="shared" si="6"/>
        <v>42095</v>
      </c>
      <c r="BN6" s="223">
        <f t="shared" si="3"/>
        <v>3</v>
      </c>
      <c r="BO6" s="223">
        <f t="shared" ref="BO6:BO34" si="7">IF($L$4=$BM$16,"",MIN(DAY(EOMONTH($L$4,0)),BO5+1))</f>
        <v>3</v>
      </c>
      <c r="BP6" s="240">
        <f t="shared" ref="BP6:BP16" si="8">MIN(DATE(YEAR(BP5),MONTH(BP5)+1,1),$BL$1+1)</f>
        <v>42156</v>
      </c>
      <c r="BQ6" s="223">
        <f t="shared" ref="BQ6:BQ34" si="9">MIN(DAY(EOMONTH($BP$4,0)),BQ5+1)</f>
        <v>3</v>
      </c>
      <c r="BS6" s="240">
        <f t="shared" ref="BS6:BS16" si="10">MIN(DATE(YEAR(BS5),MONTH(BS5)+1,1),$BL$1+1)</f>
        <v>42370</v>
      </c>
      <c r="BT6" s="286">
        <f t="shared" ref="BT6:BT34" si="11">MIN(DAY(EOMONTH($BS$4,0)),BT5+1)</f>
        <v>3</v>
      </c>
      <c r="BU6" s="240">
        <f t="shared" ref="BU6:BU16" si="12">MIN(DATE(YEAR(BU5),MONTH(BU5)+1,1),DATE(YEAR(BL3),3,1))</f>
        <v>42064</v>
      </c>
      <c r="BV6" s="222">
        <f t="shared" ref="BV6:BV69" si="13">BV5+1</f>
        <v>1903</v>
      </c>
      <c r="BW6" s="281">
        <f t="shared" si="4"/>
        <v>3</v>
      </c>
      <c r="BX6" s="281">
        <f t="shared" si="5"/>
        <v>3</v>
      </c>
      <c r="BY6" s="226">
        <f t="shared" si="0"/>
        <v>42156</v>
      </c>
      <c r="BZ6" s="227">
        <f t="shared" si="1"/>
        <v>42186</v>
      </c>
      <c r="CA6" s="223">
        <v>120</v>
      </c>
      <c r="CB6" s="223">
        <v>30</v>
      </c>
      <c r="CC6" s="223" t="s">
        <v>1377</v>
      </c>
      <c r="CD6" s="222">
        <v>2000</v>
      </c>
      <c r="CE6" s="222" t="s">
        <v>1905</v>
      </c>
      <c r="CF6" s="222"/>
      <c r="CG6" s="222" t="s">
        <v>1910</v>
      </c>
      <c r="CH6" s="222"/>
      <c r="CI6" s="222"/>
      <c r="CJ6" s="222"/>
      <c r="CK6" s="222">
        <v>12.5</v>
      </c>
      <c r="CL6" s="222">
        <v>14.5</v>
      </c>
      <c r="CM6" s="101"/>
      <c r="CN6" s="225"/>
      <c r="CO6" s="225"/>
      <c r="CP6" s="225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6"/>
      <c r="FT6" s="236"/>
      <c r="FU6" s="236"/>
      <c r="FV6" s="236"/>
      <c r="FW6" s="236"/>
      <c r="FX6" s="236"/>
      <c r="FY6" s="236"/>
      <c r="FZ6" s="236"/>
      <c r="GA6" s="236"/>
      <c r="GB6" s="236"/>
      <c r="GC6" s="236"/>
      <c r="GD6" s="236"/>
      <c r="GE6" s="236"/>
      <c r="GF6" s="236"/>
      <c r="GG6" s="236"/>
      <c r="GH6" s="236"/>
      <c r="GI6" s="236"/>
      <c r="GJ6" s="236"/>
      <c r="GK6" s="236"/>
      <c r="GL6" s="236"/>
      <c r="GM6" s="236"/>
      <c r="GN6" s="236"/>
      <c r="GO6" s="236"/>
      <c r="GP6" s="236"/>
      <c r="GQ6" s="236"/>
      <c r="YS6" s="38" t="e">
        <f>RIGHT(CONCATENATE(0,#REF!),7)</f>
        <v>#REF!</v>
      </c>
      <c r="YT6" s="2">
        <v>15030</v>
      </c>
      <c r="YU6" s="2">
        <v>7740</v>
      </c>
    </row>
    <row r="7" spans="1:672" s="2" customFormat="1" ht="24" customHeight="1">
      <c r="A7" s="40">
        <v>4</v>
      </c>
      <c r="B7" s="41" t="s">
        <v>45</v>
      </c>
      <c r="C7" s="1089" t="s">
        <v>120</v>
      </c>
      <c r="D7" s="1090"/>
      <c r="E7" s="37"/>
      <c r="F7" s="964" t="s">
        <v>1495</v>
      </c>
      <c r="G7" s="964"/>
      <c r="H7" s="974" t="s">
        <v>1358</v>
      </c>
      <c r="I7" s="974"/>
      <c r="J7" s="964" t="s">
        <v>1428</v>
      </c>
      <c r="K7" s="964"/>
      <c r="L7" s="764">
        <v>42309</v>
      </c>
      <c r="M7" s="334">
        <v>3</v>
      </c>
      <c r="N7" s="211" t="s">
        <v>1358</v>
      </c>
      <c r="O7" s="212">
        <v>42095</v>
      </c>
      <c r="P7" s="213">
        <v>1</v>
      </c>
      <c r="Q7" s="213">
        <v>1</v>
      </c>
      <c r="R7" s="101"/>
      <c r="S7" s="236"/>
      <c r="T7" s="236"/>
      <c r="U7" s="236"/>
      <c r="V7" s="236"/>
      <c r="W7" s="236"/>
      <c r="X7" s="236"/>
      <c r="Y7" s="236"/>
      <c r="Z7" s="236"/>
      <c r="AA7" s="236"/>
      <c r="AB7" s="236">
        <f t="shared" si="2"/>
        <v>1</v>
      </c>
      <c r="AC7" s="237">
        <f>IF(N9=$AF$2,'IN RPS-2015'!$C$9,P9+O9-1)</f>
        <v>42461</v>
      </c>
      <c r="AD7" s="237">
        <f>IF(N9=$AF$2,'IN RPS-2015'!$C$9,Q9+O9-1)</f>
        <v>42461</v>
      </c>
      <c r="AE7" s="236"/>
      <c r="AF7" s="101"/>
      <c r="AG7" s="101"/>
      <c r="AH7" s="101"/>
      <c r="AI7" s="101"/>
      <c r="AJ7" s="101"/>
      <c r="AK7" s="236"/>
      <c r="AL7" s="222"/>
      <c r="AM7" s="222"/>
      <c r="AN7" s="222"/>
      <c r="AO7" s="236"/>
      <c r="AP7" s="236"/>
      <c r="AQ7" s="236"/>
      <c r="AR7" s="236"/>
      <c r="AS7" s="236"/>
      <c r="AT7" s="236"/>
      <c r="AU7" s="236"/>
      <c r="AV7" s="236"/>
      <c r="AW7" s="236"/>
      <c r="AX7" s="284">
        <v>9775</v>
      </c>
      <c r="AY7" s="284">
        <v>450</v>
      </c>
      <c r="AZ7" s="284">
        <v>550</v>
      </c>
      <c r="BA7" s="284">
        <v>600</v>
      </c>
      <c r="BB7" s="222"/>
      <c r="BC7" s="96" t="s">
        <v>1499</v>
      </c>
      <c r="BD7" s="96"/>
      <c r="BE7" s="96"/>
      <c r="BF7" s="232">
        <v>30</v>
      </c>
      <c r="BG7" s="232">
        <v>36</v>
      </c>
      <c r="BH7" s="223"/>
      <c r="BI7" s="223"/>
      <c r="BJ7" s="224">
        <v>4</v>
      </c>
      <c r="BK7" s="240">
        <f t="shared" si="6"/>
        <v>42125</v>
      </c>
      <c r="BL7" s="245">
        <f>DATE(YEAR(BL6),MONTH(BL6)+1,1)</f>
        <v>42156</v>
      </c>
      <c r="BM7" s="245">
        <f t="shared" si="6"/>
        <v>42125</v>
      </c>
      <c r="BN7" s="223">
        <f t="shared" si="3"/>
        <v>4</v>
      </c>
      <c r="BO7" s="223">
        <f t="shared" si="7"/>
        <v>4</v>
      </c>
      <c r="BP7" s="240">
        <f t="shared" si="8"/>
        <v>42186</v>
      </c>
      <c r="BQ7" s="223">
        <f t="shared" si="9"/>
        <v>4</v>
      </c>
      <c r="BS7" s="240">
        <f t="shared" si="10"/>
        <v>42401</v>
      </c>
      <c r="BT7" s="286">
        <f t="shared" si="11"/>
        <v>4</v>
      </c>
      <c r="BU7" s="240">
        <f t="shared" si="12"/>
        <v>42064</v>
      </c>
      <c r="BV7" s="222">
        <f t="shared" si="13"/>
        <v>1904</v>
      </c>
      <c r="BW7" s="281">
        <f t="shared" si="4"/>
        <v>4</v>
      </c>
      <c r="BX7" s="281">
        <f t="shared" si="5"/>
        <v>4</v>
      </c>
      <c r="BY7" s="226">
        <f t="shared" si="0"/>
        <v>42186</v>
      </c>
      <c r="BZ7" s="227">
        <f t="shared" si="1"/>
        <v>42217</v>
      </c>
      <c r="CA7" s="223" t="s">
        <v>38</v>
      </c>
      <c r="CB7" s="223"/>
      <c r="CC7" s="223"/>
      <c r="CD7" s="222"/>
      <c r="CE7" s="222"/>
      <c r="CF7" s="222"/>
      <c r="CG7" s="222"/>
      <c r="CH7" s="222"/>
      <c r="CI7" s="222"/>
      <c r="CJ7" s="222"/>
      <c r="CK7" s="222">
        <v>20</v>
      </c>
      <c r="CL7" s="222">
        <v>20</v>
      </c>
      <c r="CM7" s="101"/>
      <c r="CN7" s="245"/>
      <c r="CO7" s="245"/>
      <c r="CP7" s="245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236"/>
      <c r="DY7" s="236"/>
      <c r="DZ7" s="236"/>
      <c r="EA7" s="236"/>
      <c r="EB7" s="236"/>
      <c r="EC7" s="236"/>
      <c r="ED7" s="236"/>
      <c r="EE7" s="236"/>
      <c r="EF7" s="236"/>
      <c r="EG7" s="236"/>
      <c r="EH7" s="236"/>
      <c r="EI7" s="236"/>
      <c r="EJ7" s="236"/>
      <c r="EK7" s="236"/>
      <c r="EL7" s="236"/>
      <c r="EM7" s="236"/>
      <c r="EN7" s="236"/>
      <c r="EO7" s="236"/>
      <c r="EP7" s="236"/>
      <c r="EQ7" s="236"/>
      <c r="ER7" s="236"/>
      <c r="ES7" s="236"/>
      <c r="ET7" s="236"/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6"/>
      <c r="FF7" s="236"/>
      <c r="FG7" s="236"/>
      <c r="FH7" s="236"/>
      <c r="FI7" s="236"/>
      <c r="FJ7" s="236"/>
      <c r="FK7" s="236"/>
      <c r="FL7" s="236"/>
      <c r="FM7" s="236"/>
      <c r="FN7" s="236"/>
      <c r="FO7" s="236"/>
      <c r="FP7" s="236"/>
      <c r="FQ7" s="236"/>
      <c r="FR7" s="236"/>
      <c r="FS7" s="236"/>
      <c r="FT7" s="236"/>
      <c r="FU7" s="236"/>
      <c r="FV7" s="236"/>
      <c r="FW7" s="236"/>
      <c r="FX7" s="236"/>
      <c r="FY7" s="236"/>
      <c r="FZ7" s="236"/>
      <c r="GA7" s="236"/>
      <c r="GB7" s="236"/>
      <c r="GC7" s="236"/>
      <c r="GD7" s="236"/>
      <c r="GE7" s="236"/>
      <c r="GF7" s="236"/>
      <c r="GG7" s="236"/>
      <c r="GH7" s="236"/>
      <c r="GI7" s="236"/>
      <c r="GJ7" s="236"/>
      <c r="GK7" s="236"/>
      <c r="GL7" s="236"/>
      <c r="GM7" s="236"/>
      <c r="GN7" s="236"/>
      <c r="GO7" s="236"/>
      <c r="GP7" s="236"/>
      <c r="GQ7" s="236"/>
      <c r="YS7" s="38" t="e">
        <f>RIGHT(CONCATENATE(0,#REF!),7)</f>
        <v>#REF!</v>
      </c>
      <c r="YT7" s="2">
        <v>15460</v>
      </c>
      <c r="YU7" s="2">
        <v>7960</v>
      </c>
    </row>
    <row r="8" spans="1:672" s="2" customFormat="1" ht="24" customHeight="1">
      <c r="A8" s="40">
        <v>5</v>
      </c>
      <c r="B8" s="41" t="s">
        <v>44</v>
      </c>
      <c r="C8" s="1089" t="s">
        <v>1038</v>
      </c>
      <c r="D8" s="1090"/>
      <c r="E8" s="37"/>
      <c r="F8" s="964" t="s">
        <v>1489</v>
      </c>
      <c r="G8" s="964"/>
      <c r="H8" s="747">
        <v>42490</v>
      </c>
      <c r="I8" s="747">
        <f>YV3</f>
        <v>21820</v>
      </c>
      <c r="J8" s="964" t="s">
        <v>1496</v>
      </c>
      <c r="K8" s="964"/>
      <c r="L8" s="1105">
        <v>42401</v>
      </c>
      <c r="M8" s="1105"/>
      <c r="N8" s="211" t="s">
        <v>1358</v>
      </c>
      <c r="O8" s="212">
        <v>42125</v>
      </c>
      <c r="P8" s="213">
        <v>14</v>
      </c>
      <c r="Q8" s="213">
        <v>23</v>
      </c>
      <c r="R8" s="101"/>
      <c r="S8" s="236"/>
      <c r="T8" s="236"/>
      <c r="U8" s="236"/>
      <c r="V8" s="236"/>
      <c r="W8" s="236"/>
      <c r="X8" s="236"/>
      <c r="Y8" s="236"/>
      <c r="Z8" s="236"/>
      <c r="AA8" s="236"/>
      <c r="AB8" s="236">
        <f t="shared" si="2"/>
        <v>1</v>
      </c>
      <c r="AC8" s="237">
        <f>IF(N10=$AF$2,'IN RPS-2015'!$C$9,P10+O10-1)</f>
        <v>42461</v>
      </c>
      <c r="AD8" s="237">
        <f>IF(N10=$AF$2,'IN RPS-2015'!$C$9,Q10+O10-1)</f>
        <v>42461</v>
      </c>
      <c r="AE8" s="236"/>
      <c r="AF8" s="236"/>
      <c r="AG8" s="236"/>
      <c r="AH8" s="236"/>
      <c r="AI8" s="236"/>
      <c r="AJ8" s="236"/>
      <c r="AK8" s="236"/>
      <c r="AL8" s="222"/>
      <c r="AM8" s="222"/>
      <c r="AN8" s="248"/>
      <c r="AO8" s="222"/>
      <c r="AP8" s="236"/>
      <c r="AQ8" s="236"/>
      <c r="AR8" s="236"/>
      <c r="AS8" s="236"/>
      <c r="AT8" s="236"/>
      <c r="AU8" s="236"/>
      <c r="AV8" s="236"/>
      <c r="AW8" s="236"/>
      <c r="AX8" s="284">
        <v>12070</v>
      </c>
      <c r="AY8" s="284">
        <v>550</v>
      </c>
      <c r="AZ8" s="284">
        <v>600</v>
      </c>
      <c r="BA8" s="284">
        <v>675</v>
      </c>
      <c r="BB8" s="222"/>
      <c r="BC8" s="96" t="s">
        <v>1508</v>
      </c>
      <c r="BD8" s="96"/>
      <c r="BE8" s="96"/>
      <c r="BF8" s="101"/>
      <c r="BG8" s="101"/>
      <c r="BH8" s="101"/>
      <c r="BI8" s="101"/>
      <c r="BJ8" s="224">
        <v>5</v>
      </c>
      <c r="BK8" s="240">
        <f t="shared" si="6"/>
        <v>42156</v>
      </c>
      <c r="BL8" s="245">
        <f t="shared" si="6"/>
        <v>42186</v>
      </c>
      <c r="BM8" s="245">
        <f t="shared" si="6"/>
        <v>42156</v>
      </c>
      <c r="BN8" s="223">
        <f t="shared" si="3"/>
        <v>5</v>
      </c>
      <c r="BO8" s="223">
        <f t="shared" si="7"/>
        <v>5</v>
      </c>
      <c r="BP8" s="240">
        <f t="shared" si="8"/>
        <v>42217</v>
      </c>
      <c r="BQ8" s="223">
        <f t="shared" si="9"/>
        <v>5</v>
      </c>
      <c r="BS8" s="240">
        <f t="shared" si="10"/>
        <v>42430</v>
      </c>
      <c r="BT8" s="286">
        <f t="shared" si="11"/>
        <v>5</v>
      </c>
      <c r="BU8" s="240">
        <f t="shared" si="12"/>
        <v>42064</v>
      </c>
      <c r="BV8" s="222">
        <f t="shared" si="13"/>
        <v>1905</v>
      </c>
      <c r="BW8" s="281">
        <f t="shared" si="4"/>
        <v>5</v>
      </c>
      <c r="BX8" s="281">
        <f t="shared" si="5"/>
        <v>5</v>
      </c>
      <c r="BY8" s="226">
        <f t="shared" si="0"/>
        <v>42217</v>
      </c>
      <c r="BZ8" s="227">
        <f t="shared" si="1"/>
        <v>42248</v>
      </c>
      <c r="CA8" s="223" t="s">
        <v>1380</v>
      </c>
      <c r="CB8" s="223"/>
      <c r="CC8" s="593" t="s">
        <v>1871</v>
      </c>
      <c r="CD8" s="222"/>
      <c r="CE8" s="222"/>
      <c r="CF8" s="222"/>
      <c r="CG8" s="222"/>
      <c r="CH8" s="222"/>
      <c r="CI8" s="222"/>
      <c r="CJ8" s="222"/>
      <c r="CK8" s="222">
        <v>30</v>
      </c>
      <c r="CL8" s="222">
        <v>30</v>
      </c>
      <c r="CM8" s="101"/>
      <c r="CN8" s="245"/>
      <c r="CO8" s="245"/>
      <c r="CP8" s="245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236"/>
      <c r="DY8" s="236"/>
      <c r="DZ8" s="236"/>
      <c r="EA8" s="236"/>
      <c r="EB8" s="236"/>
      <c r="EC8" s="236"/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6"/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6"/>
      <c r="FF8" s="236"/>
      <c r="FG8" s="236"/>
      <c r="FH8" s="236"/>
      <c r="FI8" s="236"/>
      <c r="FJ8" s="236"/>
      <c r="FK8" s="236"/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/>
      <c r="GC8" s="236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YS8" s="38" t="e">
        <f>RIGHT(CONCATENATE(0,#REF!),7)</f>
        <v>#REF!</v>
      </c>
      <c r="YT8" s="2">
        <v>16400</v>
      </c>
      <c r="YU8" s="2">
        <v>8440</v>
      </c>
    </row>
    <row r="9" spans="1:672" s="2" customFormat="1" ht="24" customHeight="1">
      <c r="A9" s="40">
        <v>6</v>
      </c>
      <c r="B9" s="41" t="s">
        <v>1306</v>
      </c>
      <c r="C9" s="1091"/>
      <c r="D9" s="1092"/>
      <c r="E9" s="37"/>
      <c r="F9" s="1083" t="s">
        <v>1348</v>
      </c>
      <c r="G9" s="1083"/>
      <c r="H9" s="1055">
        <v>105</v>
      </c>
      <c r="I9" s="1055"/>
      <c r="J9" s="1062" t="s">
        <v>323</v>
      </c>
      <c r="K9" s="1062"/>
      <c r="L9" s="981">
        <v>0</v>
      </c>
      <c r="M9" s="981"/>
      <c r="N9" s="211" t="s">
        <v>1358</v>
      </c>
      <c r="O9" s="212">
        <v>42156</v>
      </c>
      <c r="P9" s="213">
        <v>6</v>
      </c>
      <c r="Q9" s="213">
        <v>11</v>
      </c>
      <c r="R9" s="101"/>
      <c r="S9" s="236"/>
      <c r="T9" s="236"/>
      <c r="U9" s="236"/>
      <c r="V9" s="236"/>
      <c r="W9" s="236"/>
      <c r="X9" s="236"/>
      <c r="Y9" s="236"/>
      <c r="Z9" s="236"/>
      <c r="AA9" s="236"/>
      <c r="AB9" s="236">
        <f t="shared" si="2"/>
        <v>1</v>
      </c>
      <c r="AC9" s="237">
        <f>IF(N11=$AF$2,'IN RPS-2015'!$C$9,P11+O11-1)</f>
        <v>42461</v>
      </c>
      <c r="AD9" s="237">
        <f>IF(N11=$AF$2,'IN RPS-2015'!$C$9,Q11+O11-1)</f>
        <v>42461</v>
      </c>
      <c r="AE9" s="236"/>
      <c r="AF9" s="236"/>
      <c r="AG9" s="236"/>
      <c r="AH9" s="236"/>
      <c r="AI9" s="236"/>
      <c r="AJ9" s="236"/>
      <c r="AK9" s="236"/>
      <c r="AL9" s="222"/>
      <c r="AM9" s="222"/>
      <c r="AN9" s="248"/>
      <c r="AO9" s="222"/>
      <c r="AP9" s="236"/>
      <c r="AQ9" s="236"/>
      <c r="AR9" s="236"/>
      <c r="AS9" s="236"/>
      <c r="AT9" s="236"/>
      <c r="AU9" s="236"/>
      <c r="AV9" s="236"/>
      <c r="AW9" s="236"/>
      <c r="AX9" s="284">
        <v>16450</v>
      </c>
      <c r="AY9" s="284">
        <v>600</v>
      </c>
      <c r="AZ9" s="284">
        <v>650</v>
      </c>
      <c r="BA9" s="284">
        <v>750</v>
      </c>
      <c r="BB9" s="222"/>
      <c r="BC9" s="101"/>
      <c r="BD9" s="101"/>
      <c r="BE9" s="101"/>
      <c r="BF9" s="101"/>
      <c r="BG9" s="101"/>
      <c r="BH9" s="101"/>
      <c r="BI9" s="101"/>
      <c r="BJ9" s="224">
        <v>6</v>
      </c>
      <c r="BK9" s="240">
        <f t="shared" si="6"/>
        <v>42186</v>
      </c>
      <c r="BL9" s="245">
        <f t="shared" si="6"/>
        <v>42217</v>
      </c>
      <c r="BM9" s="245">
        <f t="shared" si="6"/>
        <v>42186</v>
      </c>
      <c r="BN9" s="223">
        <f t="shared" si="3"/>
        <v>6</v>
      </c>
      <c r="BO9" s="223">
        <f t="shared" si="7"/>
        <v>6</v>
      </c>
      <c r="BP9" s="240">
        <f t="shared" si="8"/>
        <v>42248</v>
      </c>
      <c r="BQ9" s="223">
        <f t="shared" si="9"/>
        <v>6</v>
      </c>
      <c r="BS9" s="240">
        <f t="shared" si="10"/>
        <v>42430</v>
      </c>
      <c r="BT9" s="286">
        <f t="shared" si="11"/>
        <v>6</v>
      </c>
      <c r="BU9" s="240">
        <f t="shared" si="12"/>
        <v>42064</v>
      </c>
      <c r="BV9" s="222">
        <f t="shared" si="13"/>
        <v>1906</v>
      </c>
      <c r="BW9" s="281">
        <f t="shared" si="4"/>
        <v>6</v>
      </c>
      <c r="BX9" s="281">
        <f t="shared" si="5"/>
        <v>6</v>
      </c>
      <c r="BY9" s="226">
        <f t="shared" si="0"/>
        <v>42248</v>
      </c>
      <c r="BZ9" s="227">
        <f t="shared" si="1"/>
        <v>42278</v>
      </c>
      <c r="CA9" s="223" t="s">
        <v>1809</v>
      </c>
      <c r="CB9" s="223"/>
      <c r="CC9" s="593" t="s">
        <v>1811</v>
      </c>
      <c r="CD9" s="223"/>
      <c r="CE9" s="222"/>
      <c r="CF9" s="222"/>
      <c r="CG9" s="222"/>
      <c r="CH9" s="222"/>
      <c r="CI9" s="222"/>
      <c r="CJ9" s="222"/>
      <c r="CK9" s="222"/>
      <c r="CL9" s="222"/>
      <c r="CM9" s="101"/>
      <c r="CN9" s="245"/>
      <c r="CO9" s="245"/>
      <c r="CP9" s="245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YS9" s="38" t="e">
        <f>RIGHT(CONCATENATE(0,#REF!),7)</f>
        <v>#REF!</v>
      </c>
      <c r="YT9" s="2">
        <v>17890</v>
      </c>
      <c r="YU9" s="2">
        <v>9200</v>
      </c>
    </row>
    <row r="10" spans="1:672" s="2" customFormat="1" ht="35.25" customHeight="1">
      <c r="A10" s="40">
        <v>7</v>
      </c>
      <c r="B10" s="279" t="s">
        <v>43</v>
      </c>
      <c r="C10" s="1102" t="s">
        <v>1971</v>
      </c>
      <c r="D10" s="1103"/>
      <c r="E10" s="37"/>
      <c r="F10" s="1060" t="s">
        <v>1347</v>
      </c>
      <c r="G10" s="1060"/>
      <c r="H10" s="981" t="s">
        <v>1535</v>
      </c>
      <c r="I10" s="981"/>
      <c r="J10" s="1061" t="s">
        <v>1498</v>
      </c>
      <c r="K10" s="1061"/>
      <c r="L10" s="981" t="s">
        <v>1350</v>
      </c>
      <c r="M10" s="981"/>
      <c r="N10" s="211" t="s">
        <v>1358</v>
      </c>
      <c r="O10" s="212">
        <v>42186</v>
      </c>
      <c r="P10" s="213">
        <v>4</v>
      </c>
      <c r="Q10" s="213">
        <v>8</v>
      </c>
      <c r="R10" s="101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22"/>
      <c r="AM10" s="222" t="s">
        <v>1576</v>
      </c>
      <c r="AN10" s="285">
        <f>IF(H4&lt;S66,4,1)</f>
        <v>1</v>
      </c>
      <c r="AO10" s="222"/>
      <c r="AP10" s="236"/>
      <c r="AQ10" s="236"/>
      <c r="AR10" s="236"/>
      <c r="AS10" s="236"/>
      <c r="AT10" s="236"/>
      <c r="AU10" s="236"/>
      <c r="AV10" s="236"/>
      <c r="AW10" s="236"/>
      <c r="AX10" s="284">
        <v>34590</v>
      </c>
      <c r="AY10" s="284">
        <v>650</v>
      </c>
      <c r="AZ10" s="284">
        <v>700</v>
      </c>
      <c r="BA10" s="284">
        <v>825</v>
      </c>
      <c r="BB10" s="222"/>
      <c r="BC10" s="101"/>
      <c r="BD10" s="101"/>
      <c r="BE10" s="101"/>
      <c r="BF10" s="101"/>
      <c r="BG10" s="101" t="s">
        <v>1886</v>
      </c>
      <c r="BH10" s="101"/>
      <c r="BI10" s="101"/>
      <c r="BJ10" s="224">
        <v>7</v>
      </c>
      <c r="BK10" s="240">
        <f t="shared" si="6"/>
        <v>42217</v>
      </c>
      <c r="BL10" s="245">
        <f t="shared" si="6"/>
        <v>42248</v>
      </c>
      <c r="BM10" s="245">
        <f t="shared" si="6"/>
        <v>42217</v>
      </c>
      <c r="BN10" s="223">
        <f t="shared" si="3"/>
        <v>7</v>
      </c>
      <c r="BO10" s="223">
        <f t="shared" si="7"/>
        <v>7</v>
      </c>
      <c r="BP10" s="240">
        <f t="shared" si="8"/>
        <v>42278</v>
      </c>
      <c r="BQ10" s="223">
        <f t="shared" si="9"/>
        <v>7</v>
      </c>
      <c r="BS10" s="240">
        <f t="shared" si="10"/>
        <v>42430</v>
      </c>
      <c r="BT10" s="286">
        <f t="shared" si="11"/>
        <v>7</v>
      </c>
      <c r="BU10" s="240">
        <f t="shared" si="12"/>
        <v>42064</v>
      </c>
      <c r="BV10" s="222">
        <f t="shared" si="13"/>
        <v>1907</v>
      </c>
      <c r="BW10" s="281">
        <f t="shared" si="4"/>
        <v>7</v>
      </c>
      <c r="BX10" s="281">
        <f t="shared" si="5"/>
        <v>7</v>
      </c>
      <c r="BY10" s="226">
        <f t="shared" si="0"/>
        <v>42278</v>
      </c>
      <c r="BZ10" s="227">
        <f t="shared" si="1"/>
        <v>42309</v>
      </c>
      <c r="CA10" s="223" t="s">
        <v>1810</v>
      </c>
      <c r="CB10" s="223"/>
      <c r="CC10" s="593" t="s">
        <v>1882</v>
      </c>
      <c r="CD10" s="223"/>
      <c r="CE10" s="222"/>
      <c r="CF10" s="222"/>
      <c r="CG10" s="222"/>
      <c r="CH10" s="222"/>
      <c r="CI10" s="222"/>
      <c r="CJ10" s="222"/>
      <c r="CK10" s="222"/>
      <c r="CL10" s="222"/>
      <c r="CM10" s="101"/>
      <c r="CN10" s="245"/>
      <c r="CO10" s="245"/>
      <c r="CP10" s="245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236"/>
      <c r="DY10" s="236"/>
      <c r="DZ10" s="236"/>
      <c r="EA10" s="236"/>
      <c r="EB10" s="236"/>
      <c r="EC10" s="236"/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/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6"/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/>
      <c r="GC10" s="236"/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6"/>
      <c r="GO10" s="236"/>
      <c r="GP10" s="236"/>
      <c r="GQ10" s="236"/>
      <c r="YS10" s="38" t="e">
        <f>RIGHT(CONCATENATE(0,#REF!),7)</f>
        <v>#REF!</v>
      </c>
      <c r="YT10" s="2">
        <v>18400</v>
      </c>
      <c r="YU10" s="2">
        <v>9460</v>
      </c>
    </row>
    <row r="11" spans="1:672" s="2" customFormat="1" ht="24" customHeight="1">
      <c r="A11" s="40">
        <v>8</v>
      </c>
      <c r="B11" s="41" t="s">
        <v>1340</v>
      </c>
      <c r="C11" s="1033" t="s">
        <v>1972</v>
      </c>
      <c r="D11" s="1034"/>
      <c r="E11" s="37"/>
      <c r="F11" s="965" t="s">
        <v>1375</v>
      </c>
      <c r="G11" s="965"/>
      <c r="H11" s="1056" t="s">
        <v>1949</v>
      </c>
      <c r="I11" s="1056"/>
      <c r="J11" s="777">
        <v>42156</v>
      </c>
      <c r="K11" s="778">
        <v>15</v>
      </c>
      <c r="L11" s="111">
        <v>42005</v>
      </c>
      <c r="M11" s="335">
        <v>15</v>
      </c>
      <c r="N11" s="211" t="s">
        <v>1358</v>
      </c>
      <c r="O11" s="212">
        <v>42186</v>
      </c>
      <c r="P11" s="213">
        <v>6</v>
      </c>
      <c r="Q11" s="213">
        <v>10</v>
      </c>
      <c r="R11" s="101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22"/>
      <c r="AM11" s="222"/>
      <c r="AN11" s="222"/>
      <c r="AO11" s="222"/>
      <c r="AP11" s="236"/>
      <c r="AQ11" s="236"/>
      <c r="AR11" s="236"/>
      <c r="AS11" s="236"/>
      <c r="AT11" s="236"/>
      <c r="AU11" s="236"/>
      <c r="AV11" s="236"/>
      <c r="AW11" s="236"/>
      <c r="AX11" s="1014" t="s">
        <v>291</v>
      </c>
      <c r="AY11" s="1014"/>
      <c r="AZ11" s="1014"/>
      <c r="BA11" s="1014"/>
      <c r="BB11" s="222"/>
      <c r="BC11" s="101"/>
      <c r="BD11" s="101"/>
      <c r="BE11" s="101"/>
      <c r="BF11" s="101"/>
      <c r="BG11" s="101" t="s">
        <v>1906</v>
      </c>
      <c r="BH11" s="101"/>
      <c r="BI11" s="101"/>
      <c r="BJ11" s="224">
        <v>8</v>
      </c>
      <c r="BK11" s="240">
        <f t="shared" si="6"/>
        <v>42248</v>
      </c>
      <c r="BL11" s="245">
        <f t="shared" si="6"/>
        <v>42278</v>
      </c>
      <c r="BM11" s="245">
        <f t="shared" si="6"/>
        <v>42248</v>
      </c>
      <c r="BN11" s="223">
        <f t="shared" si="3"/>
        <v>8</v>
      </c>
      <c r="BO11" s="223">
        <f t="shared" si="7"/>
        <v>8</v>
      </c>
      <c r="BP11" s="240">
        <f t="shared" si="8"/>
        <v>42309</v>
      </c>
      <c r="BQ11" s="223">
        <f t="shared" si="9"/>
        <v>8</v>
      </c>
      <c r="BS11" s="240">
        <f t="shared" si="10"/>
        <v>42430</v>
      </c>
      <c r="BT11" s="286">
        <f t="shared" si="11"/>
        <v>8</v>
      </c>
      <c r="BU11" s="240">
        <f t="shared" si="12"/>
        <v>42064</v>
      </c>
      <c r="BV11" s="222">
        <f t="shared" si="13"/>
        <v>1908</v>
      </c>
      <c r="BW11" s="281">
        <f t="shared" si="4"/>
        <v>8</v>
      </c>
      <c r="BX11" s="281">
        <f t="shared" si="5"/>
        <v>8</v>
      </c>
      <c r="BY11" s="226">
        <f t="shared" si="0"/>
        <v>42309</v>
      </c>
      <c r="BZ11" s="227">
        <f t="shared" si="1"/>
        <v>42339</v>
      </c>
      <c r="CA11" s="223"/>
      <c r="CB11" s="223"/>
      <c r="CC11" s="223"/>
      <c r="CD11" s="223"/>
      <c r="CE11" s="222"/>
      <c r="CF11" s="222"/>
      <c r="CG11" s="222"/>
      <c r="CH11" s="222"/>
      <c r="CI11" s="222"/>
      <c r="CJ11" s="222"/>
      <c r="CK11" s="222"/>
      <c r="CL11" s="222"/>
      <c r="CM11" s="101"/>
      <c r="CN11" s="245"/>
      <c r="CO11" s="245"/>
      <c r="CP11" s="245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236"/>
      <c r="DY11" s="236"/>
      <c r="DZ11" s="236"/>
      <c r="EA11" s="236"/>
      <c r="EB11" s="236"/>
      <c r="EC11" s="236"/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/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/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/>
      <c r="GC11" s="236"/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  <c r="GO11" s="236"/>
      <c r="GP11" s="236"/>
      <c r="GQ11" s="236"/>
      <c r="YS11" s="38" t="e">
        <f>RIGHT(CONCATENATE(0,#REF!),7)</f>
        <v>#REF!</v>
      </c>
      <c r="YT11" s="2">
        <v>19500</v>
      </c>
      <c r="YU11" s="2">
        <v>10020</v>
      </c>
    </row>
    <row r="12" spans="1:672" s="2" customFormat="1" ht="28.9" customHeight="1">
      <c r="A12" s="40">
        <v>9</v>
      </c>
      <c r="B12" s="279" t="s">
        <v>1346</v>
      </c>
      <c r="C12" s="1033" t="s">
        <v>1821</v>
      </c>
      <c r="D12" s="1034"/>
      <c r="E12" s="37"/>
      <c r="F12" s="988" t="s">
        <v>1684</v>
      </c>
      <c r="G12" s="988"/>
      <c r="H12" s="1057"/>
      <c r="I12" s="1057"/>
      <c r="J12" s="988" t="s">
        <v>1680</v>
      </c>
      <c r="K12" s="988"/>
      <c r="L12" s="1097"/>
      <c r="M12" s="1097"/>
      <c r="N12" s="1106" t="s">
        <v>1767</v>
      </c>
      <c r="O12" s="1107"/>
      <c r="P12" s="1107"/>
      <c r="Q12" s="1107"/>
      <c r="R12" s="249"/>
      <c r="S12" s="236"/>
      <c r="T12" s="250"/>
      <c r="U12" s="251"/>
      <c r="V12" s="250"/>
      <c r="W12" s="251"/>
      <c r="X12" s="250"/>
      <c r="Y12" s="251"/>
      <c r="Z12" s="101"/>
      <c r="AA12" s="101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22" t="s">
        <v>305</v>
      </c>
      <c r="AY12" s="222"/>
      <c r="AZ12" s="222"/>
      <c r="BA12" s="230">
        <v>40269</v>
      </c>
      <c r="BB12" s="222"/>
      <c r="BC12" s="101"/>
      <c r="BD12" s="101"/>
      <c r="BE12" s="101"/>
      <c r="BF12" s="101"/>
      <c r="BG12" s="101" t="s">
        <v>1907</v>
      </c>
      <c r="BH12" s="101"/>
      <c r="BI12" s="101"/>
      <c r="BJ12" s="224">
        <v>9</v>
      </c>
      <c r="BK12" s="240">
        <f t="shared" si="6"/>
        <v>42278</v>
      </c>
      <c r="BL12" s="245">
        <f t="shared" si="6"/>
        <v>42309</v>
      </c>
      <c r="BM12" s="245">
        <f t="shared" si="6"/>
        <v>42278</v>
      </c>
      <c r="BN12" s="223">
        <f t="shared" si="3"/>
        <v>9</v>
      </c>
      <c r="BO12" s="223">
        <f t="shared" si="7"/>
        <v>9</v>
      </c>
      <c r="BP12" s="240">
        <f t="shared" si="8"/>
        <v>42339</v>
      </c>
      <c r="BQ12" s="223">
        <f t="shared" si="9"/>
        <v>9</v>
      </c>
      <c r="BS12" s="240">
        <f t="shared" si="10"/>
        <v>42430</v>
      </c>
      <c r="BT12" s="286">
        <f t="shared" si="11"/>
        <v>9</v>
      </c>
      <c r="BU12" s="240">
        <f t="shared" si="12"/>
        <v>42064</v>
      </c>
      <c r="BV12" s="222">
        <f t="shared" si="13"/>
        <v>1909</v>
      </c>
      <c r="BW12" s="281">
        <f t="shared" si="4"/>
        <v>9</v>
      </c>
      <c r="BX12" s="281">
        <f t="shared" si="5"/>
        <v>9</v>
      </c>
      <c r="BY12" s="226">
        <f t="shared" si="0"/>
        <v>42339</v>
      </c>
      <c r="BZ12" s="227">
        <f t="shared" si="1"/>
        <v>42370</v>
      </c>
      <c r="CA12" s="223"/>
      <c r="CB12" s="223"/>
      <c r="CC12" s="223"/>
      <c r="CD12" s="222"/>
      <c r="CE12" s="222"/>
      <c r="CF12" s="222"/>
      <c r="CG12" s="222"/>
      <c r="CH12" s="222"/>
      <c r="CI12" s="222"/>
      <c r="CJ12" s="222"/>
      <c r="CK12" s="222"/>
      <c r="CL12" s="222"/>
      <c r="CM12" s="101"/>
      <c r="CN12" s="245"/>
      <c r="CO12" s="245"/>
      <c r="CP12" s="245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236"/>
      <c r="DY12" s="236"/>
      <c r="DZ12" s="236"/>
      <c r="EA12" s="236"/>
      <c r="EB12" s="236"/>
      <c r="EC12" s="236"/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/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/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/>
      <c r="GC12" s="236"/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  <c r="GO12" s="236"/>
      <c r="GP12" s="236"/>
      <c r="GQ12" s="236"/>
      <c r="YS12" s="38" t="e">
        <f>RIGHT(CONCATENATE(0,#REF!),7)</f>
        <v>#REF!</v>
      </c>
      <c r="YT12" s="2">
        <v>21230</v>
      </c>
      <c r="YU12" s="2">
        <v>10900</v>
      </c>
    </row>
    <row r="13" spans="1:672" s="2" customFormat="1" ht="24" customHeight="1" thickBot="1">
      <c r="A13" s="40">
        <v>10</v>
      </c>
      <c r="B13" s="41" t="s">
        <v>63</v>
      </c>
      <c r="C13" s="1093">
        <f>IF($CD$27=C12,CEILING(SUM(SUM(SB!G11,SB!G13)*10%,SB!G14)/12,100),IF($CD$26=C12,MIN(CF26,CEILING(SUM(SUM(SB!G11,SB!G13)*10%,SB!G14)/12,100)),0))</f>
        <v>8300</v>
      </c>
      <c r="D13" s="1094"/>
      <c r="E13" s="37"/>
      <c r="F13" s="988" t="s">
        <v>1679</v>
      </c>
      <c r="G13" s="988"/>
      <c r="H13" s="1099"/>
      <c r="I13" s="1099"/>
      <c r="J13" s="988" t="s">
        <v>1682</v>
      </c>
      <c r="K13" s="988"/>
      <c r="L13" s="1098"/>
      <c r="M13" s="1098"/>
      <c r="N13" s="1108"/>
      <c r="O13" s="1109"/>
      <c r="P13" s="1109"/>
      <c r="Q13" s="1109"/>
      <c r="R13" s="249"/>
      <c r="S13" s="236"/>
      <c r="T13" s="101"/>
      <c r="U13" s="101"/>
      <c r="V13" s="101"/>
      <c r="W13" s="101"/>
      <c r="X13" s="101"/>
      <c r="Y13" s="101"/>
      <c r="Z13" s="101"/>
      <c r="AA13" s="249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84" t="s">
        <v>295</v>
      </c>
      <c r="AY13" s="238" t="s">
        <v>1357</v>
      </c>
      <c r="AZ13" s="238" t="s">
        <v>1355</v>
      </c>
      <c r="BA13" s="238" t="s">
        <v>1356</v>
      </c>
      <c r="BB13" s="239" t="s">
        <v>307</v>
      </c>
      <c r="BC13" s="101"/>
      <c r="BD13" s="101"/>
      <c r="BE13" s="101"/>
      <c r="BF13" s="101"/>
      <c r="BG13" s="101" t="s">
        <v>1908</v>
      </c>
      <c r="BH13" s="101"/>
      <c r="BI13" s="101"/>
      <c r="BJ13" s="224">
        <v>10</v>
      </c>
      <c r="BK13" s="240">
        <f t="shared" si="6"/>
        <v>42309</v>
      </c>
      <c r="BL13" s="245">
        <f t="shared" si="6"/>
        <v>42339</v>
      </c>
      <c r="BM13" s="245">
        <f t="shared" si="6"/>
        <v>42309</v>
      </c>
      <c r="BN13" s="223">
        <f t="shared" si="3"/>
        <v>10</v>
      </c>
      <c r="BO13" s="223">
        <f t="shared" si="7"/>
        <v>10</v>
      </c>
      <c r="BP13" s="240">
        <f t="shared" si="8"/>
        <v>42370</v>
      </c>
      <c r="BQ13" s="223">
        <f t="shared" si="9"/>
        <v>10</v>
      </c>
      <c r="BS13" s="240">
        <f t="shared" si="10"/>
        <v>42430</v>
      </c>
      <c r="BT13" s="286">
        <f t="shared" si="11"/>
        <v>10</v>
      </c>
      <c r="BU13" s="240">
        <f t="shared" si="12"/>
        <v>42064</v>
      </c>
      <c r="BV13" s="222">
        <f t="shared" si="13"/>
        <v>1910</v>
      </c>
      <c r="BW13" s="281">
        <f t="shared" si="4"/>
        <v>10</v>
      </c>
      <c r="BX13" s="281">
        <f t="shared" si="5"/>
        <v>10</v>
      </c>
      <c r="BY13" s="226">
        <f t="shared" si="0"/>
        <v>42370</v>
      </c>
      <c r="BZ13" s="227">
        <f t="shared" si="1"/>
        <v>42401</v>
      </c>
      <c r="CA13" s="223"/>
      <c r="CB13" s="223"/>
      <c r="CC13" s="223"/>
      <c r="CD13" s="222"/>
      <c r="CE13" s="222"/>
      <c r="CF13" s="222"/>
      <c r="CG13" s="222"/>
      <c r="CH13" s="222"/>
      <c r="CI13" s="222"/>
      <c r="CJ13" s="222"/>
      <c r="CK13" s="222"/>
      <c r="CL13" s="222"/>
      <c r="CM13" s="101"/>
      <c r="CN13" s="245"/>
      <c r="CO13" s="245"/>
      <c r="CP13" s="245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236"/>
      <c r="DY13" s="236"/>
      <c r="DZ13" s="236"/>
      <c r="EA13" s="236"/>
      <c r="EB13" s="236"/>
      <c r="EC13" s="236"/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/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/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/>
      <c r="GC13" s="236"/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  <c r="GO13" s="236"/>
      <c r="GP13" s="236"/>
      <c r="GQ13" s="236"/>
      <c r="YS13" s="38" t="e">
        <f>RIGHT(CONCATENATE(0,#REF!),7)</f>
        <v>#REF!</v>
      </c>
      <c r="YT13" s="2">
        <v>22460</v>
      </c>
      <c r="YU13" s="2">
        <v>11530</v>
      </c>
    </row>
    <row r="14" spans="1:672" s="2" customFormat="1" ht="33" customHeight="1" thickTop="1" thickBot="1">
      <c r="A14" s="40">
        <v>11</v>
      </c>
      <c r="B14" s="287" t="s">
        <v>1341</v>
      </c>
      <c r="C14" s="287"/>
      <c r="D14" s="288"/>
      <c r="E14" s="37"/>
      <c r="F14" s="1088" t="s">
        <v>1739</v>
      </c>
      <c r="G14" s="1088"/>
      <c r="H14" s="1100"/>
      <c r="I14" s="1100"/>
      <c r="J14" s="989" t="s">
        <v>1740</v>
      </c>
      <c r="K14" s="990"/>
      <c r="L14" s="760">
        <f>IF(F22="CPS",Statement!O28,0)</f>
        <v>70144</v>
      </c>
      <c r="M14" s="760">
        <f>SB!I65-SB!K65</f>
        <v>59864</v>
      </c>
      <c r="N14" s="1095" t="s">
        <v>1472</v>
      </c>
      <c r="O14" s="1096"/>
      <c r="P14" s="968">
        <f>SB!G20</f>
        <v>128397</v>
      </c>
      <c r="Q14" s="968"/>
      <c r="R14" s="101"/>
      <c r="S14" s="236"/>
      <c r="T14" s="101"/>
      <c r="U14" s="101"/>
      <c r="V14" s="101"/>
      <c r="W14" s="101"/>
      <c r="X14" s="249"/>
      <c r="Y14" s="249"/>
      <c r="Z14" s="249"/>
      <c r="AA14" s="249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84">
        <v>10600</v>
      </c>
      <c r="AY14" s="284">
        <v>325</v>
      </c>
      <c r="AZ14" s="284">
        <v>400</v>
      </c>
      <c r="BA14" s="284">
        <v>475</v>
      </c>
      <c r="BB14" s="222"/>
      <c r="BC14" s="101"/>
      <c r="BD14" s="101"/>
      <c r="BE14" s="101"/>
      <c r="BF14" s="101"/>
      <c r="BG14" s="101" t="s">
        <v>1909</v>
      </c>
      <c r="BH14" s="101"/>
      <c r="BI14" s="101"/>
      <c r="BJ14" s="224">
        <v>11</v>
      </c>
      <c r="BK14" s="240">
        <f t="shared" si="6"/>
        <v>42339</v>
      </c>
      <c r="BL14" s="245">
        <f t="shared" si="6"/>
        <v>42370</v>
      </c>
      <c r="BM14" s="245">
        <f t="shared" si="6"/>
        <v>42339</v>
      </c>
      <c r="BN14" s="223">
        <f t="shared" si="3"/>
        <v>11</v>
      </c>
      <c r="BO14" s="223">
        <f t="shared" si="7"/>
        <v>11</v>
      </c>
      <c r="BP14" s="240">
        <f t="shared" si="8"/>
        <v>42401</v>
      </c>
      <c r="BQ14" s="223">
        <f t="shared" si="9"/>
        <v>11</v>
      </c>
      <c r="BS14" s="240">
        <f t="shared" si="10"/>
        <v>42430</v>
      </c>
      <c r="BT14" s="286">
        <f t="shared" si="11"/>
        <v>11</v>
      </c>
      <c r="BU14" s="240">
        <f t="shared" si="12"/>
        <v>42064</v>
      </c>
      <c r="BV14" s="222">
        <f t="shared" si="13"/>
        <v>1911</v>
      </c>
      <c r="BW14" s="281">
        <f t="shared" si="4"/>
        <v>11</v>
      </c>
      <c r="BX14" s="281">
        <f t="shared" si="5"/>
        <v>11</v>
      </c>
      <c r="BY14" s="226">
        <f t="shared" si="0"/>
        <v>42401</v>
      </c>
      <c r="BZ14" s="227">
        <f t="shared" si="1"/>
        <v>42430</v>
      </c>
      <c r="CA14" s="223"/>
      <c r="CB14" s="223"/>
      <c r="CC14" s="223"/>
      <c r="CD14" s="222"/>
      <c r="CE14" s="222"/>
      <c r="CF14" s="222"/>
      <c r="CG14" s="222"/>
      <c r="CH14" s="222"/>
      <c r="CI14" s="222"/>
      <c r="CJ14" s="222"/>
      <c r="CK14" s="222"/>
      <c r="CL14" s="222"/>
      <c r="CM14" s="101"/>
      <c r="CN14" s="245"/>
      <c r="CO14" s="245"/>
      <c r="CP14" s="245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236"/>
      <c r="DY14" s="236"/>
      <c r="DZ14" s="236"/>
      <c r="EA14" s="236"/>
      <c r="EB14" s="236"/>
      <c r="EC14" s="236"/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/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/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  <c r="GO14" s="236"/>
      <c r="GP14" s="236"/>
      <c r="GQ14" s="236"/>
      <c r="YS14" s="38" t="e">
        <f>RIGHT(CONCATENATE(0,#REF!),7)</f>
        <v>#REF!</v>
      </c>
      <c r="YT14" s="2">
        <v>23100</v>
      </c>
      <c r="YU14" s="2">
        <v>11860</v>
      </c>
    </row>
    <row r="15" spans="1:672" s="2" customFormat="1" ht="25.5" customHeight="1" thickTop="1" thickBot="1">
      <c r="A15" s="40"/>
      <c r="B15" s="305" t="s">
        <v>1763</v>
      </c>
      <c r="C15" s="1058" t="s">
        <v>1553</v>
      </c>
      <c r="D15" s="1059"/>
      <c r="E15" s="37"/>
      <c r="F15" s="113" t="s">
        <v>1509</v>
      </c>
      <c r="G15" s="114" t="s">
        <v>1500</v>
      </c>
      <c r="H15" s="113" t="s">
        <v>1501</v>
      </c>
      <c r="I15" s="113" t="s">
        <v>29</v>
      </c>
      <c r="J15" s="113" t="s">
        <v>47</v>
      </c>
      <c r="K15" s="113" t="s">
        <v>1364</v>
      </c>
      <c r="L15" s="758" t="s">
        <v>61</v>
      </c>
      <c r="M15" s="759" t="s">
        <v>1382</v>
      </c>
      <c r="N15" s="967" t="s">
        <v>1601</v>
      </c>
      <c r="O15" s="967"/>
      <c r="P15" s="968">
        <f>SB!E22</f>
        <v>8300</v>
      </c>
      <c r="Q15" s="968"/>
      <c r="R15" s="101"/>
      <c r="S15" s="236"/>
      <c r="T15" s="101"/>
      <c r="U15" s="101"/>
      <c r="V15" s="101"/>
      <c r="W15" s="101"/>
      <c r="X15" s="246"/>
      <c r="Y15" s="247"/>
      <c r="Z15" s="101"/>
      <c r="AA15" s="101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84">
        <v>13660</v>
      </c>
      <c r="AY15" s="284">
        <v>400</v>
      </c>
      <c r="AZ15" s="284">
        <v>475</v>
      </c>
      <c r="BA15" s="284">
        <v>550</v>
      </c>
      <c r="BB15" s="222"/>
      <c r="BC15" s="101"/>
      <c r="BD15" s="101"/>
      <c r="BE15" s="101"/>
      <c r="BF15" s="101"/>
      <c r="BG15" s="101"/>
      <c r="BH15" s="101"/>
      <c r="BI15" s="101"/>
      <c r="BJ15" s="224">
        <v>12</v>
      </c>
      <c r="BK15" s="240">
        <f t="shared" si="6"/>
        <v>42370</v>
      </c>
      <c r="BL15" s="245">
        <f t="shared" si="6"/>
        <v>42401</v>
      </c>
      <c r="BM15" s="245">
        <f>DATE(YEAR(BM14),MONTH(BM14)+1,1)</f>
        <v>42370</v>
      </c>
      <c r="BN15" s="223">
        <f t="shared" si="3"/>
        <v>12</v>
      </c>
      <c r="BO15" s="223">
        <f t="shared" si="7"/>
        <v>12</v>
      </c>
      <c r="BP15" s="240">
        <f t="shared" si="8"/>
        <v>42430</v>
      </c>
      <c r="BQ15" s="223">
        <f t="shared" si="9"/>
        <v>12</v>
      </c>
      <c r="BS15" s="240">
        <f t="shared" si="10"/>
        <v>42430</v>
      </c>
      <c r="BT15" s="286">
        <f t="shared" si="11"/>
        <v>12</v>
      </c>
      <c r="BU15" s="240">
        <f t="shared" si="12"/>
        <v>42064</v>
      </c>
      <c r="BV15" s="222">
        <f t="shared" si="13"/>
        <v>1912</v>
      </c>
      <c r="BW15" s="281">
        <f t="shared" si="4"/>
        <v>12</v>
      </c>
      <c r="BX15" s="281">
        <f t="shared" si="5"/>
        <v>12</v>
      </c>
      <c r="BY15" s="224"/>
      <c r="BZ15" s="227">
        <f t="shared" si="1"/>
        <v>42461</v>
      </c>
      <c r="CA15" s="223"/>
      <c r="CB15" s="223"/>
      <c r="CC15" s="223"/>
      <c r="CD15" s="222"/>
      <c r="CE15" s="222"/>
      <c r="CF15" s="222"/>
      <c r="CG15" s="222"/>
      <c r="CH15" s="222"/>
      <c r="CI15" s="222"/>
      <c r="CJ15" s="222"/>
      <c r="CK15" s="222"/>
      <c r="CL15" s="222"/>
      <c r="CM15" s="101"/>
      <c r="CN15" s="245"/>
      <c r="CO15" s="245"/>
      <c r="CP15" s="245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236"/>
      <c r="DY15" s="236"/>
      <c r="DZ15" s="236"/>
      <c r="EA15" s="236"/>
      <c r="EB15" s="236"/>
      <c r="EC15" s="236"/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/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/>
      <c r="GC15" s="236"/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6"/>
      <c r="GO15" s="236"/>
      <c r="GP15" s="236"/>
      <c r="GQ15" s="236"/>
      <c r="YS15" s="38" t="e">
        <f>RIGHT(CONCATENATE(0,#REF!),7)</f>
        <v>#REF!</v>
      </c>
      <c r="YT15" s="2">
        <v>24440</v>
      </c>
      <c r="YU15" s="2">
        <v>12550</v>
      </c>
    </row>
    <row r="16" spans="1:672" s="2" customFormat="1" ht="21" customHeight="1" thickTop="1" thickBot="1">
      <c r="A16" s="40"/>
      <c r="B16" s="306" t="s">
        <v>1676</v>
      </c>
      <c r="C16" s="1058" t="s">
        <v>1870</v>
      </c>
      <c r="D16" s="1059"/>
      <c r="E16" s="37"/>
      <c r="F16" s="99" t="s">
        <v>1499</v>
      </c>
      <c r="G16" s="98">
        <v>42005</v>
      </c>
      <c r="H16" s="112">
        <v>1</v>
      </c>
      <c r="I16" s="106">
        <v>20</v>
      </c>
      <c r="J16" s="107" t="s">
        <v>1376</v>
      </c>
      <c r="K16" s="108">
        <v>0</v>
      </c>
      <c r="L16" s="109" t="s">
        <v>1354</v>
      </c>
      <c r="M16" s="110" t="s">
        <v>1354</v>
      </c>
      <c r="N16" s="1087" t="s">
        <v>1602</v>
      </c>
      <c r="O16" s="1087"/>
      <c r="P16" s="968">
        <f>SB!F22</f>
        <v>99600</v>
      </c>
      <c r="Q16" s="968"/>
      <c r="R16" s="101"/>
      <c r="S16" s="236"/>
      <c r="T16" s="101"/>
      <c r="U16" s="101"/>
      <c r="V16" s="101"/>
      <c r="W16" s="101"/>
      <c r="X16" s="246"/>
      <c r="Y16" s="247"/>
      <c r="Z16" s="101"/>
      <c r="AA16" s="101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84">
        <v>17050</v>
      </c>
      <c r="AY16" s="284">
        <v>475</v>
      </c>
      <c r="AZ16" s="284">
        <v>575</v>
      </c>
      <c r="BA16" s="284">
        <v>625</v>
      </c>
      <c r="BB16" s="222"/>
      <c r="BC16" s="101"/>
      <c r="BD16" s="101"/>
      <c r="BE16" s="101"/>
      <c r="BF16" s="101"/>
      <c r="BG16" s="101"/>
      <c r="BH16" s="101"/>
      <c r="BI16" s="101"/>
      <c r="BJ16" s="224">
        <v>13</v>
      </c>
      <c r="BK16" s="240">
        <f t="shared" si="6"/>
        <v>42401</v>
      </c>
      <c r="BL16" s="245">
        <f t="shared" si="6"/>
        <v>42430</v>
      </c>
      <c r="BM16" s="223" t="s">
        <v>1497</v>
      </c>
      <c r="BN16" s="223">
        <f t="shared" si="3"/>
        <v>13</v>
      </c>
      <c r="BO16" s="223">
        <f t="shared" si="7"/>
        <v>13</v>
      </c>
      <c r="BP16" s="240">
        <f t="shared" si="8"/>
        <v>42430</v>
      </c>
      <c r="BQ16" s="223">
        <f t="shared" si="9"/>
        <v>13</v>
      </c>
      <c r="BS16" s="240">
        <f t="shared" si="10"/>
        <v>42430</v>
      </c>
      <c r="BT16" s="286">
        <f t="shared" si="11"/>
        <v>13</v>
      </c>
      <c r="BU16" s="240">
        <f t="shared" si="12"/>
        <v>42064</v>
      </c>
      <c r="BV16" s="222">
        <f t="shared" si="13"/>
        <v>1913</v>
      </c>
      <c r="BW16" s="281">
        <f t="shared" si="4"/>
        <v>13</v>
      </c>
      <c r="BX16" s="281">
        <f t="shared" si="5"/>
        <v>13</v>
      </c>
      <c r="BY16" s="224"/>
      <c r="BZ16" s="222"/>
      <c r="CA16" s="223"/>
      <c r="CB16" s="223"/>
      <c r="CC16" s="223"/>
      <c r="CD16" s="222"/>
      <c r="CE16" s="222"/>
      <c r="CF16" s="222"/>
      <c r="CG16" s="222"/>
      <c r="CH16" s="222"/>
      <c r="CI16" s="222"/>
      <c r="CJ16" s="222"/>
      <c r="CK16" s="222"/>
      <c r="CL16" s="222"/>
      <c r="CM16" s="101"/>
      <c r="CN16" s="245"/>
      <c r="CO16" s="245"/>
      <c r="CP16" s="245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236"/>
      <c r="DY16" s="236"/>
      <c r="DZ16" s="236"/>
      <c r="EA16" s="236"/>
      <c r="EB16" s="236"/>
      <c r="EC16" s="236"/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/>
      <c r="GC16" s="236"/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6"/>
      <c r="GO16" s="236"/>
      <c r="GP16" s="236"/>
      <c r="GQ16" s="236"/>
      <c r="YS16" s="38" t="e">
        <f>RIGHT(CONCATENATE(0,#REF!),7)</f>
        <v>#REF!</v>
      </c>
      <c r="YT16" s="2">
        <v>25140</v>
      </c>
      <c r="YU16" s="2">
        <v>12910</v>
      </c>
    </row>
    <row r="17" spans="1:671" s="2" customFormat="1" ht="22.9" customHeight="1" thickTop="1" thickBot="1">
      <c r="A17" s="40"/>
      <c r="B17" s="306" t="s">
        <v>1677</v>
      </c>
      <c r="C17" s="1058" t="s">
        <v>1857</v>
      </c>
      <c r="D17" s="1059"/>
      <c r="E17" s="37"/>
      <c r="F17" s="763" t="s">
        <v>1508</v>
      </c>
      <c r="G17" s="111">
        <v>42309</v>
      </c>
      <c r="H17" s="112">
        <v>1</v>
      </c>
      <c r="I17" s="106">
        <v>20</v>
      </c>
      <c r="J17" s="109" t="s">
        <v>1376</v>
      </c>
      <c r="K17" s="108"/>
      <c r="L17" s="109" t="s">
        <v>1354</v>
      </c>
      <c r="M17" s="110" t="s">
        <v>1354</v>
      </c>
      <c r="N17" s="1087" t="s">
        <v>1603</v>
      </c>
      <c r="O17" s="1087"/>
      <c r="P17" s="968">
        <f>SB!H22</f>
        <v>69610</v>
      </c>
      <c r="Q17" s="968"/>
      <c r="R17" s="101"/>
      <c r="S17" s="236"/>
      <c r="T17" s="250"/>
      <c r="U17" s="252"/>
      <c r="V17" s="250"/>
      <c r="W17" s="250"/>
      <c r="X17" s="250"/>
      <c r="Y17" s="250"/>
      <c r="Z17" s="250"/>
      <c r="AA17" s="250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84">
        <v>21250</v>
      </c>
      <c r="AY17" s="284">
        <v>575</v>
      </c>
      <c r="AZ17" s="284">
        <v>625</v>
      </c>
      <c r="BA17" s="284">
        <v>700</v>
      </c>
      <c r="BB17" s="222"/>
      <c r="BC17" s="101"/>
      <c r="BD17" s="101"/>
      <c r="BE17" s="101"/>
      <c r="BF17" s="101"/>
      <c r="BG17" s="101"/>
      <c r="BH17" s="101"/>
      <c r="BI17" s="101"/>
      <c r="BJ17" s="224">
        <v>14</v>
      </c>
      <c r="BK17" s="240">
        <f t="shared" si="6"/>
        <v>42430</v>
      </c>
      <c r="BL17" s="245">
        <f t="shared" si="6"/>
        <v>42461</v>
      </c>
      <c r="BM17" s="223"/>
      <c r="BN17" s="223">
        <f t="shared" si="3"/>
        <v>14</v>
      </c>
      <c r="BO17" s="223">
        <f t="shared" si="7"/>
        <v>14</v>
      </c>
      <c r="BP17" s="240"/>
      <c r="BQ17" s="223">
        <f t="shared" si="9"/>
        <v>14</v>
      </c>
      <c r="BS17" s="222"/>
      <c r="BT17" s="286">
        <f t="shared" si="11"/>
        <v>14</v>
      </c>
      <c r="BU17" s="222"/>
      <c r="BV17" s="222">
        <f t="shared" si="13"/>
        <v>1914</v>
      </c>
      <c r="BW17" s="281">
        <f t="shared" si="4"/>
        <v>14</v>
      </c>
      <c r="BX17" s="281">
        <f t="shared" si="5"/>
        <v>14</v>
      </c>
      <c r="BY17" s="224"/>
      <c r="BZ17" s="222"/>
      <c r="CA17" s="223"/>
      <c r="CB17" s="223"/>
      <c r="CC17" s="223"/>
      <c r="CD17" s="222"/>
      <c r="CE17" s="222"/>
      <c r="CF17" s="222"/>
      <c r="CG17" s="222"/>
      <c r="CH17" s="222"/>
      <c r="CI17" s="222"/>
      <c r="CJ17" s="222"/>
      <c r="CK17" s="222"/>
      <c r="CL17" s="222"/>
      <c r="CM17" s="101"/>
      <c r="CN17" s="245"/>
      <c r="CO17" s="245"/>
      <c r="CP17" s="245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236"/>
      <c r="DY17" s="236"/>
      <c r="DZ17" s="236"/>
      <c r="EA17" s="236"/>
      <c r="EB17" s="236"/>
      <c r="EC17" s="236"/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/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/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/>
      <c r="GC17" s="236"/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6"/>
      <c r="GO17" s="236"/>
      <c r="GP17" s="236"/>
      <c r="GQ17" s="236"/>
      <c r="YS17" s="38" t="e">
        <f>RIGHT(CONCATENATE(0,#REF!),7)</f>
        <v>#REF!</v>
      </c>
      <c r="YT17" s="2">
        <v>26600</v>
      </c>
      <c r="YU17" s="2">
        <v>13660</v>
      </c>
    </row>
    <row r="18" spans="1:671" s="2" customFormat="1" ht="25.9" customHeight="1" thickTop="1" thickBot="1">
      <c r="A18" s="40"/>
      <c r="B18" s="306" t="s">
        <v>1569</v>
      </c>
      <c r="C18" s="1045" t="s">
        <v>120</v>
      </c>
      <c r="D18" s="1046"/>
      <c r="E18" s="37"/>
      <c r="F18" s="763" t="s">
        <v>1508</v>
      </c>
      <c r="G18" s="111">
        <v>42401</v>
      </c>
      <c r="H18" s="112"/>
      <c r="I18" s="106"/>
      <c r="J18" s="109" t="s">
        <v>1354</v>
      </c>
      <c r="K18" s="108"/>
      <c r="L18" s="109" t="s">
        <v>1354</v>
      </c>
      <c r="M18" s="110" t="s">
        <v>1354</v>
      </c>
      <c r="N18" s="1087" t="s">
        <v>1604</v>
      </c>
      <c r="O18" s="1087"/>
      <c r="P18" s="968">
        <f>SB!K22</f>
        <v>29990</v>
      </c>
      <c r="Q18" s="968"/>
      <c r="R18" s="236"/>
      <c r="S18" s="236"/>
      <c r="T18" s="250"/>
      <c r="U18" s="253"/>
      <c r="V18" s="254"/>
      <c r="W18" s="254"/>
      <c r="X18" s="254"/>
      <c r="Y18" s="255"/>
      <c r="Z18" s="254"/>
      <c r="AA18" s="254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84">
        <v>28450</v>
      </c>
      <c r="AY18" s="284">
        <v>625</v>
      </c>
      <c r="AZ18" s="284">
        <v>675</v>
      </c>
      <c r="BA18" s="284">
        <v>775</v>
      </c>
      <c r="BB18" s="222"/>
      <c r="BC18" s="101"/>
      <c r="BD18" s="101"/>
      <c r="BE18" s="101"/>
      <c r="BF18" s="101"/>
      <c r="BG18" s="101"/>
      <c r="BH18" s="101"/>
      <c r="BI18" s="101"/>
      <c r="BJ18" s="224">
        <v>15</v>
      </c>
      <c r="BK18" s="240">
        <f t="shared" si="6"/>
        <v>42461</v>
      </c>
      <c r="BL18" s="225"/>
      <c r="BM18" s="223"/>
      <c r="BN18" s="223">
        <f t="shared" si="3"/>
        <v>15</v>
      </c>
      <c r="BO18" s="223">
        <f t="shared" si="7"/>
        <v>15</v>
      </c>
      <c r="BP18" s="240"/>
      <c r="BQ18" s="223">
        <f t="shared" si="9"/>
        <v>15</v>
      </c>
      <c r="BS18" s="222"/>
      <c r="BT18" s="286">
        <f t="shared" si="11"/>
        <v>15</v>
      </c>
      <c r="BU18" s="222"/>
      <c r="BV18" s="222">
        <f t="shared" si="13"/>
        <v>1915</v>
      </c>
      <c r="BW18" s="281">
        <f t="shared" si="4"/>
        <v>15</v>
      </c>
      <c r="BX18" s="281">
        <f t="shared" si="5"/>
        <v>15</v>
      </c>
      <c r="BY18" s="224"/>
      <c r="BZ18" s="222"/>
      <c r="CA18" s="223"/>
      <c r="CB18" s="223"/>
      <c r="CC18" s="223"/>
      <c r="CD18" s="222"/>
      <c r="CE18" s="222"/>
      <c r="CF18" s="222"/>
      <c r="CG18" s="222"/>
      <c r="CH18" s="222"/>
      <c r="CI18" s="222"/>
      <c r="CJ18" s="222"/>
      <c r="CK18" s="222"/>
      <c r="CL18" s="222"/>
      <c r="CM18" s="101"/>
      <c r="CN18" s="245"/>
      <c r="CO18" s="245"/>
      <c r="CP18" s="245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236"/>
      <c r="DY18" s="236"/>
      <c r="DZ18" s="236"/>
      <c r="EA18" s="236"/>
      <c r="EB18" s="236"/>
      <c r="EC18" s="236"/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/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YS18" s="38" t="e">
        <f>RIGHT(CONCATENATE(0,#REF!),7)</f>
        <v>#REF!</v>
      </c>
      <c r="YT18" s="2">
        <v>28940</v>
      </c>
      <c r="YU18" s="2">
        <v>14860</v>
      </c>
    </row>
    <row r="19" spans="1:671" s="2" customFormat="1" ht="24" customHeight="1" thickTop="1" thickBot="1">
      <c r="A19" s="40"/>
      <c r="B19" s="306" t="s">
        <v>44</v>
      </c>
      <c r="C19" s="1051" t="s">
        <v>1038</v>
      </c>
      <c r="D19" s="1052"/>
      <c r="E19" s="37"/>
      <c r="F19" s="1114" t="s">
        <v>1906</v>
      </c>
      <c r="G19" s="1115"/>
      <c r="H19" s="1084">
        <v>42461</v>
      </c>
      <c r="I19" s="1085"/>
      <c r="J19" s="1053" t="s">
        <v>1908</v>
      </c>
      <c r="K19" s="1054"/>
      <c r="L19" s="979">
        <v>42461</v>
      </c>
      <c r="M19" s="980"/>
      <c r="N19" s="967" t="s">
        <v>1424</v>
      </c>
      <c r="O19" s="967"/>
      <c r="P19" s="968">
        <f>SB!K17</f>
        <v>895218</v>
      </c>
      <c r="Q19" s="968"/>
      <c r="R19" s="426"/>
      <c r="S19" s="236"/>
      <c r="T19" s="257"/>
      <c r="U19" s="253"/>
      <c r="V19" s="254"/>
      <c r="W19" s="254"/>
      <c r="X19" s="254"/>
      <c r="Y19" s="254"/>
      <c r="Z19" s="254"/>
      <c r="AA19" s="254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84">
        <v>62160</v>
      </c>
      <c r="AY19" s="284">
        <v>675</v>
      </c>
      <c r="AZ19" s="284">
        <v>725</v>
      </c>
      <c r="BA19" s="284">
        <v>850</v>
      </c>
      <c r="BB19" s="222"/>
      <c r="BC19" s="101"/>
      <c r="BD19" s="101"/>
      <c r="BE19" s="101"/>
      <c r="BF19" s="101"/>
      <c r="BG19" s="101"/>
      <c r="BH19" s="101"/>
      <c r="BI19" s="101"/>
      <c r="BJ19" s="224">
        <v>16</v>
      </c>
      <c r="BK19" s="240">
        <f t="shared" si="6"/>
        <v>42491</v>
      </c>
      <c r="BL19" s="225"/>
      <c r="BM19" s="223"/>
      <c r="BN19" s="223">
        <f t="shared" si="3"/>
        <v>16</v>
      </c>
      <c r="BO19" s="223">
        <f t="shared" si="7"/>
        <v>16</v>
      </c>
      <c r="BP19" s="240"/>
      <c r="BQ19" s="223">
        <f t="shared" si="9"/>
        <v>16</v>
      </c>
      <c r="BS19" s="222"/>
      <c r="BT19" s="286">
        <f t="shared" si="11"/>
        <v>16</v>
      </c>
      <c r="BU19" s="222"/>
      <c r="BV19" s="222">
        <f t="shared" si="13"/>
        <v>1916</v>
      </c>
      <c r="BW19" s="281">
        <f t="shared" si="4"/>
        <v>16</v>
      </c>
      <c r="BX19" s="281">
        <f t="shared" si="5"/>
        <v>16</v>
      </c>
      <c r="BY19" s="224"/>
      <c r="BZ19" s="222"/>
      <c r="CA19" s="223"/>
      <c r="CB19" s="223"/>
      <c r="CC19" s="223"/>
      <c r="CD19" s="222"/>
      <c r="CE19" s="222"/>
      <c r="CF19" s="222"/>
      <c r="CG19" s="222"/>
      <c r="CH19" s="222"/>
      <c r="CI19" s="222"/>
      <c r="CJ19" s="222"/>
      <c r="CK19" s="222"/>
      <c r="CL19" s="222"/>
      <c r="CM19" s="101"/>
      <c r="CN19" s="245"/>
      <c r="CO19" s="245"/>
      <c r="CP19" s="245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236"/>
      <c r="DY19" s="236"/>
      <c r="DZ19" s="236"/>
      <c r="EA19" s="236"/>
      <c r="EB19" s="236"/>
      <c r="EC19" s="236"/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/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/>
      <c r="GC19" s="236"/>
      <c r="GD19" s="236"/>
      <c r="GE19" s="236"/>
      <c r="GF19" s="236"/>
      <c r="GG19" s="236"/>
      <c r="GH19" s="236"/>
      <c r="GI19" s="236"/>
      <c r="GJ19" s="236"/>
      <c r="GK19" s="236"/>
      <c r="GL19" s="236"/>
      <c r="GM19" s="236"/>
      <c r="GN19" s="236"/>
      <c r="GO19" s="236"/>
      <c r="GP19" s="236"/>
      <c r="GQ19" s="236"/>
      <c r="YS19" s="38" t="e">
        <f>RIGHT(CONCATENATE(0,#REF!),7)</f>
        <v>#REF!</v>
      </c>
      <c r="YT19" s="2">
        <v>29760</v>
      </c>
      <c r="YU19" s="2">
        <v>15280</v>
      </c>
    </row>
    <row r="20" spans="1:671" s="2" customFormat="1" ht="25.5" customHeight="1" thickTop="1" thickBot="1">
      <c r="A20" s="40"/>
      <c r="B20" s="279" t="s">
        <v>1571</v>
      </c>
      <c r="C20" s="1039"/>
      <c r="D20" s="1040"/>
      <c r="F20" s="1035" t="s">
        <v>1486</v>
      </c>
      <c r="G20" s="1036"/>
      <c r="H20" s="1036"/>
      <c r="I20" s="1036"/>
      <c r="J20" s="1036"/>
      <c r="K20" s="1036"/>
      <c r="L20" s="1036"/>
      <c r="M20" s="933">
        <v>42461</v>
      </c>
      <c r="N20" s="967" t="s">
        <v>1678</v>
      </c>
      <c r="O20" s="967"/>
      <c r="P20" s="971">
        <f>SB!K30+SB!G33</f>
        <v>40610</v>
      </c>
      <c r="Q20" s="971"/>
      <c r="R20" s="427"/>
      <c r="S20" s="236"/>
      <c r="T20" s="250"/>
      <c r="U20" s="253"/>
      <c r="V20" s="258"/>
      <c r="W20" s="258"/>
      <c r="X20" s="258"/>
      <c r="Y20" s="249"/>
      <c r="Z20" s="258"/>
      <c r="AA20" s="258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1067"/>
      <c r="AY20" s="1067"/>
      <c r="AZ20" s="1067"/>
      <c r="BA20" s="1067"/>
      <c r="BB20" s="222"/>
      <c r="BC20" s="101"/>
      <c r="BD20" s="101"/>
      <c r="BE20" s="101"/>
      <c r="BF20" s="101"/>
      <c r="BG20" s="101"/>
      <c r="BH20" s="101"/>
      <c r="BI20" s="101"/>
      <c r="BJ20" s="224">
        <v>17</v>
      </c>
      <c r="BK20" s="240">
        <f t="shared" si="6"/>
        <v>42522</v>
      </c>
      <c r="BL20" s="225"/>
      <c r="BM20" s="223"/>
      <c r="BN20" s="223">
        <f t="shared" si="3"/>
        <v>17</v>
      </c>
      <c r="BO20" s="223">
        <f t="shared" si="7"/>
        <v>17</v>
      </c>
      <c r="BP20" s="240"/>
      <c r="BQ20" s="223">
        <f t="shared" si="9"/>
        <v>17</v>
      </c>
      <c r="BS20" s="222"/>
      <c r="BT20" s="286">
        <f t="shared" si="11"/>
        <v>17</v>
      </c>
      <c r="BU20" s="222"/>
      <c r="BV20" s="222">
        <f t="shared" si="13"/>
        <v>1917</v>
      </c>
      <c r="BW20" s="281">
        <f t="shared" si="4"/>
        <v>17</v>
      </c>
      <c r="BX20" s="281">
        <f t="shared" si="5"/>
        <v>17</v>
      </c>
      <c r="BY20" s="224"/>
      <c r="BZ20" s="222"/>
      <c r="CA20" s="223" t="s">
        <v>1565</v>
      </c>
      <c r="CB20" s="223"/>
      <c r="CC20" s="223"/>
      <c r="CD20" s="222"/>
      <c r="CE20" s="222"/>
      <c r="CF20" s="222"/>
      <c r="CG20" s="222"/>
      <c r="CH20" s="222"/>
      <c r="CI20" s="222"/>
      <c r="CJ20" s="222"/>
      <c r="CK20" s="222"/>
      <c r="CL20" s="222"/>
      <c r="CM20" s="101"/>
      <c r="CN20" s="245"/>
      <c r="CO20" s="245"/>
      <c r="CP20" s="245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YS20" s="38" t="e">
        <f>RIGHT(CONCATENATE(0,#REF!),7)</f>
        <v>#REF!</v>
      </c>
      <c r="YT20" s="2">
        <v>31460</v>
      </c>
      <c r="YU20" s="2">
        <v>16150</v>
      </c>
    </row>
    <row r="21" spans="1:671" s="2" customFormat="1" ht="21" customHeight="1" thickTop="1">
      <c r="A21" s="40">
        <v>12</v>
      </c>
      <c r="B21" s="279" t="s">
        <v>64</v>
      </c>
      <c r="C21" s="1033" t="s">
        <v>1946</v>
      </c>
      <c r="D21" s="1034"/>
      <c r="F21" s="1037" t="s">
        <v>1502</v>
      </c>
      <c r="G21" s="1038"/>
      <c r="H21" s="291" t="s">
        <v>1370</v>
      </c>
      <c r="I21" s="292"/>
      <c r="J21" s="788" t="s">
        <v>33</v>
      </c>
      <c r="K21" s="788" t="s">
        <v>1374</v>
      </c>
      <c r="L21" s="788" t="s">
        <v>1371</v>
      </c>
      <c r="M21" s="102"/>
      <c r="N21" s="972" t="s">
        <v>1764</v>
      </c>
      <c r="O21" s="972"/>
      <c r="P21" s="969">
        <f>'16'!M39</f>
        <v>854608</v>
      </c>
      <c r="Q21" s="969"/>
      <c r="R21" s="427"/>
      <c r="S21" s="236"/>
      <c r="T21" s="259"/>
      <c r="U21" s="253"/>
      <c r="V21" s="258"/>
      <c r="W21" s="258"/>
      <c r="X21" s="258"/>
      <c r="Y21" s="258"/>
      <c r="Z21" s="258"/>
      <c r="AA21" s="258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1086" t="s">
        <v>316</v>
      </c>
      <c r="AY21" s="1086"/>
      <c r="AZ21" s="1086"/>
      <c r="BA21" s="1086"/>
      <c r="BB21" s="222"/>
      <c r="BC21" s="101"/>
      <c r="BD21" s="101"/>
      <c r="BE21" s="101"/>
      <c r="BF21" s="101"/>
      <c r="BG21" s="101"/>
      <c r="BH21" s="101"/>
      <c r="BI21" s="101"/>
      <c r="BJ21" s="224">
        <v>18</v>
      </c>
      <c r="BK21" s="240">
        <f t="shared" si="6"/>
        <v>42552</v>
      </c>
      <c r="BL21" s="225"/>
      <c r="BM21" s="223"/>
      <c r="BN21" s="223">
        <f t="shared" si="3"/>
        <v>18</v>
      </c>
      <c r="BO21" s="223">
        <f t="shared" si="7"/>
        <v>18</v>
      </c>
      <c r="BP21" s="240"/>
      <c r="BQ21" s="223">
        <f t="shared" si="9"/>
        <v>18</v>
      </c>
      <c r="BS21" s="222"/>
      <c r="BT21" s="286">
        <f t="shared" si="11"/>
        <v>18</v>
      </c>
      <c r="BU21" s="222"/>
      <c r="BV21" s="222">
        <f t="shared" si="13"/>
        <v>1918</v>
      </c>
      <c r="BW21" s="281">
        <f t="shared" si="4"/>
        <v>18</v>
      </c>
      <c r="BX21" s="281">
        <f t="shared" si="5"/>
        <v>18</v>
      </c>
      <c r="BY21" s="224"/>
      <c r="BZ21" s="222" t="str">
        <f>BZ25</f>
        <v>Smt: ANURADHA KORA</v>
      </c>
      <c r="CA21" s="223" t="s">
        <v>1365</v>
      </c>
      <c r="CB21" s="223"/>
      <c r="CC21" s="223"/>
      <c r="CD21" s="223">
        <v>2005</v>
      </c>
      <c r="CE21" s="222"/>
      <c r="CF21" s="222"/>
      <c r="CG21" s="222"/>
      <c r="CH21" s="222"/>
      <c r="CI21" s="222"/>
      <c r="CJ21" s="222"/>
      <c r="CK21" s="222"/>
      <c r="CL21" s="222"/>
      <c r="CM21" s="101"/>
      <c r="CN21" s="245"/>
      <c r="CO21" s="245"/>
      <c r="CP21" s="245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/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YS21" s="38" t="e">
        <f>RIGHT(CONCATENATE(0,#REF!),7)</f>
        <v>#REF!</v>
      </c>
      <c r="YT21" s="2">
        <v>35120</v>
      </c>
      <c r="YU21" s="2">
        <v>18030</v>
      </c>
    </row>
    <row r="22" spans="1:671" s="2" customFormat="1" ht="18" customHeight="1" thickBot="1">
      <c r="A22" s="40"/>
      <c r="B22" s="279" t="s">
        <v>42</v>
      </c>
      <c r="C22" s="1033" t="s">
        <v>1466</v>
      </c>
      <c r="D22" s="1034"/>
      <c r="F22" s="1074" t="s">
        <v>1368</v>
      </c>
      <c r="G22" s="1075"/>
      <c r="H22" s="1076" t="s">
        <v>1973</v>
      </c>
      <c r="I22" s="1077"/>
      <c r="J22" s="765">
        <v>1500</v>
      </c>
      <c r="K22" s="765"/>
      <c r="L22" s="779"/>
      <c r="M22" s="102"/>
      <c r="N22" s="973"/>
      <c r="O22" s="973"/>
      <c r="P22" s="970"/>
      <c r="Q22" s="970"/>
      <c r="R22" s="427"/>
      <c r="S22" s="236"/>
      <c r="T22" s="259"/>
      <c r="U22" s="253"/>
      <c r="V22" s="258"/>
      <c r="W22" s="258"/>
      <c r="X22" s="258"/>
      <c r="Y22" s="258"/>
      <c r="Z22" s="258"/>
      <c r="AA22" s="258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60" t="s">
        <v>318</v>
      </c>
      <c r="AY22" s="284">
        <v>8</v>
      </c>
      <c r="AZ22" s="260" t="s">
        <v>319</v>
      </c>
      <c r="BA22" s="284">
        <v>1000</v>
      </c>
      <c r="BB22" s="222" t="s">
        <v>307</v>
      </c>
      <c r="BC22" s="101"/>
      <c r="BD22" s="101"/>
      <c r="BE22" s="101"/>
      <c r="BF22" s="101"/>
      <c r="BG22" s="101"/>
      <c r="BH22" s="101"/>
      <c r="BI22" s="101"/>
      <c r="BJ22" s="224">
        <v>19</v>
      </c>
      <c r="BK22" s="240">
        <f t="shared" si="6"/>
        <v>42583</v>
      </c>
      <c r="BL22" s="225"/>
      <c r="BM22" s="223"/>
      <c r="BN22" s="223">
        <f t="shared" si="3"/>
        <v>19</v>
      </c>
      <c r="BO22" s="223">
        <f t="shared" si="7"/>
        <v>19</v>
      </c>
      <c r="BP22" s="222"/>
      <c r="BQ22" s="223">
        <f t="shared" si="9"/>
        <v>19</v>
      </c>
      <c r="BS22" s="222"/>
      <c r="BT22" s="286">
        <f t="shared" si="11"/>
        <v>19</v>
      </c>
      <c r="BU22" s="222"/>
      <c r="BV22" s="222">
        <f t="shared" si="13"/>
        <v>1919</v>
      </c>
      <c r="BW22" s="281">
        <f t="shared" si="4"/>
        <v>19</v>
      </c>
      <c r="BX22" s="281">
        <f t="shared" si="5"/>
        <v>19</v>
      </c>
      <c r="BY22" s="224"/>
      <c r="BZ22" s="222" t="str">
        <f>CONCATENATE(IF(BY26=1," Son of  Sri "," Daughter of Sri "),UPPER(C24))</f>
        <v xml:space="preserve"> Daughter of Sri _______________</v>
      </c>
      <c r="CA22" s="223" t="s">
        <v>1366</v>
      </c>
      <c r="CB22" s="223"/>
      <c r="CC22" s="223"/>
      <c r="CD22" s="223">
        <v>2010</v>
      </c>
      <c r="CE22" s="222"/>
      <c r="CF22" s="222"/>
      <c r="CG22" s="222"/>
      <c r="CH22" s="222"/>
      <c r="CI22" s="222"/>
      <c r="CJ22" s="222"/>
      <c r="CK22" s="222"/>
      <c r="CL22" s="222"/>
      <c r="CM22" s="101"/>
      <c r="CN22" s="245"/>
      <c r="CO22" s="245"/>
      <c r="CP22" s="245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236"/>
      <c r="DY22" s="236"/>
      <c r="DZ22" s="236"/>
      <c r="EA22" s="236"/>
      <c r="EB22" s="236"/>
      <c r="EC22" s="236"/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/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6"/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6"/>
      <c r="GA22" s="236"/>
      <c r="GB22" s="236"/>
      <c r="GC22" s="236"/>
      <c r="GD22" s="236"/>
      <c r="GE22" s="236"/>
      <c r="GF22" s="236"/>
      <c r="GG22" s="236"/>
      <c r="GH22" s="236"/>
      <c r="GI22" s="236"/>
      <c r="GJ22" s="236"/>
      <c r="GK22" s="236"/>
      <c r="GL22" s="236"/>
      <c r="GM22" s="236"/>
      <c r="GN22" s="236"/>
      <c r="GO22" s="236"/>
      <c r="GP22" s="236"/>
      <c r="GQ22" s="236"/>
      <c r="YS22" s="38" t="e">
        <f>RIGHT(CONCATENATE(0,#REF!),7)</f>
        <v>#REF!</v>
      </c>
      <c r="YT22" s="2">
        <v>37100</v>
      </c>
      <c r="YU22" s="2">
        <v>19050</v>
      </c>
    </row>
    <row r="23" spans="1:671" s="2" customFormat="1" ht="18" customHeight="1" thickTop="1" thickBot="1">
      <c r="A23" s="40"/>
      <c r="B23" s="279" t="s">
        <v>1342</v>
      </c>
      <c r="C23" s="1033" t="s">
        <v>1947</v>
      </c>
      <c r="D23" s="1034"/>
      <c r="F23" s="669" t="s">
        <v>5</v>
      </c>
      <c r="G23" s="670"/>
      <c r="H23" s="1078" t="s">
        <v>1974</v>
      </c>
      <c r="I23" s="1079"/>
      <c r="J23" s="765">
        <v>750</v>
      </c>
      <c r="K23" s="765"/>
      <c r="L23" s="779"/>
      <c r="M23" s="102"/>
      <c r="N23" s="967" t="s">
        <v>1765</v>
      </c>
      <c r="O23" s="967"/>
      <c r="P23" s="1112">
        <f>'16'!M63</f>
        <v>150000</v>
      </c>
      <c r="Q23" s="1112"/>
      <c r="R23" s="427"/>
      <c r="S23" s="236"/>
      <c r="T23" s="261"/>
      <c r="U23" s="253"/>
      <c r="V23" s="255"/>
      <c r="W23" s="254"/>
      <c r="X23" s="249"/>
      <c r="Y23" s="249"/>
      <c r="Z23" s="249"/>
      <c r="AA23" s="262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22"/>
      <c r="AY23" s="263">
        <v>8</v>
      </c>
      <c r="AZ23" s="222"/>
      <c r="BA23" s="263">
        <v>500</v>
      </c>
      <c r="BB23" s="222" t="s">
        <v>296</v>
      </c>
      <c r="BC23" s="101"/>
      <c r="BD23" s="101"/>
      <c r="BE23" s="101"/>
      <c r="BF23" s="101"/>
      <c r="BG23" s="101"/>
      <c r="BH23" s="101"/>
      <c r="BI23" s="101"/>
      <c r="BJ23" s="224">
        <v>20</v>
      </c>
      <c r="BK23" s="240">
        <f t="shared" si="6"/>
        <v>42614</v>
      </c>
      <c r="BL23" s="225"/>
      <c r="BM23" s="223"/>
      <c r="BN23" s="223">
        <f t="shared" si="3"/>
        <v>20</v>
      </c>
      <c r="BO23" s="223">
        <f t="shared" si="7"/>
        <v>20</v>
      </c>
      <c r="BP23" s="222"/>
      <c r="BQ23" s="223">
        <f t="shared" si="9"/>
        <v>20</v>
      </c>
      <c r="BS23" s="222"/>
      <c r="BT23" s="286">
        <f t="shared" si="11"/>
        <v>20</v>
      </c>
      <c r="BU23" s="222"/>
      <c r="BV23" s="222">
        <f t="shared" si="13"/>
        <v>1920</v>
      </c>
      <c r="BW23" s="281">
        <f t="shared" si="4"/>
        <v>20</v>
      </c>
      <c r="BX23" s="281">
        <f t="shared" si="5"/>
        <v>20</v>
      </c>
      <c r="BY23" s="224"/>
      <c r="BZ23" s="222" t="s">
        <v>1353</v>
      </c>
      <c r="CA23" s="223" t="s">
        <v>1367</v>
      </c>
      <c r="CB23" s="223"/>
      <c r="CC23" s="223"/>
      <c r="CD23" s="222"/>
      <c r="CE23" s="222"/>
      <c r="CF23" s="222"/>
      <c r="CG23" s="222"/>
      <c r="CH23" s="222"/>
      <c r="CI23" s="222"/>
      <c r="CJ23" s="222"/>
      <c r="CK23" s="222"/>
      <c r="CL23" s="222"/>
      <c r="CM23" s="101"/>
      <c r="CN23" s="245"/>
      <c r="CO23" s="245"/>
      <c r="CP23" s="245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236"/>
      <c r="DY23" s="236"/>
      <c r="DZ23" s="236"/>
      <c r="EA23" s="236"/>
      <c r="EB23" s="236"/>
      <c r="EC23" s="236"/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/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6"/>
      <c r="FK23" s="236"/>
      <c r="FL23" s="236"/>
      <c r="FM23" s="236"/>
      <c r="FN23" s="236"/>
      <c r="FO23" s="236"/>
      <c r="FP23" s="236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/>
      <c r="GC23" s="236"/>
      <c r="GD23" s="236"/>
      <c r="GE23" s="236"/>
      <c r="GF23" s="236"/>
      <c r="GG23" s="236"/>
      <c r="GH23" s="236"/>
      <c r="GI23" s="236"/>
      <c r="GJ23" s="236"/>
      <c r="GK23" s="236"/>
      <c r="GL23" s="236"/>
      <c r="GM23" s="236"/>
      <c r="GN23" s="236"/>
      <c r="GO23" s="236"/>
      <c r="GP23" s="236"/>
      <c r="GQ23" s="236"/>
      <c r="YS23" s="38" t="e">
        <f>RIGHT(CONCATENATE(0,#REF!),7)</f>
        <v>#REF!</v>
      </c>
      <c r="YT23" s="2">
        <v>40270</v>
      </c>
      <c r="YU23" s="2">
        <v>20680</v>
      </c>
    </row>
    <row r="24" spans="1:671" s="2" customFormat="1" ht="21.6" customHeight="1" thickTop="1" thickBot="1">
      <c r="A24" s="40"/>
      <c r="B24" s="279" t="s">
        <v>65</v>
      </c>
      <c r="C24" s="1033" t="s">
        <v>1828</v>
      </c>
      <c r="D24" s="1034"/>
      <c r="F24" s="669" t="s">
        <v>38</v>
      </c>
      <c r="G24" s="671"/>
      <c r="H24" s="1080"/>
      <c r="I24" s="1081"/>
      <c r="J24" s="765">
        <v>60</v>
      </c>
      <c r="K24" s="765"/>
      <c r="L24" s="779"/>
      <c r="M24" s="102"/>
      <c r="N24" s="967" t="s">
        <v>1766</v>
      </c>
      <c r="O24" s="967"/>
      <c r="P24" s="1112">
        <f>'16'!M74</f>
        <v>121294</v>
      </c>
      <c r="Q24" s="1112"/>
      <c r="R24" s="427"/>
      <c r="S24" s="236"/>
      <c r="T24" s="261"/>
      <c r="U24" s="253"/>
      <c r="V24" s="255"/>
      <c r="W24" s="254"/>
      <c r="X24" s="264"/>
      <c r="Y24" s="264"/>
      <c r="Z24" s="236"/>
      <c r="AA24" s="262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22"/>
      <c r="AY24" s="222"/>
      <c r="AZ24" s="222"/>
      <c r="BA24" s="243"/>
      <c r="BB24" s="222"/>
      <c r="BC24" s="101"/>
      <c r="BD24" s="101"/>
      <c r="BE24" s="101"/>
      <c r="BF24" s="101"/>
      <c r="BG24" s="101"/>
      <c r="BH24" s="101"/>
      <c r="BI24" s="101"/>
      <c r="BJ24" s="224">
        <v>21</v>
      </c>
      <c r="BK24" s="240">
        <f t="shared" si="6"/>
        <v>42644</v>
      </c>
      <c r="BL24" s="225"/>
      <c r="BM24" s="223"/>
      <c r="BN24" s="223">
        <f t="shared" si="3"/>
        <v>21</v>
      </c>
      <c r="BO24" s="223">
        <f t="shared" si="7"/>
        <v>21</v>
      </c>
      <c r="BP24" s="222"/>
      <c r="BQ24" s="223">
        <f t="shared" si="9"/>
        <v>21</v>
      </c>
      <c r="BS24" s="222"/>
      <c r="BT24" s="286">
        <f t="shared" si="11"/>
        <v>21</v>
      </c>
      <c r="BU24" s="222"/>
      <c r="BV24" s="222">
        <f t="shared" si="13"/>
        <v>1921</v>
      </c>
      <c r="BW24" s="281">
        <f t="shared" si="4"/>
        <v>21</v>
      </c>
      <c r="BX24" s="281">
        <f t="shared" si="5"/>
        <v>21</v>
      </c>
      <c r="BY24" s="224"/>
      <c r="BZ24" s="222" t="s">
        <v>1354</v>
      </c>
      <c r="CA24" s="223" t="s">
        <v>1368</v>
      </c>
      <c r="CB24" s="223"/>
      <c r="CC24" s="223"/>
      <c r="CD24" s="222"/>
      <c r="CE24" s="222"/>
      <c r="CF24" s="222"/>
      <c r="CG24" s="222"/>
      <c r="CH24" s="222"/>
      <c r="CI24" s="222"/>
      <c r="CJ24" s="222"/>
      <c r="CK24" s="222"/>
      <c r="CL24" s="222"/>
      <c r="CM24" s="101"/>
      <c r="CN24" s="245"/>
      <c r="CO24" s="245"/>
      <c r="CP24" s="245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236"/>
      <c r="DY24" s="236"/>
      <c r="DZ24" s="236"/>
      <c r="EA24" s="236"/>
      <c r="EB24" s="236"/>
      <c r="EC24" s="236"/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6"/>
      <c r="EU24" s="236"/>
      <c r="EV24" s="236"/>
      <c r="EW24" s="236"/>
      <c r="EX24" s="236"/>
      <c r="EY24" s="236"/>
      <c r="EZ24" s="236"/>
      <c r="FA24" s="236"/>
      <c r="FB24" s="236"/>
      <c r="FC24" s="236"/>
      <c r="FD24" s="236"/>
      <c r="FE24" s="236"/>
      <c r="FF24" s="236"/>
      <c r="FG24" s="236"/>
      <c r="FH24" s="236"/>
      <c r="FI24" s="236"/>
      <c r="FJ24" s="236"/>
      <c r="FK24" s="236"/>
      <c r="FL24" s="236"/>
      <c r="FM24" s="236"/>
      <c r="FN24" s="236"/>
      <c r="FO24" s="236"/>
      <c r="FP24" s="236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/>
      <c r="GC24" s="236"/>
      <c r="GD24" s="236"/>
      <c r="GE24" s="236"/>
      <c r="GF24" s="236"/>
      <c r="GG24" s="236"/>
      <c r="GH24" s="236"/>
      <c r="GI24" s="236"/>
      <c r="GJ24" s="236"/>
      <c r="GK24" s="236"/>
      <c r="GL24" s="236"/>
      <c r="GM24" s="236"/>
      <c r="GN24" s="236"/>
      <c r="GO24" s="236"/>
      <c r="GP24" s="236"/>
      <c r="GQ24" s="236"/>
      <c r="YS24" s="38" t="e">
        <f>RIGHT(CONCATENATE(0,#REF!),7)</f>
        <v>#REF!</v>
      </c>
      <c r="YT24" s="2">
        <v>42490</v>
      </c>
      <c r="YU24" s="2">
        <v>21820</v>
      </c>
    </row>
    <row r="25" spans="1:671" s="2" customFormat="1" ht="22.15" customHeight="1" thickTop="1" thickBot="1">
      <c r="A25" s="429"/>
      <c r="B25" s="306" t="s">
        <v>1343</v>
      </c>
      <c r="C25" s="1041" t="s">
        <v>1948</v>
      </c>
      <c r="D25" s="1042"/>
      <c r="E25" s="37"/>
      <c r="F25" s="1043" t="s">
        <v>1827</v>
      </c>
      <c r="G25" s="1044"/>
      <c r="H25" s="1072"/>
      <c r="I25" s="1073"/>
      <c r="J25" s="765">
        <v>0</v>
      </c>
      <c r="K25" s="765"/>
      <c r="L25" s="779"/>
      <c r="M25" s="102"/>
      <c r="N25" s="967" t="s">
        <v>1470</v>
      </c>
      <c r="O25" s="967"/>
      <c r="P25" s="1113">
        <f>'16'!M76</f>
        <v>653458</v>
      </c>
      <c r="Q25" s="1113"/>
      <c r="R25" s="427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60" t="s">
        <v>323</v>
      </c>
      <c r="AY25" s="260" t="s">
        <v>324</v>
      </c>
      <c r="AZ25" s="260" t="s">
        <v>307</v>
      </c>
      <c r="BA25" s="230">
        <v>40269</v>
      </c>
      <c r="BB25" s="222"/>
      <c r="BC25" s="101"/>
      <c r="BD25" s="101"/>
      <c r="BE25" s="101"/>
      <c r="BF25" s="101"/>
      <c r="BG25" s="101"/>
      <c r="BH25" s="101"/>
      <c r="BI25" s="101"/>
      <c r="BJ25" s="224">
        <v>22</v>
      </c>
      <c r="BK25" s="240">
        <f t="shared" si="6"/>
        <v>42675</v>
      </c>
      <c r="BL25" s="225"/>
      <c r="BM25" s="223"/>
      <c r="BN25" s="223">
        <f t="shared" si="3"/>
        <v>22</v>
      </c>
      <c r="BO25" s="223">
        <f t="shared" si="7"/>
        <v>22</v>
      </c>
      <c r="BP25" s="222"/>
      <c r="BQ25" s="223">
        <f t="shared" si="9"/>
        <v>22</v>
      </c>
      <c r="BS25" s="222"/>
      <c r="BT25" s="286">
        <f t="shared" si="11"/>
        <v>22</v>
      </c>
      <c r="BU25" s="222"/>
      <c r="BV25" s="222">
        <f t="shared" si="13"/>
        <v>1922</v>
      </c>
      <c r="BW25" s="281">
        <f t="shared" si="4"/>
        <v>22</v>
      </c>
      <c r="BX25" s="281">
        <f t="shared" si="5"/>
        <v>22</v>
      </c>
      <c r="BY25" s="265">
        <v>2</v>
      </c>
      <c r="BZ25" s="222" t="str">
        <f>CONCATENATE(IF(BY25=1,BZ27,IF(BY25=2,BZ28,BZ29)),UPPER(C4))</f>
        <v>Smt: ANURADHA KORA</v>
      </c>
      <c r="CA25" s="223"/>
      <c r="CB25" s="223"/>
      <c r="CC25" s="223" t="str">
        <f>IF(BY25=1,"Male","Female")</f>
        <v>Female</v>
      </c>
      <c r="CD25" s="222"/>
      <c r="CE25" s="222"/>
      <c r="CF25" s="222"/>
      <c r="CG25" s="222"/>
      <c r="CH25" s="222"/>
      <c r="CI25" s="222"/>
      <c r="CJ25" s="222"/>
      <c r="CK25" s="222"/>
      <c r="CL25" s="222"/>
      <c r="CM25" s="101"/>
      <c r="CN25" s="245"/>
      <c r="CO25" s="245"/>
      <c r="CP25" s="245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YS25" s="38" t="e">
        <f>RIGHT(CONCATENATE(0,#REF!),7)</f>
        <v>#REF!</v>
      </c>
      <c r="YT25" s="2">
        <v>46060</v>
      </c>
      <c r="YU25" s="2">
        <v>23650</v>
      </c>
    </row>
    <row r="26" spans="1:671" s="2" customFormat="1" ht="22.15" customHeight="1" thickTop="1" thickBot="1">
      <c r="A26" s="236"/>
      <c r="B26" s="691" t="s">
        <v>1829</v>
      </c>
      <c r="C26" s="773" t="s">
        <v>1826</v>
      </c>
      <c r="D26" s="774"/>
      <c r="E26" s="37"/>
      <c r="F26" s="1070" t="s">
        <v>1372</v>
      </c>
      <c r="G26" s="1071"/>
      <c r="H26" s="1072">
        <v>20</v>
      </c>
      <c r="I26" s="1073"/>
      <c r="J26" s="1083" t="s">
        <v>1373</v>
      </c>
      <c r="K26" s="1083"/>
      <c r="L26" s="765">
        <v>50</v>
      </c>
      <c r="M26" s="102"/>
      <c r="N26" s="967" t="s">
        <v>1471</v>
      </c>
      <c r="O26" s="967"/>
      <c r="P26" s="1112">
        <f ca="1">'16'!M77</f>
        <v>55692</v>
      </c>
      <c r="Q26" s="1112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60" t="s">
        <v>326</v>
      </c>
      <c r="AY26" s="260">
        <v>300</v>
      </c>
      <c r="AZ26" s="260">
        <v>400</v>
      </c>
      <c r="BA26" s="222"/>
      <c r="BB26" s="222"/>
      <c r="BC26" s="101"/>
      <c r="BD26" s="101"/>
      <c r="BE26" s="101"/>
      <c r="BF26" s="101"/>
      <c r="BG26" s="101"/>
      <c r="BH26" s="101"/>
      <c r="BI26" s="101"/>
      <c r="BJ26" s="224">
        <v>23</v>
      </c>
      <c r="BK26" s="240">
        <f t="shared" si="6"/>
        <v>42705</v>
      </c>
      <c r="BL26" s="225"/>
      <c r="BM26" s="223"/>
      <c r="BN26" s="223">
        <f t="shared" si="3"/>
        <v>23</v>
      </c>
      <c r="BO26" s="223">
        <f t="shared" si="7"/>
        <v>23</v>
      </c>
      <c r="BP26" s="222"/>
      <c r="BQ26" s="223">
        <f t="shared" si="9"/>
        <v>23</v>
      </c>
      <c r="BS26" s="222"/>
      <c r="BT26" s="286">
        <f t="shared" si="11"/>
        <v>23</v>
      </c>
      <c r="BU26" s="222"/>
      <c r="BV26" s="222">
        <f t="shared" si="13"/>
        <v>1923</v>
      </c>
      <c r="BW26" s="281">
        <f t="shared" si="4"/>
        <v>23</v>
      </c>
      <c r="BX26" s="281">
        <f t="shared" si="5"/>
        <v>23</v>
      </c>
      <c r="BY26" s="265">
        <v>2</v>
      </c>
      <c r="BZ26" s="222" t="str">
        <f>CONCATENATE(IF(BY26=1,BZ27,IF(BY26=2,BZ28,BZ29)),UPPER(C21))</f>
        <v>Smt: P.PARVATHI</v>
      </c>
      <c r="CA26" s="266">
        <v>1</v>
      </c>
      <c r="CB26" s="223"/>
      <c r="CC26" s="223"/>
      <c r="CD26" s="649" t="s">
        <v>1821</v>
      </c>
      <c r="CE26" s="222">
        <v>100000</v>
      </c>
      <c r="CF26" s="222">
        <v>8300</v>
      </c>
      <c r="CG26" s="222"/>
      <c r="CH26" s="222"/>
      <c r="CI26" s="222"/>
      <c r="CJ26" s="222"/>
      <c r="CK26" s="222"/>
      <c r="CL26" s="222"/>
      <c r="CM26" s="101"/>
      <c r="CN26" s="245"/>
      <c r="CO26" s="245"/>
      <c r="CP26" s="245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236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/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6"/>
      <c r="FI26" s="236"/>
      <c r="FJ26" s="236"/>
      <c r="FK26" s="236"/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/>
      <c r="GC26" s="236"/>
      <c r="GD26" s="236"/>
      <c r="GE26" s="236"/>
      <c r="GF26" s="236"/>
      <c r="GG26" s="236"/>
      <c r="GH26" s="236"/>
      <c r="GI26" s="236"/>
      <c r="GJ26" s="236"/>
      <c r="GK26" s="236"/>
      <c r="GL26" s="236"/>
      <c r="GM26" s="236"/>
      <c r="GN26" s="236"/>
      <c r="GO26" s="236"/>
      <c r="GP26" s="236"/>
      <c r="GQ26" s="236"/>
      <c r="YS26" s="38" t="e">
        <f>RIGHT(CONCATENATE(0,#REF!),7)</f>
        <v>#REF!</v>
      </c>
      <c r="YT26" s="2">
        <v>49870</v>
      </c>
      <c r="YU26" s="2">
        <v>25600</v>
      </c>
    </row>
    <row r="27" spans="1:671" s="2" customFormat="1" ht="21" customHeight="1" thickTop="1" thickBot="1">
      <c r="A27" s="1063" t="s">
        <v>1887</v>
      </c>
      <c r="B27" s="1064"/>
      <c r="C27" s="1065">
        <v>42186</v>
      </c>
      <c r="D27" s="1065"/>
      <c r="E27" s="37"/>
      <c r="F27" s="991" t="s">
        <v>1819</v>
      </c>
      <c r="G27" s="991"/>
      <c r="H27" s="992">
        <v>42005</v>
      </c>
      <c r="I27" s="992"/>
      <c r="J27" s="780">
        <v>90</v>
      </c>
      <c r="K27" s="780"/>
      <c r="L27" s="779"/>
      <c r="N27" s="967" t="s">
        <v>1485</v>
      </c>
      <c r="O27" s="967"/>
      <c r="P27" s="1112">
        <f ca="1">'16'!M79</f>
        <v>1671</v>
      </c>
      <c r="Q27" s="1112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60" t="s">
        <v>328</v>
      </c>
      <c r="AY27" s="260">
        <v>400</v>
      </c>
      <c r="AZ27" s="260">
        <v>500</v>
      </c>
      <c r="BA27" s="222"/>
      <c r="BB27" s="222"/>
      <c r="BC27" s="101"/>
      <c r="BD27" s="101"/>
      <c r="BE27" s="101"/>
      <c r="BF27" s="101"/>
      <c r="BG27" s="101"/>
      <c r="BH27" s="101"/>
      <c r="BI27" s="101"/>
      <c r="BJ27" s="224">
        <v>24</v>
      </c>
      <c r="BK27" s="240">
        <f t="shared" si="6"/>
        <v>42736</v>
      </c>
      <c r="BL27" s="225"/>
      <c r="BM27" s="223"/>
      <c r="BN27" s="223">
        <f t="shared" si="3"/>
        <v>24</v>
      </c>
      <c r="BO27" s="223">
        <f t="shared" si="7"/>
        <v>24</v>
      </c>
      <c r="BP27" s="222"/>
      <c r="BQ27" s="223">
        <f t="shared" si="9"/>
        <v>24</v>
      </c>
      <c r="BS27" s="222"/>
      <c r="BT27" s="286">
        <f t="shared" si="11"/>
        <v>24</v>
      </c>
      <c r="BU27" s="222"/>
      <c r="BV27" s="222">
        <f t="shared" si="13"/>
        <v>1924</v>
      </c>
      <c r="BW27" s="281">
        <f t="shared" si="4"/>
        <v>24</v>
      </c>
      <c r="BX27" s="281">
        <f t="shared" si="5"/>
        <v>24</v>
      </c>
      <c r="BY27" s="224"/>
      <c r="BZ27" s="222" t="s">
        <v>1344</v>
      </c>
      <c r="CA27" s="223" t="s">
        <v>1468</v>
      </c>
      <c r="CB27" s="223" t="s">
        <v>1338</v>
      </c>
      <c r="CC27" s="223" t="s">
        <v>1350</v>
      </c>
      <c r="CD27" s="649" t="s">
        <v>1822</v>
      </c>
      <c r="CE27" s="222"/>
      <c r="CF27" s="222"/>
      <c r="CG27" s="222"/>
      <c r="CH27" s="222"/>
      <c r="CI27" s="222"/>
      <c r="CJ27" s="222"/>
      <c r="CK27" s="222"/>
      <c r="CL27" s="222"/>
      <c r="CM27" s="101"/>
      <c r="CN27" s="245"/>
      <c r="CO27" s="245"/>
      <c r="CP27" s="245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/>
      <c r="EU27" s="236"/>
      <c r="EV27" s="236"/>
      <c r="EW27" s="236"/>
      <c r="EX27" s="236"/>
      <c r="EY27" s="236"/>
      <c r="EZ27" s="236"/>
      <c r="FA27" s="236"/>
      <c r="FB27" s="236"/>
      <c r="FC27" s="236"/>
      <c r="FD27" s="236"/>
      <c r="FE27" s="236"/>
      <c r="FF27" s="236"/>
      <c r="FG27" s="236"/>
      <c r="FH27" s="236"/>
      <c r="FI27" s="236"/>
      <c r="FJ27" s="236"/>
      <c r="FK27" s="236"/>
      <c r="FL27" s="236"/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/>
      <c r="GC27" s="236"/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6"/>
      <c r="GO27" s="236"/>
      <c r="GP27" s="236"/>
      <c r="GQ27" s="236"/>
      <c r="YS27" s="38" t="e">
        <f>RIGHT(CONCATENATE(0,#REF!),7)</f>
        <v>#REF!</v>
      </c>
      <c r="YT27" s="2">
        <v>52590</v>
      </c>
      <c r="YU27" s="2">
        <v>27000</v>
      </c>
    </row>
    <row r="28" spans="1:671" s="2" customFormat="1" ht="18" customHeight="1" thickTop="1" thickBot="1">
      <c r="A28" s="1047" t="s">
        <v>35</v>
      </c>
      <c r="B28" s="1048"/>
      <c r="C28" s="1049"/>
      <c r="D28" s="690" t="s">
        <v>33</v>
      </c>
      <c r="F28" s="1050" t="s">
        <v>1406</v>
      </c>
      <c r="G28" s="1050"/>
      <c r="H28" s="1050"/>
      <c r="I28" s="1050"/>
      <c r="J28" s="1050"/>
      <c r="K28" s="1050"/>
      <c r="L28" s="982" t="str">
        <f>D28</f>
        <v>Amount</v>
      </c>
      <c r="M28" s="983"/>
      <c r="N28" s="967" t="s">
        <v>1425</v>
      </c>
      <c r="O28" s="967"/>
      <c r="P28" s="1112">
        <f ca="1">'16'!M80</f>
        <v>57363</v>
      </c>
      <c r="Q28" s="1112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60" t="s">
        <v>330</v>
      </c>
      <c r="AY28" s="260">
        <v>500</v>
      </c>
      <c r="AZ28" s="260">
        <v>600</v>
      </c>
      <c r="BA28" s="222"/>
      <c r="BB28" s="222"/>
      <c r="BC28" s="101"/>
      <c r="BD28" s="101"/>
      <c r="BE28" s="101"/>
      <c r="BF28" s="101"/>
      <c r="BG28" s="101"/>
      <c r="BH28" s="101"/>
      <c r="BI28" s="101"/>
      <c r="BJ28" s="224">
        <v>25</v>
      </c>
      <c r="BK28" s="240">
        <f t="shared" si="6"/>
        <v>42767</v>
      </c>
      <c r="BL28" s="225"/>
      <c r="BM28" s="223"/>
      <c r="BN28" s="223">
        <f t="shared" si="3"/>
        <v>25</v>
      </c>
      <c r="BO28" s="223">
        <f t="shared" si="7"/>
        <v>25</v>
      </c>
      <c r="BP28" s="222"/>
      <c r="BQ28" s="223">
        <f t="shared" si="9"/>
        <v>25</v>
      </c>
      <c r="BS28" s="222"/>
      <c r="BT28" s="286">
        <f t="shared" si="11"/>
        <v>25</v>
      </c>
      <c r="BU28" s="222"/>
      <c r="BV28" s="222">
        <f t="shared" si="13"/>
        <v>1925</v>
      </c>
      <c r="BW28" s="281">
        <f t="shared" si="4"/>
        <v>25</v>
      </c>
      <c r="BX28" s="281">
        <f t="shared" si="5"/>
        <v>25</v>
      </c>
      <c r="BY28" s="224"/>
      <c r="BZ28" s="222" t="s">
        <v>1345</v>
      </c>
      <c r="CA28" s="223" t="s">
        <v>1469</v>
      </c>
      <c r="CB28" s="223" t="s">
        <v>1339</v>
      </c>
      <c r="CC28" s="223" t="s">
        <v>1351</v>
      </c>
      <c r="CD28" s="649" t="s">
        <v>1352</v>
      </c>
      <c r="CE28" s="222"/>
      <c r="CF28" s="222"/>
      <c r="CG28" s="222"/>
      <c r="CH28" s="222"/>
      <c r="CI28" s="222"/>
      <c r="CJ28" s="222"/>
      <c r="CK28" s="222"/>
      <c r="CL28" s="222"/>
      <c r="CM28" s="101"/>
      <c r="CN28" s="245"/>
      <c r="CO28" s="245"/>
      <c r="CP28" s="245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236"/>
      <c r="DY28" s="236"/>
      <c r="DZ28" s="236"/>
      <c r="EA28" s="236"/>
      <c r="EB28" s="236"/>
      <c r="EC28" s="236"/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/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/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YS28" s="38" t="e">
        <f>RIGHT(CONCATENATE(0,#REF!),7)</f>
        <v>#REF!</v>
      </c>
      <c r="YT28" s="2">
        <v>56870</v>
      </c>
      <c r="YU28" s="2">
        <v>29200</v>
      </c>
    </row>
    <row r="29" spans="1:671" s="2" customFormat="1" ht="18" customHeight="1" thickTop="1">
      <c r="A29" s="1013" t="s">
        <v>1397</v>
      </c>
      <c r="B29" s="1013"/>
      <c r="C29" s="1013"/>
      <c r="D29" s="280"/>
      <c r="F29" s="1000" t="s">
        <v>1953</v>
      </c>
      <c r="G29" s="1000"/>
      <c r="H29" s="1000"/>
      <c r="I29" s="1000"/>
      <c r="J29" s="1000"/>
      <c r="K29" s="1000"/>
      <c r="L29" s="984"/>
      <c r="M29" s="984"/>
      <c r="N29" s="956" t="s">
        <v>1880</v>
      </c>
      <c r="O29" s="957"/>
      <c r="P29" s="960">
        <f>SUM('Advance Tax'!D3:D13)</f>
        <v>0</v>
      </c>
      <c r="Q29" s="961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22"/>
      <c r="AY29" s="222"/>
      <c r="AZ29" s="222"/>
      <c r="BA29" s="222"/>
      <c r="BB29" s="222"/>
      <c r="BC29" s="101"/>
      <c r="BD29" s="101"/>
      <c r="BE29" s="101"/>
      <c r="BF29" s="101"/>
      <c r="BG29" s="101"/>
      <c r="BH29" s="101"/>
      <c r="BI29" s="101"/>
      <c r="BJ29" s="224">
        <v>26</v>
      </c>
      <c r="BK29" s="240">
        <f t="shared" si="6"/>
        <v>42795</v>
      </c>
      <c r="BL29" s="225"/>
      <c r="BM29" s="223"/>
      <c r="BN29" s="223">
        <f t="shared" si="3"/>
        <v>26</v>
      </c>
      <c r="BO29" s="223">
        <f t="shared" si="7"/>
        <v>26</v>
      </c>
      <c r="BP29" s="222"/>
      <c r="BQ29" s="223">
        <f t="shared" si="9"/>
        <v>26</v>
      </c>
      <c r="BS29" s="222"/>
      <c r="BT29" s="286">
        <f t="shared" si="11"/>
        <v>26</v>
      </c>
      <c r="BU29" s="222"/>
      <c r="BV29" s="222">
        <f t="shared" si="13"/>
        <v>1926</v>
      </c>
      <c r="BW29" s="281">
        <f t="shared" si="4"/>
        <v>26</v>
      </c>
      <c r="BX29" s="281">
        <f t="shared" si="5"/>
        <v>26</v>
      </c>
      <c r="BY29" s="224"/>
      <c r="BZ29" s="222" t="s">
        <v>1575</v>
      </c>
      <c r="CA29" s="223"/>
      <c r="CB29" s="223"/>
      <c r="CC29" s="223"/>
      <c r="CD29" s="222"/>
      <c r="CE29" s="222"/>
      <c r="CF29" s="222"/>
      <c r="CG29" s="222"/>
      <c r="CH29" s="222"/>
      <c r="CI29" s="222"/>
      <c r="CJ29" s="222"/>
      <c r="CK29" s="222"/>
      <c r="CL29" s="222"/>
      <c r="CM29" s="101"/>
      <c r="CN29" s="245"/>
      <c r="CO29" s="245"/>
      <c r="CP29" s="245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236"/>
      <c r="DY29" s="236"/>
      <c r="DZ29" s="236"/>
      <c r="EA29" s="236"/>
      <c r="EB29" s="236"/>
      <c r="EC29" s="236"/>
      <c r="ED29" s="236"/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/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6"/>
      <c r="FK29" s="236"/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/>
      <c r="GC29" s="236"/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  <c r="GO29" s="236"/>
      <c r="GP29" s="236"/>
      <c r="GQ29" s="236"/>
      <c r="YS29" s="38" t="e">
        <f>RIGHT(CONCATENATE(0,#REF!),7)</f>
        <v>#REF!</v>
      </c>
      <c r="YT29" s="2">
        <v>61450</v>
      </c>
      <c r="YU29" s="2">
        <v>31550</v>
      </c>
    </row>
    <row r="30" spans="1:671" s="2" customFormat="1" ht="18" customHeight="1">
      <c r="A30" s="1013" t="s">
        <v>1397</v>
      </c>
      <c r="B30" s="1013"/>
      <c r="C30" s="1013"/>
      <c r="D30" s="280"/>
      <c r="F30" s="985" t="s">
        <v>1413</v>
      </c>
      <c r="G30" s="986"/>
      <c r="H30" s="986"/>
      <c r="I30" s="986"/>
      <c r="J30" s="986"/>
      <c r="K30" s="987"/>
      <c r="L30" s="984"/>
      <c r="M30" s="984"/>
      <c r="N30" s="958" t="s">
        <v>1881</v>
      </c>
      <c r="O30" s="959"/>
      <c r="P30" s="962">
        <f ca="1">SB!K89</f>
        <v>57363</v>
      </c>
      <c r="Q30" s="963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1014" t="s">
        <v>333</v>
      </c>
      <c r="AY30" s="1014"/>
      <c r="AZ30" s="1014"/>
      <c r="BA30" s="1014"/>
      <c r="BB30" s="222"/>
      <c r="BC30" s="101"/>
      <c r="BD30" s="101"/>
      <c r="BE30" s="101"/>
      <c r="BF30" s="101"/>
      <c r="BG30" s="101"/>
      <c r="BH30" s="101"/>
      <c r="BI30" s="101"/>
      <c r="BJ30" s="224">
        <v>27</v>
      </c>
      <c r="BK30" s="230"/>
      <c r="BL30" s="223"/>
      <c r="BM30" s="223"/>
      <c r="BN30" s="223">
        <f t="shared" si="3"/>
        <v>27</v>
      </c>
      <c r="BO30" s="223">
        <f t="shared" si="7"/>
        <v>27</v>
      </c>
      <c r="BP30" s="222"/>
      <c r="BQ30" s="223">
        <f t="shared" si="9"/>
        <v>27</v>
      </c>
      <c r="BS30" s="222"/>
      <c r="BT30" s="286">
        <f t="shared" si="11"/>
        <v>27</v>
      </c>
      <c r="BU30" s="222"/>
      <c r="BV30" s="222">
        <f t="shared" si="13"/>
        <v>1927</v>
      </c>
      <c r="BW30" s="281">
        <f t="shared" si="4"/>
        <v>27</v>
      </c>
      <c r="BX30" s="281">
        <f t="shared" si="5"/>
        <v>27</v>
      </c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245"/>
      <c r="CO30" s="245"/>
      <c r="CP30" s="245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236"/>
      <c r="DY30" s="236"/>
      <c r="DZ30" s="236"/>
      <c r="EA30" s="236"/>
      <c r="EB30" s="236"/>
      <c r="EC30" s="236"/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/>
      <c r="FL30" s="236"/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/>
      <c r="GC30" s="236"/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6"/>
      <c r="GO30" s="236"/>
      <c r="GP30" s="236"/>
      <c r="GQ30" s="236"/>
      <c r="YS30" s="38" t="e">
        <f>RIGHT(CONCATENATE(0,#REF!),7)</f>
        <v>#REF!</v>
      </c>
      <c r="YT30" s="2">
        <v>66330</v>
      </c>
      <c r="YU30" s="2">
        <v>34050</v>
      </c>
    </row>
    <row r="31" spans="1:671" s="2" customFormat="1" ht="18" customHeight="1">
      <c r="A31" s="1013" t="s">
        <v>1398</v>
      </c>
      <c r="B31" s="1013"/>
      <c r="C31" s="1013"/>
      <c r="D31" s="280"/>
      <c r="F31" s="985" t="s">
        <v>1709</v>
      </c>
      <c r="G31" s="986"/>
      <c r="H31" s="986"/>
      <c r="I31" s="986"/>
      <c r="J31" s="986"/>
      <c r="K31" s="987"/>
      <c r="L31" s="984"/>
      <c r="M31" s="984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60" t="s">
        <v>318</v>
      </c>
      <c r="AY31" s="284">
        <v>10</v>
      </c>
      <c r="AZ31" s="260" t="s">
        <v>319</v>
      </c>
      <c r="BA31" s="284">
        <v>900</v>
      </c>
      <c r="BB31" s="222" t="s">
        <v>307</v>
      </c>
      <c r="BC31" s="101"/>
      <c r="BD31" s="101"/>
      <c r="BE31" s="101"/>
      <c r="BF31" s="101"/>
      <c r="BG31" s="101"/>
      <c r="BH31" s="101"/>
      <c r="BI31" s="101"/>
      <c r="BJ31" s="224">
        <v>28</v>
      </c>
      <c r="BK31" s="230"/>
      <c r="BL31" s="223"/>
      <c r="BM31" s="223"/>
      <c r="BN31" s="223">
        <f t="shared" si="3"/>
        <v>28</v>
      </c>
      <c r="BO31" s="223">
        <f t="shared" si="7"/>
        <v>28</v>
      </c>
      <c r="BP31" s="222"/>
      <c r="BQ31" s="223">
        <f t="shared" si="9"/>
        <v>28</v>
      </c>
      <c r="BS31" s="222"/>
      <c r="BT31" s="286">
        <f t="shared" si="11"/>
        <v>28</v>
      </c>
      <c r="BU31" s="222"/>
      <c r="BV31" s="222">
        <f t="shared" si="13"/>
        <v>1928</v>
      </c>
      <c r="BW31" s="281">
        <f t="shared" si="4"/>
        <v>28</v>
      </c>
      <c r="BX31" s="281">
        <f t="shared" si="5"/>
        <v>28</v>
      </c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245"/>
      <c r="CO31" s="245"/>
      <c r="CP31" s="245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236"/>
      <c r="DY31" s="236"/>
      <c r="DZ31" s="236"/>
      <c r="EA31" s="236"/>
      <c r="EB31" s="236"/>
      <c r="EC31" s="236"/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/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236"/>
      <c r="FL31" s="236"/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/>
      <c r="GC31" s="236"/>
      <c r="GD31" s="236"/>
      <c r="GE31" s="236"/>
      <c r="GF31" s="236"/>
      <c r="GG31" s="236"/>
      <c r="GH31" s="236"/>
      <c r="GI31" s="236"/>
      <c r="GJ31" s="236"/>
      <c r="GK31" s="236"/>
      <c r="GL31" s="236"/>
      <c r="GM31" s="236"/>
      <c r="GN31" s="236"/>
      <c r="GO31" s="236"/>
      <c r="GP31" s="236"/>
      <c r="GQ31" s="236"/>
      <c r="YS31" s="38" t="e">
        <f>RIGHT(CONCATENATE(0,#REF!),7)</f>
        <v>#REF!</v>
      </c>
      <c r="YT31" s="2">
        <v>73270</v>
      </c>
      <c r="YU31" s="2">
        <v>37600</v>
      </c>
    </row>
    <row r="32" spans="1:671" s="2" customFormat="1" ht="18" customHeight="1">
      <c r="A32" s="1013" t="s">
        <v>1393</v>
      </c>
      <c r="B32" s="1013"/>
      <c r="C32" s="1013"/>
      <c r="D32" s="280">
        <v>130000</v>
      </c>
      <c r="F32" s="1000" t="s">
        <v>1410</v>
      </c>
      <c r="G32" s="1000"/>
      <c r="H32" s="1000"/>
      <c r="I32" s="1000"/>
      <c r="J32" s="1000"/>
      <c r="K32" s="1000"/>
      <c r="L32" s="984"/>
      <c r="M32" s="984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22"/>
      <c r="AY32" s="263">
        <v>10</v>
      </c>
      <c r="AZ32" s="222"/>
      <c r="BA32" s="263">
        <v>650</v>
      </c>
      <c r="BB32" s="222" t="s">
        <v>296</v>
      </c>
      <c r="BC32" s="101"/>
      <c r="BD32" s="101"/>
      <c r="BE32" s="101"/>
      <c r="BF32" s="101"/>
      <c r="BG32" s="101"/>
      <c r="BH32" s="101"/>
      <c r="BI32" s="101"/>
      <c r="BJ32" s="224">
        <v>29</v>
      </c>
      <c r="BK32" s="230"/>
      <c r="BL32" s="223"/>
      <c r="BM32" s="223"/>
      <c r="BN32" s="223">
        <f t="shared" si="3"/>
        <v>29</v>
      </c>
      <c r="BO32" s="223">
        <f t="shared" si="7"/>
        <v>29</v>
      </c>
      <c r="BP32" s="222"/>
      <c r="BQ32" s="223">
        <f t="shared" si="9"/>
        <v>29</v>
      </c>
      <c r="BS32" s="222"/>
      <c r="BT32" s="286">
        <f t="shared" si="11"/>
        <v>29</v>
      </c>
      <c r="BU32" s="222"/>
      <c r="BV32" s="222">
        <f t="shared" si="13"/>
        <v>1929</v>
      </c>
      <c r="BW32" s="281">
        <f t="shared" si="4"/>
        <v>29</v>
      </c>
      <c r="BX32" s="281">
        <f t="shared" si="5"/>
        <v>29</v>
      </c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245"/>
      <c r="CO32" s="245"/>
      <c r="CP32" s="245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/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6"/>
      <c r="FL32" s="236"/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/>
      <c r="GC32" s="236"/>
      <c r="GD32" s="236"/>
      <c r="GE32" s="236"/>
      <c r="GF32" s="236"/>
      <c r="GG32" s="236"/>
      <c r="GH32" s="236"/>
      <c r="GI32" s="236"/>
      <c r="GJ32" s="236"/>
      <c r="GK32" s="236"/>
      <c r="GL32" s="236"/>
      <c r="GM32" s="236"/>
      <c r="GN32" s="236"/>
      <c r="GO32" s="236"/>
      <c r="GP32" s="236"/>
      <c r="GQ32" s="236"/>
      <c r="YS32" s="38" t="e">
        <f>RIGHT(CONCATENATE(0,#REF!),7)</f>
        <v>#REF!</v>
      </c>
      <c r="YT32" s="2">
        <v>80930</v>
      </c>
      <c r="YU32" s="2">
        <v>41550</v>
      </c>
    </row>
    <row r="33" spans="1:671" s="2" customFormat="1" ht="17.25" customHeight="1">
      <c r="A33" s="1013" t="s">
        <v>37</v>
      </c>
      <c r="B33" s="1013"/>
      <c r="C33" s="1013"/>
      <c r="D33" s="280"/>
      <c r="F33" s="993" t="s">
        <v>1730</v>
      </c>
      <c r="G33" s="993"/>
      <c r="H33" s="993"/>
      <c r="I33" s="993"/>
      <c r="J33" s="993"/>
      <c r="K33" s="993"/>
      <c r="L33" s="995" t="s">
        <v>1845</v>
      </c>
      <c r="M33" s="995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22"/>
      <c r="AY33" s="222"/>
      <c r="AZ33" s="222"/>
      <c r="BA33" s="222"/>
      <c r="BB33" s="222"/>
      <c r="BC33" s="101"/>
      <c r="BD33" s="101"/>
      <c r="BE33" s="101"/>
      <c r="BF33" s="101"/>
      <c r="BG33" s="101"/>
      <c r="BH33" s="101"/>
      <c r="BI33" s="101"/>
      <c r="BJ33" s="224">
        <v>30</v>
      </c>
      <c r="BK33" s="230"/>
      <c r="BL33" s="223"/>
      <c r="BM33" s="223"/>
      <c r="BN33" s="223">
        <f t="shared" si="3"/>
        <v>30</v>
      </c>
      <c r="BO33" s="223">
        <f t="shared" si="7"/>
        <v>30</v>
      </c>
      <c r="BP33" s="222"/>
      <c r="BQ33" s="223">
        <f t="shared" si="9"/>
        <v>30</v>
      </c>
      <c r="BS33" s="222"/>
      <c r="BT33" s="286">
        <f t="shared" si="11"/>
        <v>30</v>
      </c>
      <c r="BU33" s="222"/>
      <c r="BV33" s="222">
        <f t="shared" si="13"/>
        <v>1930</v>
      </c>
      <c r="BW33" s="281">
        <f t="shared" si="4"/>
        <v>30</v>
      </c>
      <c r="BX33" s="281">
        <f t="shared" si="5"/>
        <v>29</v>
      </c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245"/>
      <c r="CO33" s="245"/>
      <c r="CP33" s="245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/>
      <c r="FL33" s="236"/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/>
      <c r="GC33" s="236"/>
      <c r="GD33" s="236"/>
      <c r="GE33" s="236"/>
      <c r="GF33" s="236"/>
      <c r="GG33" s="236"/>
      <c r="GH33" s="236"/>
      <c r="GI33" s="236"/>
      <c r="GJ33" s="236"/>
      <c r="GK33" s="236"/>
      <c r="GL33" s="236"/>
      <c r="GM33" s="236"/>
      <c r="GN33" s="236"/>
      <c r="GO33" s="236"/>
      <c r="GP33" s="236"/>
      <c r="GQ33" s="236"/>
      <c r="YS33" s="38" t="e">
        <f>RIGHT(CONCATENATE(0,#REF!),7)</f>
        <v>#REF!</v>
      </c>
      <c r="YT33" s="2">
        <v>87130</v>
      </c>
      <c r="YU33" s="2">
        <v>44740</v>
      </c>
    </row>
    <row r="34" spans="1:671" s="2" customFormat="1" ht="17.25" customHeight="1">
      <c r="A34" s="1013" t="s">
        <v>1396</v>
      </c>
      <c r="B34" s="1013"/>
      <c r="C34" s="1013"/>
      <c r="D34" s="280"/>
      <c r="F34" s="994"/>
      <c r="G34" s="994"/>
      <c r="H34" s="994"/>
      <c r="I34" s="994"/>
      <c r="J34" s="994"/>
      <c r="K34" s="994"/>
      <c r="L34" s="996"/>
      <c r="M34" s="99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1017" t="s">
        <v>338</v>
      </c>
      <c r="AY34" s="1017"/>
      <c r="AZ34" s="1017"/>
      <c r="BA34" s="1017"/>
      <c r="BB34" s="222"/>
      <c r="BC34" s="101"/>
      <c r="BD34" s="101"/>
      <c r="BE34" s="101"/>
      <c r="BF34" s="101"/>
      <c r="BG34" s="101"/>
      <c r="BH34" s="101"/>
      <c r="BI34" s="101"/>
      <c r="BJ34" s="224">
        <v>31</v>
      </c>
      <c r="BK34" s="230"/>
      <c r="BL34" s="223"/>
      <c r="BM34" s="223"/>
      <c r="BN34" s="223">
        <f t="shared" si="3"/>
        <v>30</v>
      </c>
      <c r="BO34" s="223">
        <f t="shared" si="7"/>
        <v>30</v>
      </c>
      <c r="BP34" s="222"/>
      <c r="BQ34" s="223">
        <f t="shared" si="9"/>
        <v>30</v>
      </c>
      <c r="BS34" s="222"/>
      <c r="BT34" s="286">
        <f t="shared" si="11"/>
        <v>30</v>
      </c>
      <c r="BU34" s="222"/>
      <c r="BV34" s="222">
        <f t="shared" si="13"/>
        <v>1931</v>
      </c>
      <c r="BW34" s="281">
        <f t="shared" si="4"/>
        <v>30</v>
      </c>
      <c r="BX34" s="281">
        <f t="shared" si="5"/>
        <v>29</v>
      </c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245"/>
      <c r="CO34" s="245"/>
      <c r="CP34" s="245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236"/>
      <c r="DY34" s="236"/>
      <c r="DZ34" s="236"/>
      <c r="EA34" s="236"/>
      <c r="EB34" s="236"/>
      <c r="EC34" s="236"/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236"/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/>
      <c r="GC34" s="236"/>
      <c r="GD34" s="236"/>
      <c r="GE34" s="236"/>
      <c r="GF34" s="236"/>
      <c r="GG34" s="236"/>
      <c r="GH34" s="236"/>
      <c r="GI34" s="236"/>
      <c r="GJ34" s="236"/>
      <c r="GK34" s="236"/>
      <c r="GL34" s="236"/>
      <c r="GM34" s="236"/>
      <c r="GN34" s="236"/>
      <c r="GO34" s="236"/>
      <c r="GP34" s="236"/>
      <c r="GQ34" s="236"/>
      <c r="YS34" s="38" t="e">
        <f>RIGHT(CONCATENATE(0,#REF!),7)</f>
        <v>#REF!</v>
      </c>
    </row>
    <row r="35" spans="1:671" s="2" customFormat="1" ht="19.5" customHeight="1">
      <c r="A35" s="1023" t="s">
        <v>62</v>
      </c>
      <c r="B35" s="1023"/>
      <c r="C35" s="1023"/>
      <c r="D35" s="280"/>
      <c r="F35" s="1001" t="s">
        <v>1700</v>
      </c>
      <c r="G35" s="1001"/>
      <c r="H35" s="1001"/>
      <c r="I35" s="1001"/>
      <c r="J35" s="1001"/>
      <c r="K35" s="1001"/>
      <c r="L35" s="1028"/>
      <c r="M35" s="1028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84" t="str">
        <f>CC3</f>
        <v>Not-Applicable</v>
      </c>
      <c r="AY35" s="284" t="s">
        <v>340</v>
      </c>
      <c r="AZ35" s="238" t="s">
        <v>341</v>
      </c>
      <c r="BA35" s="238" t="s">
        <v>1376</v>
      </c>
      <c r="BB35" s="222"/>
      <c r="BC35" s="101"/>
      <c r="BD35" s="101"/>
      <c r="BE35" s="101"/>
      <c r="BF35" s="101"/>
      <c r="BG35" s="101"/>
      <c r="BH35" s="101"/>
      <c r="BI35" s="101"/>
      <c r="BJ35" s="224"/>
      <c r="BK35" s="230"/>
      <c r="BL35" s="223"/>
      <c r="BM35" s="223"/>
      <c r="BN35" s="223"/>
      <c r="BO35" s="222"/>
      <c r="BP35" s="222"/>
      <c r="BQ35" s="222"/>
      <c r="BR35" s="222"/>
      <c r="BS35" s="222"/>
      <c r="BT35" s="222"/>
      <c r="BU35" s="222"/>
      <c r="BV35" s="222">
        <f t="shared" si="13"/>
        <v>1932</v>
      </c>
      <c r="BW35" s="222"/>
      <c r="BX35" s="222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245"/>
      <c r="CO35" s="245"/>
      <c r="CP35" s="245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36"/>
      <c r="FJ35" s="236"/>
      <c r="FK35" s="236"/>
      <c r="FL35" s="236"/>
      <c r="FM35" s="236"/>
      <c r="FN35" s="236"/>
      <c r="FO35" s="236"/>
      <c r="FP35" s="236"/>
      <c r="FQ35" s="236"/>
      <c r="FR35" s="236"/>
      <c r="FS35" s="236"/>
      <c r="FT35" s="236"/>
      <c r="FU35" s="236"/>
      <c r="FV35" s="236"/>
      <c r="FW35" s="236"/>
      <c r="FX35" s="236"/>
      <c r="FY35" s="236"/>
      <c r="FZ35" s="236"/>
      <c r="GA35" s="236"/>
      <c r="GB35" s="236"/>
      <c r="GC35" s="236"/>
      <c r="GD35" s="236"/>
      <c r="GE35" s="236"/>
      <c r="GF35" s="236"/>
      <c r="GG35" s="236"/>
      <c r="GH35" s="236"/>
      <c r="GI35" s="236"/>
      <c r="GJ35" s="236"/>
      <c r="GK35" s="236"/>
      <c r="GL35" s="236"/>
      <c r="GM35" s="236"/>
      <c r="GN35" s="236"/>
      <c r="GO35" s="236"/>
      <c r="GP35" s="236"/>
      <c r="GQ35" s="236"/>
      <c r="YS35" s="38" t="e">
        <f>RIGHT(CONCATENATE(0,#REF!),7)</f>
        <v>#REF!</v>
      </c>
    </row>
    <row r="36" spans="1:671" s="2" customFormat="1" ht="28.15" customHeight="1">
      <c r="A36" s="1025" t="s">
        <v>1711</v>
      </c>
      <c r="B36" s="1025"/>
      <c r="C36" s="1025"/>
      <c r="D36" s="332"/>
      <c r="F36" s="1030" t="s">
        <v>1839</v>
      </c>
      <c r="G36" s="1030"/>
      <c r="H36" s="1030"/>
      <c r="I36" s="1030"/>
      <c r="J36" s="1030"/>
      <c r="K36" s="1030"/>
      <c r="L36" s="1029"/>
      <c r="M36" s="1029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84">
        <v>8200</v>
      </c>
      <c r="AY36" s="284">
        <v>200</v>
      </c>
      <c r="AZ36" s="284">
        <v>120</v>
      </c>
      <c r="BA36" s="284">
        <v>100</v>
      </c>
      <c r="BB36" s="222"/>
      <c r="BC36" s="101"/>
      <c r="BD36" s="101"/>
      <c r="BE36" s="101"/>
      <c r="BF36" s="101"/>
      <c r="BG36" s="101"/>
      <c r="BH36" s="101"/>
      <c r="BI36" s="101"/>
      <c r="BJ36" s="224"/>
      <c r="BK36" s="230"/>
      <c r="BL36" s="223"/>
      <c r="BM36" s="223"/>
      <c r="BN36" s="223"/>
      <c r="BO36" s="222"/>
      <c r="BP36" s="222"/>
      <c r="BQ36" s="222"/>
      <c r="BR36" s="222"/>
      <c r="BS36" s="222"/>
      <c r="BT36" s="222"/>
      <c r="BU36" s="222"/>
      <c r="BV36" s="222">
        <f t="shared" si="13"/>
        <v>1933</v>
      </c>
      <c r="BW36" s="222"/>
      <c r="BX36" s="222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245"/>
      <c r="CO36" s="245"/>
      <c r="CP36" s="245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236"/>
      <c r="DY36" s="236"/>
      <c r="DZ36" s="236"/>
      <c r="EA36" s="236"/>
      <c r="EB36" s="236"/>
      <c r="EC36" s="236"/>
      <c r="ED36" s="236"/>
      <c r="EE36" s="236"/>
      <c r="EF36" s="236"/>
      <c r="EG36" s="236"/>
      <c r="EH36" s="236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6"/>
      <c r="ET36" s="236"/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6"/>
      <c r="FF36" s="236"/>
      <c r="FG36" s="236"/>
      <c r="FH36" s="236"/>
      <c r="FI36" s="236"/>
      <c r="FJ36" s="236"/>
      <c r="FK36" s="236"/>
      <c r="FL36" s="236"/>
      <c r="FM36" s="236"/>
      <c r="FN36" s="236"/>
      <c r="FO36" s="236"/>
      <c r="FP36" s="236"/>
      <c r="FQ36" s="236"/>
      <c r="FR36" s="236"/>
      <c r="FS36" s="236"/>
      <c r="FT36" s="236"/>
      <c r="FU36" s="236"/>
      <c r="FV36" s="236"/>
      <c r="FW36" s="236"/>
      <c r="FX36" s="236"/>
      <c r="FY36" s="236"/>
      <c r="FZ36" s="236"/>
      <c r="GA36" s="236"/>
      <c r="GB36" s="236"/>
      <c r="GC36" s="236"/>
      <c r="GD36" s="236"/>
      <c r="GE36" s="236"/>
      <c r="GF36" s="236"/>
      <c r="GG36" s="236"/>
      <c r="GH36" s="236"/>
      <c r="GI36" s="236"/>
      <c r="GJ36" s="236"/>
      <c r="GK36" s="236"/>
      <c r="GL36" s="236"/>
      <c r="GM36" s="236"/>
      <c r="GN36" s="236"/>
      <c r="GO36" s="236"/>
      <c r="GP36" s="236"/>
      <c r="GQ36" s="236"/>
      <c r="YS36" s="38" t="e">
        <f>RIGHT(CONCATENATE(0,#REF!),7)</f>
        <v>#REF!</v>
      </c>
    </row>
    <row r="37" spans="1:671" s="2" customFormat="1" ht="28.15" customHeight="1">
      <c r="A37" s="1022" t="s">
        <v>1708</v>
      </c>
      <c r="B37" s="1022"/>
      <c r="C37" s="1022"/>
      <c r="D37" s="332"/>
      <c r="E37" s="37"/>
      <c r="F37" s="1024" t="s">
        <v>1849</v>
      </c>
      <c r="G37" s="1024"/>
      <c r="H37" s="1024"/>
      <c r="I37" s="1024"/>
      <c r="J37" s="1024"/>
      <c r="K37" s="1024"/>
      <c r="L37" s="1029"/>
      <c r="M37" s="1029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84">
        <v>13270</v>
      </c>
      <c r="AY37" s="284">
        <v>300</v>
      </c>
      <c r="AZ37" s="284">
        <v>160</v>
      </c>
      <c r="BA37" s="284">
        <v>120</v>
      </c>
      <c r="BB37" s="222"/>
      <c r="BC37" s="101"/>
      <c r="BD37" s="101"/>
      <c r="BE37" s="101"/>
      <c r="BF37" s="101"/>
      <c r="BG37" s="101"/>
      <c r="BH37" s="101"/>
      <c r="BI37" s="101"/>
      <c r="BJ37" s="224"/>
      <c r="BK37" s="230"/>
      <c r="BL37" s="223"/>
      <c r="BM37" s="223"/>
      <c r="BN37" s="223"/>
      <c r="BO37" s="222"/>
      <c r="BP37" s="222"/>
      <c r="BQ37" s="222"/>
      <c r="BR37" s="222"/>
      <c r="BS37" s="222"/>
      <c r="BT37" s="222"/>
      <c r="BU37" s="222"/>
      <c r="BV37" s="222">
        <f t="shared" si="13"/>
        <v>1934</v>
      </c>
      <c r="BW37" s="222"/>
      <c r="BX37" s="222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245"/>
      <c r="CO37" s="245"/>
      <c r="CP37" s="245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236"/>
      <c r="DY37" s="236"/>
      <c r="DZ37" s="236"/>
      <c r="EA37" s="236"/>
      <c r="EB37" s="236"/>
      <c r="EC37" s="236"/>
      <c r="ED37" s="236"/>
      <c r="EE37" s="236"/>
      <c r="EF37" s="236"/>
      <c r="EG37" s="236"/>
      <c r="EH37" s="236"/>
      <c r="EI37" s="236"/>
      <c r="EJ37" s="236"/>
      <c r="EK37" s="236"/>
      <c r="EL37" s="236"/>
      <c r="EM37" s="236"/>
      <c r="EN37" s="236"/>
      <c r="EO37" s="236"/>
      <c r="EP37" s="236"/>
      <c r="EQ37" s="236"/>
      <c r="ER37" s="236"/>
      <c r="ES37" s="236"/>
      <c r="ET37" s="236"/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  <c r="FH37" s="236"/>
      <c r="FI37" s="236"/>
      <c r="FJ37" s="236"/>
      <c r="FK37" s="236"/>
      <c r="FL37" s="236"/>
      <c r="FM37" s="236"/>
      <c r="FN37" s="236"/>
      <c r="FO37" s="236"/>
      <c r="FP37" s="236"/>
      <c r="FQ37" s="236"/>
      <c r="FR37" s="236"/>
      <c r="FS37" s="236"/>
      <c r="FT37" s="236"/>
      <c r="FU37" s="236"/>
      <c r="FV37" s="236"/>
      <c r="FW37" s="236"/>
      <c r="FX37" s="236"/>
      <c r="FY37" s="236"/>
      <c r="FZ37" s="236"/>
      <c r="GA37" s="236"/>
      <c r="GB37" s="236"/>
      <c r="GC37" s="236"/>
      <c r="GD37" s="236"/>
      <c r="GE37" s="236"/>
      <c r="GF37" s="236"/>
      <c r="GG37" s="236"/>
      <c r="GH37" s="236"/>
      <c r="GI37" s="236"/>
      <c r="GJ37" s="236"/>
      <c r="GK37" s="236"/>
      <c r="GL37" s="236"/>
      <c r="GM37" s="236"/>
      <c r="GN37" s="236"/>
      <c r="GO37" s="236"/>
      <c r="GP37" s="236"/>
      <c r="GQ37" s="236"/>
      <c r="YS37" s="38" t="e">
        <f>RIGHT(CONCATENATE(0,#REF!),7)</f>
        <v>#REF!</v>
      </c>
    </row>
    <row r="38" spans="1:671" s="2" customFormat="1" ht="28.15" customHeight="1">
      <c r="B38" s="44"/>
      <c r="C38" s="214"/>
      <c r="D38" s="214"/>
      <c r="E38" s="37"/>
      <c r="F38" s="1031" t="s">
        <v>1850</v>
      </c>
      <c r="G38" s="1031"/>
      <c r="H38" s="1031"/>
      <c r="I38" s="1031"/>
      <c r="J38" s="1031"/>
      <c r="K38" s="1031"/>
      <c r="L38" s="984"/>
      <c r="M38" s="984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84">
        <v>18030</v>
      </c>
      <c r="AY38" s="284">
        <v>350</v>
      </c>
      <c r="AZ38" s="284">
        <v>220</v>
      </c>
      <c r="BA38" s="284">
        <v>130</v>
      </c>
      <c r="BB38" s="222"/>
      <c r="BC38" s="101"/>
      <c r="BD38" s="101"/>
      <c r="BE38" s="101"/>
      <c r="BF38" s="101"/>
      <c r="BG38" s="101"/>
      <c r="BH38" s="101"/>
      <c r="BI38" s="101"/>
      <c r="BJ38" s="224"/>
      <c r="BK38" s="230"/>
      <c r="BL38" s="223"/>
      <c r="BM38" s="223"/>
      <c r="BN38" s="223"/>
      <c r="BO38" s="222"/>
      <c r="BP38" s="222"/>
      <c r="BQ38" s="222"/>
      <c r="BR38" s="222"/>
      <c r="BS38" s="222"/>
      <c r="BT38" s="222"/>
      <c r="BU38" s="222"/>
      <c r="BV38" s="222">
        <f t="shared" si="13"/>
        <v>1935</v>
      </c>
      <c r="BW38" s="222"/>
      <c r="BX38" s="222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245"/>
      <c r="CO38" s="245"/>
      <c r="CP38" s="245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236"/>
      <c r="DY38" s="236"/>
      <c r="DZ38" s="236"/>
      <c r="EA38" s="236"/>
      <c r="EB38" s="236"/>
      <c r="EC38" s="236"/>
      <c r="ED38" s="236"/>
      <c r="EE38" s="236"/>
      <c r="EF38" s="236"/>
      <c r="EG38" s="236"/>
      <c r="EH38" s="236"/>
      <c r="EI38" s="236"/>
      <c r="EJ38" s="236"/>
      <c r="EK38" s="236"/>
      <c r="EL38" s="236"/>
      <c r="EM38" s="236"/>
      <c r="EN38" s="236"/>
      <c r="EO38" s="236"/>
      <c r="EP38" s="236"/>
      <c r="EQ38" s="236"/>
      <c r="ER38" s="236"/>
      <c r="ES38" s="236"/>
      <c r="ET38" s="236"/>
      <c r="EU38" s="236"/>
      <c r="EV38" s="236"/>
      <c r="EW38" s="236"/>
      <c r="EX38" s="236"/>
      <c r="EY38" s="236"/>
      <c r="EZ38" s="236"/>
      <c r="FA38" s="236"/>
      <c r="FB38" s="236"/>
      <c r="FC38" s="236"/>
      <c r="FD38" s="236"/>
      <c r="FE38" s="236"/>
      <c r="FF38" s="236"/>
      <c r="FG38" s="236"/>
      <c r="FH38" s="236"/>
      <c r="FI38" s="236"/>
      <c r="FJ38" s="236"/>
      <c r="FK38" s="236"/>
      <c r="FL38" s="236"/>
      <c r="FM38" s="236"/>
      <c r="FN38" s="236"/>
      <c r="FO38" s="236"/>
      <c r="FP38" s="236"/>
      <c r="FQ38" s="236"/>
      <c r="FR38" s="236"/>
      <c r="FS38" s="236"/>
      <c r="FT38" s="236"/>
      <c r="FU38" s="236"/>
      <c r="FV38" s="236"/>
      <c r="FW38" s="236"/>
      <c r="FX38" s="236"/>
      <c r="FY38" s="236"/>
      <c r="FZ38" s="236"/>
      <c r="GA38" s="236"/>
      <c r="GB38" s="236"/>
      <c r="GC38" s="236"/>
      <c r="GD38" s="236"/>
      <c r="GE38" s="236"/>
      <c r="GF38" s="236"/>
      <c r="GG38" s="236"/>
      <c r="GH38" s="236"/>
      <c r="GI38" s="236"/>
      <c r="GJ38" s="236"/>
      <c r="GK38" s="236"/>
      <c r="GL38" s="236"/>
      <c r="GM38" s="236"/>
      <c r="GN38" s="236"/>
      <c r="GO38" s="236"/>
      <c r="GP38" s="236"/>
      <c r="GQ38" s="236"/>
      <c r="YS38" s="38" t="e">
        <f>RIGHT(CONCATENATE(0,#REF!),7)</f>
        <v>#REF!</v>
      </c>
    </row>
    <row r="39" spans="1:671" s="2" customFormat="1" ht="28.15" customHeight="1">
      <c r="A39" s="1019" t="s">
        <v>1923</v>
      </c>
      <c r="B39" s="1019"/>
      <c r="C39" s="1019"/>
      <c r="D39" s="1019"/>
      <c r="E39" s="37"/>
      <c r="F39" s="1032" t="s">
        <v>1851</v>
      </c>
      <c r="G39" s="1032"/>
      <c r="H39" s="1032"/>
      <c r="I39" s="1032"/>
      <c r="J39" s="1032"/>
      <c r="K39" s="1032"/>
      <c r="L39" s="1029"/>
      <c r="M39" s="1029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84">
        <v>62160</v>
      </c>
      <c r="AY39" s="284">
        <v>525</v>
      </c>
      <c r="AZ39" s="284">
        <v>350</v>
      </c>
      <c r="BA39" s="284">
        <v>140</v>
      </c>
      <c r="BB39" s="222"/>
      <c r="BC39" s="101"/>
      <c r="BD39" s="101"/>
      <c r="BE39" s="101"/>
      <c r="BF39" s="101"/>
      <c r="BG39" s="101"/>
      <c r="BH39" s="101"/>
      <c r="BI39" s="101"/>
      <c r="BJ39" s="224"/>
      <c r="BK39" s="230"/>
      <c r="BL39" s="223"/>
      <c r="BM39" s="223"/>
      <c r="BN39" s="223"/>
      <c r="BO39" s="222"/>
      <c r="BP39" s="222"/>
      <c r="BQ39" s="222"/>
      <c r="BR39" s="222"/>
      <c r="BS39" s="222"/>
      <c r="BT39" s="222"/>
      <c r="BU39" s="222"/>
      <c r="BV39" s="222">
        <f t="shared" si="13"/>
        <v>1936</v>
      </c>
      <c r="BW39" s="222"/>
      <c r="BX39" s="222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236"/>
      <c r="DY39" s="236"/>
      <c r="DZ39" s="236"/>
      <c r="EA39" s="236"/>
      <c r="EB39" s="236"/>
      <c r="EC39" s="236"/>
      <c r="ED39" s="236"/>
      <c r="EE39" s="236"/>
      <c r="EF39" s="236"/>
      <c r="EG39" s="236"/>
      <c r="EH39" s="236"/>
      <c r="EI39" s="236"/>
      <c r="EJ39" s="236"/>
      <c r="EK39" s="236"/>
      <c r="EL39" s="236"/>
      <c r="EM39" s="236"/>
      <c r="EN39" s="236"/>
      <c r="EO39" s="236"/>
      <c r="EP39" s="236"/>
      <c r="EQ39" s="236"/>
      <c r="ER39" s="236"/>
      <c r="ES39" s="236"/>
      <c r="ET39" s="236"/>
      <c r="EU39" s="236"/>
      <c r="EV39" s="236"/>
      <c r="EW39" s="236"/>
      <c r="EX39" s="236"/>
      <c r="EY39" s="236"/>
      <c r="EZ39" s="236"/>
      <c r="FA39" s="236"/>
      <c r="FB39" s="236"/>
      <c r="FC39" s="236"/>
      <c r="FD39" s="236"/>
      <c r="FE39" s="236"/>
      <c r="FF39" s="236"/>
      <c r="FG39" s="236"/>
      <c r="FH39" s="236"/>
      <c r="FI39" s="236"/>
      <c r="FJ39" s="236"/>
      <c r="FK39" s="236"/>
      <c r="FL39" s="236"/>
      <c r="FM39" s="236"/>
      <c r="FN39" s="236"/>
      <c r="FO39" s="236"/>
      <c r="FP39" s="236"/>
      <c r="FQ39" s="236"/>
      <c r="FR39" s="236"/>
      <c r="FS39" s="236"/>
      <c r="FT39" s="236"/>
      <c r="FU39" s="236"/>
      <c r="FV39" s="236"/>
      <c r="FW39" s="236"/>
      <c r="FX39" s="236"/>
      <c r="FY39" s="236"/>
      <c r="FZ39" s="236"/>
      <c r="GA39" s="236"/>
      <c r="GB39" s="236"/>
      <c r="GC39" s="236"/>
      <c r="GD39" s="236"/>
      <c r="GE39" s="236"/>
      <c r="GF39" s="236"/>
      <c r="GG39" s="236"/>
      <c r="GH39" s="236"/>
      <c r="GI39" s="236"/>
      <c r="GJ39" s="236"/>
      <c r="GK39" s="236"/>
      <c r="GL39" s="236"/>
      <c r="GM39" s="236"/>
      <c r="GN39" s="236"/>
      <c r="GO39" s="236"/>
      <c r="GP39" s="236"/>
      <c r="GQ39" s="236"/>
      <c r="YS39" s="38" t="e">
        <f>RIGHT(CONCATENATE(0,#REF!),7)</f>
        <v>#REF!</v>
      </c>
    </row>
    <row r="40" spans="1:671" s="2" customFormat="1" ht="28.15" customHeight="1" thickBot="1">
      <c r="A40" s="1018" t="s">
        <v>1473</v>
      </c>
      <c r="B40" s="1018"/>
      <c r="C40" s="1020" t="s">
        <v>1876</v>
      </c>
      <c r="D40" s="1020"/>
      <c r="E40" s="1020"/>
      <c r="F40" s="1020"/>
      <c r="G40" s="1020"/>
      <c r="J40" s="1026"/>
      <c r="K40" s="1026"/>
      <c r="L40" s="1027"/>
      <c r="M40" s="1027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22"/>
      <c r="AY40" s="222"/>
      <c r="AZ40" s="222"/>
      <c r="BA40" s="222"/>
      <c r="BB40" s="222"/>
      <c r="BC40" s="101"/>
      <c r="BD40" s="101"/>
      <c r="BE40" s="101"/>
      <c r="BF40" s="101"/>
      <c r="BG40" s="101"/>
      <c r="BH40" s="101"/>
      <c r="BI40" s="101"/>
      <c r="BJ40" s="224"/>
      <c r="BK40" s="230"/>
      <c r="BL40" s="223"/>
      <c r="BM40" s="223"/>
      <c r="BN40" s="223"/>
      <c r="BO40" s="222"/>
      <c r="BP40" s="222"/>
      <c r="BQ40" s="222"/>
      <c r="BR40" s="222"/>
      <c r="BS40" s="222"/>
      <c r="BT40" s="222"/>
      <c r="BU40" s="222"/>
      <c r="BV40" s="222">
        <f t="shared" si="13"/>
        <v>1937</v>
      </c>
      <c r="BW40" s="222"/>
      <c r="BX40" s="222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236"/>
      <c r="DY40" s="236"/>
      <c r="DZ40" s="236"/>
      <c r="EA40" s="236"/>
      <c r="EB40" s="236"/>
      <c r="EC40" s="236"/>
      <c r="ED40" s="236"/>
      <c r="EE40" s="236"/>
      <c r="EF40" s="236"/>
      <c r="EG40" s="236"/>
      <c r="EH40" s="236"/>
      <c r="EI40" s="236"/>
      <c r="EJ40" s="236"/>
      <c r="EK40" s="236"/>
      <c r="EL40" s="236"/>
      <c r="EM40" s="236"/>
      <c r="EN40" s="236"/>
      <c r="EO40" s="236"/>
      <c r="EP40" s="236"/>
      <c r="EQ40" s="236"/>
      <c r="ER40" s="236"/>
      <c r="ES40" s="236"/>
      <c r="ET40" s="236"/>
      <c r="EU40" s="236"/>
      <c r="EV40" s="236"/>
      <c r="EW40" s="236"/>
      <c r="EX40" s="236"/>
      <c r="EY40" s="236"/>
      <c r="EZ40" s="236"/>
      <c r="FA40" s="236"/>
      <c r="FB40" s="236"/>
      <c r="FC40" s="236"/>
      <c r="FD40" s="236"/>
      <c r="FE40" s="236"/>
      <c r="FF40" s="236"/>
      <c r="FG40" s="236"/>
      <c r="FH40" s="236"/>
      <c r="FI40" s="236"/>
      <c r="FJ40" s="236"/>
      <c r="FK40" s="236"/>
      <c r="FL40" s="236"/>
      <c r="FM40" s="236"/>
      <c r="FN40" s="236"/>
      <c r="FO40" s="236"/>
      <c r="FP40" s="236"/>
      <c r="FQ40" s="236"/>
      <c r="FR40" s="236"/>
      <c r="FS40" s="236"/>
      <c r="FT40" s="236"/>
      <c r="FU40" s="236"/>
      <c r="FV40" s="236"/>
      <c r="FW40" s="236"/>
      <c r="FX40" s="236"/>
      <c r="FY40" s="236"/>
      <c r="FZ40" s="236"/>
      <c r="GA40" s="236"/>
      <c r="GB40" s="236"/>
      <c r="GC40" s="236"/>
      <c r="GD40" s="236"/>
      <c r="GE40" s="236"/>
      <c r="GF40" s="236"/>
      <c r="GG40" s="236"/>
      <c r="GH40" s="236"/>
      <c r="GI40" s="236"/>
      <c r="GJ40" s="236"/>
      <c r="GK40" s="236"/>
      <c r="GL40" s="236"/>
      <c r="GM40" s="236"/>
      <c r="GN40" s="236"/>
      <c r="GO40" s="236"/>
      <c r="GP40" s="236"/>
      <c r="GQ40" s="236"/>
      <c r="YS40" s="38" t="e">
        <f>RIGHT(CONCATENATE(0,#REF!),7)</f>
        <v>#REF!</v>
      </c>
    </row>
    <row r="41" spans="1:671" s="2" customFormat="1" ht="15" customHeight="1" thickTop="1" thickBot="1">
      <c r="A41" s="1018" t="s">
        <v>1474</v>
      </c>
      <c r="B41" s="1018"/>
      <c r="C41" s="1021" t="s">
        <v>1875</v>
      </c>
      <c r="D41" s="1021"/>
      <c r="E41" s="1021"/>
      <c r="F41" s="1021"/>
      <c r="G41" s="1021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1016" t="s">
        <v>348</v>
      </c>
      <c r="AY41" s="1016"/>
      <c r="AZ41" s="1016"/>
      <c r="BA41" s="222"/>
      <c r="BB41" s="222"/>
      <c r="BC41" s="101"/>
      <c r="BD41" s="101"/>
      <c r="BE41" s="101"/>
      <c r="BF41" s="101"/>
      <c r="BG41" s="101"/>
      <c r="BH41" s="101"/>
      <c r="BI41" s="101"/>
      <c r="BJ41" s="224"/>
      <c r="BK41" s="230"/>
      <c r="BL41" s="223"/>
      <c r="BM41" s="223"/>
      <c r="BN41" s="223"/>
      <c r="BO41" s="222"/>
      <c r="BP41" s="222"/>
      <c r="BQ41" s="222"/>
      <c r="BR41" s="222"/>
      <c r="BS41" s="222"/>
      <c r="BT41" s="222"/>
      <c r="BU41" s="222"/>
      <c r="BV41" s="222">
        <f t="shared" si="13"/>
        <v>1938</v>
      </c>
      <c r="BW41" s="222"/>
      <c r="BX41" s="222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236"/>
      <c r="DY41" s="236"/>
      <c r="DZ41" s="236"/>
      <c r="EA41" s="236"/>
      <c r="EB41" s="236"/>
      <c r="EC41" s="236"/>
      <c r="ED41" s="236"/>
      <c r="EE41" s="236"/>
      <c r="EF41" s="236"/>
      <c r="EG41" s="236"/>
      <c r="EH41" s="236"/>
      <c r="EI41" s="236"/>
      <c r="EJ41" s="236"/>
      <c r="EK41" s="236"/>
      <c r="EL41" s="236"/>
      <c r="EM41" s="236"/>
      <c r="EN41" s="236"/>
      <c r="EO41" s="236"/>
      <c r="EP41" s="236"/>
      <c r="EQ41" s="236"/>
      <c r="ER41" s="236"/>
      <c r="ES41" s="236"/>
      <c r="ET41" s="236"/>
      <c r="EU41" s="236"/>
      <c r="EV41" s="236"/>
      <c r="EW41" s="236"/>
      <c r="EX41" s="236"/>
      <c r="EY41" s="236"/>
      <c r="EZ41" s="236"/>
      <c r="FA41" s="236"/>
      <c r="FB41" s="236"/>
      <c r="FC41" s="236"/>
      <c r="FD41" s="236"/>
      <c r="FE41" s="236"/>
      <c r="FF41" s="236"/>
      <c r="FG41" s="236"/>
      <c r="FH41" s="236"/>
      <c r="FI41" s="236"/>
      <c r="FJ41" s="236"/>
      <c r="FK41" s="236"/>
      <c r="FL41" s="236"/>
      <c r="FM41" s="236"/>
      <c r="FN41" s="236"/>
      <c r="FO41" s="236"/>
      <c r="FP41" s="236"/>
      <c r="FQ41" s="236"/>
      <c r="FR41" s="236"/>
      <c r="FS41" s="236"/>
      <c r="FT41" s="236"/>
      <c r="FU41" s="236"/>
      <c r="FV41" s="236"/>
      <c r="FW41" s="236"/>
      <c r="FX41" s="236"/>
      <c r="FY41" s="236"/>
      <c r="FZ41" s="236"/>
      <c r="GA41" s="236"/>
      <c r="GB41" s="236"/>
      <c r="GC41" s="236"/>
      <c r="GD41" s="236"/>
      <c r="GE41" s="236"/>
      <c r="GF41" s="236"/>
      <c r="GG41" s="236"/>
      <c r="GH41" s="236"/>
      <c r="GI41" s="236"/>
      <c r="GJ41" s="236"/>
      <c r="GK41" s="236"/>
      <c r="GL41" s="236"/>
      <c r="GM41" s="236"/>
      <c r="GN41" s="236"/>
      <c r="GO41" s="236"/>
      <c r="GP41" s="236"/>
      <c r="GQ41" s="236"/>
      <c r="YS41" s="38" t="e">
        <f>RIGHT(CONCATENATE(0,#REF!),7)</f>
        <v>#REF!</v>
      </c>
    </row>
    <row r="42" spans="1:671" s="2" customFormat="1" ht="15" customHeight="1" thickTop="1" thickBot="1">
      <c r="A42" s="711"/>
      <c r="B42" s="236"/>
      <c r="C42" s="236"/>
      <c r="D42" s="223"/>
      <c r="E42" s="223"/>
      <c r="F42" s="236"/>
      <c r="G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67" t="s">
        <v>350</v>
      </c>
      <c r="AY42" s="1015" t="s">
        <v>351</v>
      </c>
      <c r="AZ42" s="1015"/>
      <c r="BA42" s="222"/>
      <c r="BB42" s="222"/>
      <c r="BC42" s="101"/>
      <c r="BD42" s="101"/>
      <c r="BE42" s="101"/>
      <c r="BF42" s="101"/>
      <c r="BG42" s="101"/>
      <c r="BH42" s="101"/>
      <c r="BI42" s="101"/>
      <c r="BJ42" s="224"/>
      <c r="BK42" s="230"/>
      <c r="BL42" s="223"/>
      <c r="BM42" s="223"/>
      <c r="BN42" s="223"/>
      <c r="BO42" s="222"/>
      <c r="BP42" s="222"/>
      <c r="BQ42" s="222"/>
      <c r="BR42" s="222"/>
      <c r="BS42" s="222"/>
      <c r="BT42" s="222"/>
      <c r="BU42" s="222"/>
      <c r="BV42" s="222">
        <f t="shared" si="13"/>
        <v>1939</v>
      </c>
      <c r="BW42" s="222"/>
      <c r="BX42" s="222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236"/>
      <c r="DY42" s="236"/>
      <c r="DZ42" s="236"/>
      <c r="EA42" s="236"/>
      <c r="EB42" s="236"/>
      <c r="EC42" s="236"/>
      <c r="ED42" s="236"/>
      <c r="EE42" s="236"/>
      <c r="EF42" s="236"/>
      <c r="EG42" s="236"/>
      <c r="EH42" s="236"/>
      <c r="EI42" s="236"/>
      <c r="EJ42" s="236"/>
      <c r="EK42" s="236"/>
      <c r="EL42" s="236"/>
      <c r="EM42" s="236"/>
      <c r="EN42" s="236"/>
      <c r="EO42" s="236"/>
      <c r="EP42" s="236"/>
      <c r="EQ42" s="236"/>
      <c r="ER42" s="236"/>
      <c r="ES42" s="236"/>
      <c r="ET42" s="236"/>
      <c r="EU42" s="236"/>
      <c r="EV42" s="236"/>
      <c r="EW42" s="236"/>
      <c r="EX42" s="236"/>
      <c r="EY42" s="236"/>
      <c r="EZ42" s="236"/>
      <c r="FA42" s="236"/>
      <c r="FB42" s="236"/>
      <c r="FC42" s="236"/>
      <c r="FD42" s="236"/>
      <c r="FE42" s="236"/>
      <c r="FF42" s="236"/>
      <c r="FG42" s="236"/>
      <c r="FH42" s="236"/>
      <c r="FI42" s="236"/>
      <c r="FJ42" s="236"/>
      <c r="FK42" s="236"/>
      <c r="FL42" s="236"/>
      <c r="FM42" s="236"/>
      <c r="FN42" s="236"/>
      <c r="FO42" s="236"/>
      <c r="FP42" s="236"/>
      <c r="FQ42" s="236"/>
      <c r="FR42" s="236"/>
      <c r="FS42" s="236"/>
      <c r="FT42" s="236"/>
      <c r="FU42" s="236"/>
      <c r="FV42" s="236"/>
      <c r="FW42" s="236"/>
      <c r="FX42" s="236"/>
      <c r="FY42" s="236"/>
      <c r="FZ42" s="236"/>
      <c r="GA42" s="236"/>
      <c r="GB42" s="236"/>
      <c r="GC42" s="236"/>
      <c r="GD42" s="236"/>
      <c r="GE42" s="236"/>
      <c r="GF42" s="236"/>
      <c r="GG42" s="236"/>
      <c r="GH42" s="236"/>
      <c r="GI42" s="236"/>
      <c r="GJ42" s="236"/>
      <c r="GK42" s="236"/>
      <c r="GL42" s="236"/>
      <c r="GM42" s="236"/>
      <c r="GN42" s="236"/>
      <c r="GO42" s="236"/>
      <c r="GP42" s="236"/>
      <c r="GQ42" s="236"/>
      <c r="YS42" s="38" t="e">
        <f>RIGHT(CONCATENATE(0,#REF!),7)</f>
        <v>#REF!</v>
      </c>
    </row>
    <row r="43" spans="1:671" s="2" customFormat="1" ht="15" hidden="1" customHeight="1" thickTop="1" thickBot="1">
      <c r="A43" s="42"/>
      <c r="B43" s="43"/>
      <c r="C43" s="37"/>
      <c r="D43" s="37"/>
      <c r="E43" s="37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67">
        <v>5000</v>
      </c>
      <c r="AY43" s="1015">
        <v>0</v>
      </c>
      <c r="AZ43" s="1015"/>
      <c r="BA43" s="222"/>
      <c r="BB43" s="222"/>
      <c r="BC43" s="101"/>
      <c r="BD43" s="101"/>
      <c r="BE43" s="101"/>
      <c r="BF43" s="101"/>
      <c r="BG43" s="101"/>
      <c r="BH43" s="101"/>
      <c r="BI43" s="101"/>
      <c r="BJ43" s="224"/>
      <c r="BK43" s="222"/>
      <c r="BL43" s="223"/>
      <c r="BM43" s="223"/>
      <c r="BN43" s="223"/>
      <c r="BO43" s="222"/>
      <c r="BP43" s="222"/>
      <c r="BQ43" s="222"/>
      <c r="BR43" s="222"/>
      <c r="BS43" s="222"/>
      <c r="BT43" s="222"/>
      <c r="BU43" s="222"/>
      <c r="BV43" s="222">
        <f t="shared" si="13"/>
        <v>1940</v>
      </c>
      <c r="BW43" s="222"/>
      <c r="BX43" s="222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236"/>
      <c r="DY43" s="236"/>
      <c r="DZ43" s="236"/>
      <c r="EA43" s="236"/>
      <c r="EB43" s="236"/>
      <c r="EC43" s="236"/>
      <c r="ED43" s="236"/>
      <c r="EE43" s="236"/>
      <c r="EF43" s="236"/>
      <c r="EG43" s="236"/>
      <c r="EH43" s="236"/>
      <c r="EI43" s="236"/>
      <c r="EJ43" s="236"/>
      <c r="EK43" s="236"/>
      <c r="EL43" s="236"/>
      <c r="EM43" s="236"/>
      <c r="EN43" s="236"/>
      <c r="EO43" s="236"/>
      <c r="EP43" s="236"/>
      <c r="EQ43" s="236"/>
      <c r="ER43" s="236"/>
      <c r="ES43" s="236"/>
      <c r="ET43" s="236"/>
      <c r="EU43" s="236"/>
      <c r="EV43" s="236"/>
      <c r="EW43" s="236"/>
      <c r="EX43" s="236"/>
      <c r="EY43" s="236"/>
      <c r="EZ43" s="236"/>
      <c r="FA43" s="236"/>
      <c r="FB43" s="236"/>
      <c r="FC43" s="236"/>
      <c r="FD43" s="236"/>
      <c r="FE43" s="236"/>
      <c r="FF43" s="236"/>
      <c r="FG43" s="236"/>
      <c r="FH43" s="236"/>
      <c r="FI43" s="236"/>
      <c r="FJ43" s="236"/>
      <c r="FK43" s="236"/>
      <c r="FL43" s="236"/>
      <c r="FM43" s="236"/>
      <c r="FN43" s="236"/>
      <c r="FO43" s="236"/>
      <c r="FP43" s="236"/>
      <c r="FQ43" s="236"/>
      <c r="FR43" s="236"/>
      <c r="FS43" s="236"/>
      <c r="FT43" s="236"/>
      <c r="FU43" s="236"/>
      <c r="FV43" s="236"/>
      <c r="FW43" s="236"/>
      <c r="FX43" s="236"/>
      <c r="FY43" s="236"/>
      <c r="FZ43" s="236"/>
      <c r="GA43" s="236"/>
      <c r="GB43" s="236"/>
      <c r="GC43" s="236"/>
      <c r="GD43" s="236"/>
      <c r="GE43" s="236"/>
      <c r="GF43" s="236"/>
      <c r="GG43" s="236"/>
      <c r="GH43" s="236"/>
      <c r="GI43" s="236"/>
      <c r="GJ43" s="236"/>
      <c r="GK43" s="236"/>
      <c r="GL43" s="236"/>
      <c r="GM43" s="236"/>
      <c r="GN43" s="236"/>
      <c r="GO43" s="236"/>
      <c r="GP43" s="236"/>
      <c r="GQ43" s="236"/>
      <c r="YS43" s="38" t="e">
        <f>RIGHT(CONCATENATE(0,#REF!),7)</f>
        <v>#REF!</v>
      </c>
    </row>
    <row r="44" spans="1:671" s="2" customFormat="1" ht="15" hidden="1" customHeight="1" thickTop="1" thickBot="1">
      <c r="A44" s="42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67">
        <v>6000</v>
      </c>
      <c r="AY44" s="1015">
        <v>60</v>
      </c>
      <c r="AZ44" s="1015"/>
      <c r="BA44" s="222"/>
      <c r="BB44" s="222"/>
      <c r="BC44" s="101"/>
      <c r="BD44" s="101"/>
      <c r="BE44" s="101"/>
      <c r="BF44" s="101"/>
      <c r="BG44" s="101"/>
      <c r="BH44" s="101"/>
      <c r="BI44" s="101"/>
      <c r="BJ44" s="224"/>
      <c r="BK44" s="222"/>
      <c r="BL44" s="223"/>
      <c r="BM44" s="223"/>
      <c r="BN44" s="223"/>
      <c r="BO44" s="222"/>
      <c r="BP44" s="222"/>
      <c r="BQ44" s="222"/>
      <c r="BR44" s="222"/>
      <c r="BS44" s="222"/>
      <c r="BT44" s="222"/>
      <c r="BU44" s="222"/>
      <c r="BV44" s="222">
        <f t="shared" si="13"/>
        <v>1941</v>
      </c>
      <c r="BW44" s="222"/>
      <c r="BX44" s="222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236"/>
      <c r="DY44" s="236"/>
      <c r="DZ44" s="236"/>
      <c r="EA44" s="236"/>
      <c r="EB44" s="236"/>
      <c r="EC44" s="236"/>
      <c r="ED44" s="236"/>
      <c r="EE44" s="236"/>
      <c r="EF44" s="236"/>
      <c r="EG44" s="236"/>
      <c r="EH44" s="236"/>
      <c r="EI44" s="236"/>
      <c r="EJ44" s="236"/>
      <c r="EK44" s="236"/>
      <c r="EL44" s="236"/>
      <c r="EM44" s="236"/>
      <c r="EN44" s="236"/>
      <c r="EO44" s="236"/>
      <c r="EP44" s="236"/>
      <c r="EQ44" s="236"/>
      <c r="ER44" s="236"/>
      <c r="ES44" s="236"/>
      <c r="ET44" s="236"/>
      <c r="EU44" s="236"/>
      <c r="EV44" s="236"/>
      <c r="EW44" s="236"/>
      <c r="EX44" s="236"/>
      <c r="EY44" s="236"/>
      <c r="EZ44" s="236"/>
      <c r="FA44" s="236"/>
      <c r="FB44" s="236"/>
      <c r="FC44" s="236"/>
      <c r="FD44" s="236"/>
      <c r="FE44" s="236"/>
      <c r="FF44" s="236"/>
      <c r="FG44" s="236"/>
      <c r="FH44" s="236"/>
      <c r="FI44" s="236"/>
      <c r="FJ44" s="236"/>
      <c r="FK44" s="236"/>
      <c r="FL44" s="236"/>
      <c r="FM44" s="236"/>
      <c r="FN44" s="236"/>
      <c r="FO44" s="236"/>
      <c r="FP44" s="236"/>
      <c r="FQ44" s="236"/>
      <c r="FR44" s="236"/>
      <c r="FS44" s="236"/>
      <c r="FT44" s="236"/>
      <c r="FU44" s="236"/>
      <c r="FV44" s="236"/>
      <c r="FW44" s="236"/>
      <c r="FX44" s="236"/>
      <c r="FY44" s="236"/>
      <c r="FZ44" s="236"/>
      <c r="GA44" s="236"/>
      <c r="GB44" s="236"/>
      <c r="GC44" s="236"/>
      <c r="GD44" s="236"/>
      <c r="GE44" s="236"/>
      <c r="GF44" s="236"/>
      <c r="GG44" s="236"/>
      <c r="GH44" s="236"/>
      <c r="GI44" s="236"/>
      <c r="GJ44" s="236"/>
      <c r="GK44" s="236"/>
      <c r="GL44" s="236"/>
      <c r="GM44" s="236"/>
      <c r="GN44" s="236"/>
      <c r="GO44" s="236"/>
      <c r="GP44" s="236"/>
      <c r="GQ44" s="236"/>
      <c r="YS44" s="38" t="e">
        <f>RIGHT(CONCATENATE(0,#REF!),7)</f>
        <v>#REF!</v>
      </c>
    </row>
    <row r="45" spans="1:671" s="2" customFormat="1" ht="15" hidden="1" customHeight="1" thickTop="1" thickBot="1">
      <c r="A45" s="42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67">
        <v>10000</v>
      </c>
      <c r="AY45" s="1015">
        <v>80</v>
      </c>
      <c r="AZ45" s="1015"/>
      <c r="BA45" s="222"/>
      <c r="BB45" s="222"/>
      <c r="BC45" s="101"/>
      <c r="BD45" s="101"/>
      <c r="BE45" s="101"/>
      <c r="BF45" s="101"/>
      <c r="BG45" s="101"/>
      <c r="BH45" s="101"/>
      <c r="BI45" s="101"/>
      <c r="BJ45" s="224"/>
      <c r="BK45" s="222"/>
      <c r="BL45" s="223"/>
      <c r="BM45" s="223"/>
      <c r="BN45" s="223"/>
      <c r="BO45" s="222"/>
      <c r="BP45" s="222"/>
      <c r="BQ45" s="222"/>
      <c r="BR45" s="222"/>
      <c r="BS45" s="222"/>
      <c r="BT45" s="222"/>
      <c r="BU45" s="222"/>
      <c r="BV45" s="222">
        <f t="shared" si="13"/>
        <v>1942</v>
      </c>
      <c r="BW45" s="222"/>
      <c r="BX45" s="222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236"/>
      <c r="DY45" s="236"/>
      <c r="DZ45" s="236"/>
      <c r="EA45" s="236"/>
      <c r="EB45" s="236"/>
      <c r="EC45" s="236"/>
      <c r="ED45" s="236"/>
      <c r="EE45" s="236"/>
      <c r="EF45" s="236"/>
      <c r="EG45" s="236"/>
      <c r="EH45" s="236"/>
      <c r="EI45" s="236"/>
      <c r="EJ45" s="236"/>
      <c r="EK45" s="236"/>
      <c r="EL45" s="236"/>
      <c r="EM45" s="236"/>
      <c r="EN45" s="236"/>
      <c r="EO45" s="236"/>
      <c r="EP45" s="236"/>
      <c r="EQ45" s="236"/>
      <c r="ER45" s="236"/>
      <c r="ES45" s="236"/>
      <c r="ET45" s="236"/>
      <c r="EU45" s="236"/>
      <c r="EV45" s="236"/>
      <c r="EW45" s="236"/>
      <c r="EX45" s="236"/>
      <c r="EY45" s="236"/>
      <c r="EZ45" s="236"/>
      <c r="FA45" s="236"/>
      <c r="FB45" s="236"/>
      <c r="FC45" s="236"/>
      <c r="FD45" s="236"/>
      <c r="FE45" s="236"/>
      <c r="FF45" s="236"/>
      <c r="FG45" s="236"/>
      <c r="FH45" s="236"/>
      <c r="FI45" s="236"/>
      <c r="FJ45" s="236"/>
      <c r="FK45" s="236"/>
      <c r="FL45" s="236"/>
      <c r="FM45" s="236"/>
      <c r="FN45" s="236"/>
      <c r="FO45" s="236"/>
      <c r="FP45" s="236"/>
      <c r="FQ45" s="236"/>
      <c r="FR45" s="236"/>
      <c r="FS45" s="236"/>
      <c r="FT45" s="236"/>
      <c r="FU45" s="236"/>
      <c r="FV45" s="236"/>
      <c r="FW45" s="236"/>
      <c r="FX45" s="236"/>
      <c r="FY45" s="236"/>
      <c r="FZ45" s="236"/>
      <c r="GA45" s="236"/>
      <c r="GB45" s="236"/>
      <c r="GC45" s="236"/>
      <c r="GD45" s="236"/>
      <c r="GE45" s="236"/>
      <c r="GF45" s="236"/>
      <c r="GG45" s="236"/>
      <c r="GH45" s="236"/>
      <c r="GI45" s="236"/>
      <c r="GJ45" s="236"/>
      <c r="GK45" s="236"/>
      <c r="GL45" s="236"/>
      <c r="GM45" s="236"/>
      <c r="GN45" s="236"/>
      <c r="GO45" s="236"/>
      <c r="GP45" s="236"/>
      <c r="GQ45" s="236"/>
      <c r="YS45" s="38" t="e">
        <f>RIGHT(CONCATENATE(0,#REF!),7)</f>
        <v>#REF!</v>
      </c>
    </row>
    <row r="46" spans="1:671" s="2" customFormat="1" ht="15" hidden="1" customHeight="1" thickTop="1" thickBot="1">
      <c r="A46" s="42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67">
        <v>15000</v>
      </c>
      <c r="AY46" s="1015">
        <v>100</v>
      </c>
      <c r="AZ46" s="1015"/>
      <c r="BA46" s="222"/>
      <c r="BB46" s="222"/>
      <c r="BC46" s="101"/>
      <c r="BD46" s="101"/>
      <c r="BE46" s="101"/>
      <c r="BF46" s="101"/>
      <c r="BG46" s="101"/>
      <c r="BH46" s="101"/>
      <c r="BI46" s="101"/>
      <c r="BJ46" s="224"/>
      <c r="BK46" s="222"/>
      <c r="BL46" s="223"/>
      <c r="BM46" s="223"/>
      <c r="BN46" s="223"/>
      <c r="BO46" s="222"/>
      <c r="BP46" s="222"/>
      <c r="BQ46" s="222"/>
      <c r="BR46" s="222"/>
      <c r="BS46" s="222"/>
      <c r="BT46" s="222"/>
      <c r="BU46" s="222"/>
      <c r="BV46" s="222">
        <f t="shared" si="13"/>
        <v>1943</v>
      </c>
      <c r="BW46" s="222"/>
      <c r="BX46" s="222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236"/>
      <c r="DY46" s="236"/>
      <c r="DZ46" s="236"/>
      <c r="EA46" s="236"/>
      <c r="EB46" s="236"/>
      <c r="EC46" s="236"/>
      <c r="ED46" s="236"/>
      <c r="EE46" s="236"/>
      <c r="EF46" s="236"/>
      <c r="EG46" s="236"/>
      <c r="EH46" s="236"/>
      <c r="EI46" s="236"/>
      <c r="EJ46" s="236"/>
      <c r="EK46" s="236"/>
      <c r="EL46" s="236"/>
      <c r="EM46" s="236"/>
      <c r="EN46" s="236"/>
      <c r="EO46" s="236"/>
      <c r="EP46" s="236"/>
      <c r="EQ46" s="236"/>
      <c r="ER46" s="236"/>
      <c r="ES46" s="236"/>
      <c r="ET46" s="236"/>
      <c r="EU46" s="236"/>
      <c r="EV46" s="236"/>
      <c r="EW46" s="236"/>
      <c r="EX46" s="236"/>
      <c r="EY46" s="236"/>
      <c r="EZ46" s="236"/>
      <c r="FA46" s="236"/>
      <c r="FB46" s="236"/>
      <c r="FC46" s="236"/>
      <c r="FD46" s="236"/>
      <c r="FE46" s="236"/>
      <c r="FF46" s="236"/>
      <c r="FG46" s="236"/>
      <c r="FH46" s="236"/>
      <c r="FI46" s="236"/>
      <c r="FJ46" s="236"/>
      <c r="FK46" s="236"/>
      <c r="FL46" s="236"/>
      <c r="FM46" s="236"/>
      <c r="FN46" s="236"/>
      <c r="FO46" s="236"/>
      <c r="FP46" s="236"/>
      <c r="FQ46" s="236"/>
      <c r="FR46" s="236"/>
      <c r="FS46" s="236"/>
      <c r="FT46" s="236"/>
      <c r="FU46" s="236"/>
      <c r="FV46" s="236"/>
      <c r="FW46" s="236"/>
      <c r="FX46" s="236"/>
      <c r="FY46" s="236"/>
      <c r="FZ46" s="236"/>
      <c r="GA46" s="236"/>
      <c r="GB46" s="236"/>
      <c r="GC46" s="236"/>
      <c r="GD46" s="236"/>
      <c r="GE46" s="236"/>
      <c r="GF46" s="236"/>
      <c r="GG46" s="236"/>
      <c r="GH46" s="236"/>
      <c r="GI46" s="236"/>
      <c r="GJ46" s="236"/>
      <c r="GK46" s="236"/>
      <c r="GL46" s="236"/>
      <c r="GM46" s="236"/>
      <c r="GN46" s="236"/>
      <c r="GO46" s="236"/>
      <c r="GP46" s="236"/>
      <c r="GQ46" s="236"/>
      <c r="YS46" s="38" t="e">
        <f>RIGHT(CONCATENATE(0,#REF!),7)</f>
        <v>#REF!</v>
      </c>
    </row>
    <row r="47" spans="1:671" ht="15" hidden="1" customHeight="1" thickTop="1" thickBot="1">
      <c r="AX47" s="267">
        <v>20000</v>
      </c>
      <c r="AY47" s="1015">
        <v>150</v>
      </c>
      <c r="AZ47" s="1015"/>
      <c r="BC47" s="231"/>
      <c r="BD47" s="231"/>
      <c r="BE47" s="231"/>
      <c r="BF47" s="231"/>
      <c r="BG47" s="231"/>
      <c r="BH47" s="231"/>
      <c r="BI47" s="231"/>
      <c r="BJ47" s="224"/>
      <c r="BL47" s="223"/>
      <c r="BM47" s="223"/>
      <c r="BN47" s="223"/>
      <c r="BV47" s="222">
        <f t="shared" si="13"/>
        <v>1944</v>
      </c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  <c r="DB47" s="231"/>
      <c r="DC47" s="231"/>
      <c r="DD47" s="231"/>
      <c r="DE47" s="231"/>
      <c r="DF47" s="231"/>
      <c r="DG47" s="231"/>
      <c r="DH47" s="231"/>
      <c r="DI47" s="231"/>
      <c r="DJ47" s="231"/>
      <c r="DK47" s="231"/>
      <c r="DL47" s="231"/>
      <c r="DM47" s="231"/>
      <c r="DN47" s="231"/>
      <c r="DO47" s="231"/>
      <c r="DP47" s="231"/>
      <c r="DQ47" s="231"/>
      <c r="DR47" s="231"/>
      <c r="DS47" s="231"/>
      <c r="DT47" s="231"/>
      <c r="DU47" s="231"/>
      <c r="DV47" s="231"/>
      <c r="DW47" s="231"/>
      <c r="YS47" s="38" t="e">
        <f>RIGHT(CONCATENATE(0,#REF!),7)</f>
        <v>#REF!</v>
      </c>
    </row>
    <row r="48" spans="1:671" ht="15" hidden="1" customHeight="1" thickTop="1" thickBot="1">
      <c r="B48" s="46"/>
      <c r="C48" s="47"/>
      <c r="D48" s="45"/>
      <c r="AX48" s="267">
        <v>10000</v>
      </c>
      <c r="AY48" s="1015">
        <v>200</v>
      </c>
      <c r="AZ48" s="1015"/>
      <c r="BC48" s="231"/>
      <c r="BD48" s="231"/>
      <c r="BE48" s="231"/>
      <c r="BF48" s="231"/>
      <c r="BG48" s="231"/>
      <c r="BH48" s="231"/>
      <c r="BI48" s="231"/>
      <c r="BJ48" s="224"/>
      <c r="BL48" s="223"/>
      <c r="BM48" s="223"/>
      <c r="BN48" s="223"/>
      <c r="BV48" s="222">
        <f t="shared" si="13"/>
        <v>1945</v>
      </c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B48" s="231"/>
      <c r="DC48" s="231"/>
      <c r="DD48" s="231"/>
      <c r="DE48" s="231"/>
      <c r="DF48" s="231"/>
      <c r="DG48" s="231"/>
      <c r="DH48" s="231"/>
      <c r="DI48" s="231"/>
      <c r="DJ48" s="231"/>
      <c r="DK48" s="231"/>
      <c r="DL48" s="231"/>
      <c r="DM48" s="231"/>
      <c r="DN48" s="231"/>
      <c r="DO48" s="231"/>
      <c r="DP48" s="231"/>
      <c r="DQ48" s="231"/>
      <c r="DR48" s="231"/>
      <c r="DS48" s="231"/>
      <c r="DT48" s="231"/>
      <c r="DU48" s="231"/>
      <c r="DV48" s="231"/>
      <c r="DW48" s="231"/>
      <c r="YS48" s="38" t="e">
        <f>RIGHT(CONCATENATE(0,#REF!),7)</f>
        <v>#REF!</v>
      </c>
    </row>
    <row r="49" spans="1:669" ht="15" hidden="1" customHeight="1" thickTop="1">
      <c r="D49" s="45"/>
      <c r="BC49" s="231"/>
      <c r="BD49" s="231"/>
      <c r="BE49" s="231"/>
      <c r="BF49" s="231"/>
      <c r="BG49" s="231"/>
      <c r="BH49" s="231"/>
      <c r="BI49" s="231"/>
      <c r="BJ49" s="224"/>
      <c r="BL49" s="223"/>
      <c r="BM49" s="223"/>
      <c r="BN49" s="223"/>
      <c r="BV49" s="222">
        <f t="shared" si="13"/>
        <v>1946</v>
      </c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1"/>
      <c r="CJ49" s="231"/>
      <c r="CK49" s="231"/>
      <c r="CL49" s="231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1"/>
      <c r="CY49" s="231"/>
      <c r="CZ49" s="231"/>
      <c r="DA49" s="231"/>
      <c r="DB49" s="231"/>
      <c r="DC49" s="231"/>
      <c r="DD49" s="231"/>
      <c r="DE49" s="231"/>
      <c r="DF49" s="231"/>
      <c r="DG49" s="231"/>
      <c r="DH49" s="231"/>
      <c r="DI49" s="231"/>
      <c r="DJ49" s="231"/>
      <c r="DK49" s="231"/>
      <c r="DL49" s="231"/>
      <c r="DM49" s="231"/>
      <c r="DN49" s="231"/>
      <c r="DO49" s="231"/>
      <c r="DP49" s="231"/>
      <c r="DQ49" s="231"/>
      <c r="DR49" s="231"/>
      <c r="DS49" s="231"/>
      <c r="DT49" s="231"/>
      <c r="DU49" s="231"/>
      <c r="DV49" s="231"/>
      <c r="DW49" s="231"/>
      <c r="YS49" s="38" t="e">
        <f>RIGHT(CONCATENATE(0,#REF!),7)</f>
        <v>#REF!</v>
      </c>
    </row>
    <row r="50" spans="1:669" ht="15" hidden="1" customHeight="1">
      <c r="D50" s="45"/>
      <c r="E50" s="48"/>
      <c r="AX50" s="222" t="s">
        <v>29</v>
      </c>
      <c r="AY50" s="222" t="s">
        <v>340</v>
      </c>
      <c r="AZ50" s="222" t="s">
        <v>62</v>
      </c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22">
        <f t="shared" si="13"/>
        <v>1947</v>
      </c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1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1"/>
      <c r="CY50" s="231"/>
      <c r="CZ50" s="231"/>
      <c r="DA50" s="231"/>
      <c r="DB50" s="231"/>
      <c r="DC50" s="231"/>
      <c r="DD50" s="231"/>
      <c r="DE50" s="231"/>
      <c r="DF50" s="231"/>
      <c r="DG50" s="231"/>
      <c r="DH50" s="231"/>
      <c r="DI50" s="231"/>
      <c r="DJ50" s="231"/>
      <c r="DK50" s="231"/>
      <c r="DL50" s="231"/>
      <c r="DM50" s="231"/>
      <c r="DN50" s="231"/>
      <c r="DO50" s="231"/>
      <c r="DP50" s="231"/>
      <c r="DQ50" s="231"/>
      <c r="DR50" s="231"/>
      <c r="DS50" s="231"/>
      <c r="DT50" s="231"/>
      <c r="DU50" s="231"/>
      <c r="DV50" s="231"/>
      <c r="DW50" s="231"/>
      <c r="YS50" s="38" t="e">
        <f>RIGHT(CONCATENATE(0,#REF!),7)</f>
        <v>#REF!</v>
      </c>
    </row>
    <row r="51" spans="1:669" ht="15" hidden="1" customHeight="1">
      <c r="D51" s="45"/>
      <c r="AX51" s="222" t="s">
        <v>307</v>
      </c>
      <c r="AY51" s="222">
        <v>12000</v>
      </c>
      <c r="AZ51" s="222">
        <v>8000</v>
      </c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22">
        <f t="shared" si="13"/>
        <v>1948</v>
      </c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231"/>
      <c r="CJ51" s="231"/>
      <c r="CK51" s="231"/>
      <c r="CL51" s="231"/>
      <c r="CM51" s="231"/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1"/>
      <c r="CY51" s="231"/>
      <c r="CZ51" s="231"/>
      <c r="DA51" s="231"/>
      <c r="DB51" s="231"/>
      <c r="DC51" s="231"/>
      <c r="DD51" s="231"/>
      <c r="DE51" s="231"/>
      <c r="DF51" s="231"/>
      <c r="DG51" s="231"/>
      <c r="DH51" s="231"/>
      <c r="DI51" s="231"/>
      <c r="DJ51" s="231"/>
      <c r="DK51" s="231"/>
      <c r="DL51" s="231"/>
      <c r="DM51" s="231"/>
      <c r="DN51" s="231"/>
      <c r="DO51" s="231"/>
      <c r="DP51" s="231"/>
      <c r="DQ51" s="231"/>
      <c r="DR51" s="231"/>
      <c r="DS51" s="231"/>
      <c r="DT51" s="231"/>
      <c r="DU51" s="231"/>
      <c r="DV51" s="231"/>
      <c r="DW51" s="231"/>
      <c r="YS51" s="38" t="e">
        <f>RIGHT(CONCATENATE(0,#REF!),7)</f>
        <v>#REF!</v>
      </c>
    </row>
    <row r="52" spans="1:669" ht="15" hidden="1" customHeight="1">
      <c r="D52" s="45"/>
      <c r="AX52" s="222" t="s">
        <v>296</v>
      </c>
      <c r="AY52" s="222">
        <v>6000</v>
      </c>
      <c r="AZ52" s="222">
        <v>4000</v>
      </c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22">
        <f t="shared" si="13"/>
        <v>1949</v>
      </c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  <c r="DH52" s="231"/>
      <c r="DI52" s="231"/>
      <c r="DJ52" s="231"/>
      <c r="DK52" s="231"/>
      <c r="DL52" s="231"/>
      <c r="DM52" s="231"/>
      <c r="DN52" s="231"/>
      <c r="DO52" s="231"/>
      <c r="DP52" s="231"/>
      <c r="DQ52" s="231"/>
      <c r="DR52" s="231"/>
      <c r="DS52" s="231"/>
      <c r="DT52" s="231"/>
      <c r="DU52" s="231"/>
      <c r="DV52" s="231"/>
      <c r="DW52" s="231"/>
      <c r="YS52" s="38" t="e">
        <f>RIGHT(CONCATENATE(0,#REF!),7)</f>
        <v>#REF!</v>
      </c>
    </row>
    <row r="53" spans="1:669" ht="15" hidden="1" customHeight="1">
      <c r="D53" s="45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22">
        <f t="shared" si="13"/>
        <v>1950</v>
      </c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231"/>
      <c r="DC53" s="231"/>
      <c r="DD53" s="231"/>
      <c r="DE53" s="231"/>
      <c r="DF53" s="231"/>
      <c r="DG53" s="231"/>
      <c r="DH53" s="231"/>
      <c r="DI53" s="231"/>
      <c r="DJ53" s="231"/>
      <c r="DK53" s="231"/>
      <c r="DL53" s="231"/>
      <c r="DM53" s="231"/>
      <c r="DN53" s="231"/>
      <c r="DO53" s="231"/>
      <c r="DP53" s="231"/>
      <c r="DQ53" s="231"/>
      <c r="DR53" s="231"/>
      <c r="DS53" s="231"/>
      <c r="DT53" s="231"/>
      <c r="DU53" s="231"/>
      <c r="DV53" s="231"/>
      <c r="DW53" s="231"/>
      <c r="YS53" s="38" t="e">
        <f>RIGHT(CONCATENATE(0,#REF!),7)</f>
        <v>#REF!</v>
      </c>
    </row>
    <row r="54" spans="1:669" hidden="1">
      <c r="B54" s="103"/>
      <c r="C54" s="105"/>
      <c r="D54" s="104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22">
        <f t="shared" si="13"/>
        <v>1951</v>
      </c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1"/>
      <c r="CY54" s="231"/>
      <c r="CZ54" s="231"/>
      <c r="DA54" s="231"/>
      <c r="DB54" s="231"/>
      <c r="DC54" s="231"/>
      <c r="DD54" s="231"/>
      <c r="DE54" s="231"/>
      <c r="DF54" s="231"/>
      <c r="DG54" s="231"/>
      <c r="DH54" s="231"/>
      <c r="DI54" s="231"/>
      <c r="DJ54" s="231"/>
      <c r="DK54" s="231"/>
      <c r="DL54" s="231"/>
      <c r="DM54" s="231"/>
      <c r="DN54" s="231"/>
      <c r="DO54" s="231"/>
      <c r="DP54" s="231"/>
      <c r="DQ54" s="231"/>
      <c r="DR54" s="231"/>
      <c r="DS54" s="231"/>
      <c r="DT54" s="231"/>
      <c r="DU54" s="231"/>
      <c r="DV54" s="231"/>
      <c r="DW54" s="231"/>
      <c r="YS54" s="38" t="e">
        <f>RIGHT(CONCATENATE(0,#REF!),7)</f>
        <v>#REF!</v>
      </c>
    </row>
    <row r="55" spans="1:669" hidden="1">
      <c r="B55" s="103"/>
      <c r="C55" s="94"/>
      <c r="D55" s="104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31"/>
      <c r="BU55" s="231"/>
      <c r="BV55" s="222">
        <f t="shared" si="13"/>
        <v>1952</v>
      </c>
      <c r="BW55" s="231"/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1"/>
      <c r="CK55" s="231"/>
      <c r="CL55" s="231"/>
      <c r="CM55" s="231"/>
      <c r="CN55" s="231"/>
      <c r="CO55" s="231"/>
      <c r="CP55" s="231"/>
      <c r="CQ55" s="231"/>
      <c r="CR55" s="231"/>
      <c r="CS55" s="231"/>
      <c r="CT55" s="231"/>
      <c r="CU55" s="231"/>
      <c r="CV55" s="231"/>
      <c r="CW55" s="231"/>
      <c r="CX55" s="231"/>
      <c r="CY55" s="231"/>
      <c r="CZ55" s="231"/>
      <c r="DA55" s="231"/>
      <c r="DB55" s="231"/>
      <c r="DC55" s="231"/>
      <c r="DD55" s="231"/>
      <c r="DE55" s="231"/>
      <c r="DF55" s="231"/>
      <c r="DG55" s="231"/>
      <c r="DH55" s="231"/>
      <c r="DI55" s="231"/>
      <c r="DJ55" s="231"/>
      <c r="DK55" s="231"/>
      <c r="DL55" s="231"/>
      <c r="DM55" s="231"/>
      <c r="DN55" s="231"/>
      <c r="DO55" s="231"/>
      <c r="DP55" s="231"/>
      <c r="DQ55" s="231"/>
      <c r="DR55" s="231"/>
      <c r="DS55" s="231"/>
      <c r="DT55" s="231"/>
      <c r="DU55" s="231"/>
      <c r="DV55" s="231"/>
      <c r="DW55" s="231"/>
      <c r="YS55" s="38" t="e">
        <f>RIGHT(CONCATENATE(0,#REF!),7)</f>
        <v>#REF!</v>
      </c>
    </row>
    <row r="56" spans="1:669" hidden="1">
      <c r="D56" s="45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31"/>
      <c r="BU56" s="231"/>
      <c r="BV56" s="222">
        <f t="shared" si="13"/>
        <v>1953</v>
      </c>
      <c r="BW56" s="231"/>
      <c r="BX56" s="231"/>
      <c r="BY56" s="231"/>
      <c r="BZ56" s="231"/>
      <c r="CA56" s="231"/>
      <c r="CB56" s="231"/>
      <c r="CC56" s="231"/>
      <c r="CD56" s="231"/>
      <c r="CE56" s="231"/>
      <c r="CF56" s="231"/>
      <c r="CG56" s="231"/>
      <c r="CH56" s="231"/>
      <c r="CI56" s="231"/>
      <c r="CJ56" s="231"/>
      <c r="CK56" s="231"/>
      <c r="CL56" s="231"/>
      <c r="CM56" s="231"/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1"/>
      <c r="CY56" s="231"/>
      <c r="CZ56" s="231"/>
      <c r="DA56" s="231"/>
      <c r="DB56" s="231"/>
      <c r="DC56" s="231"/>
      <c r="DD56" s="231"/>
      <c r="DE56" s="231"/>
      <c r="DF56" s="231"/>
      <c r="DG56" s="231"/>
      <c r="DH56" s="231"/>
      <c r="DI56" s="231"/>
      <c r="DJ56" s="231"/>
      <c r="DK56" s="231"/>
      <c r="DL56" s="231"/>
      <c r="DM56" s="231"/>
      <c r="DN56" s="231"/>
      <c r="DO56" s="231"/>
      <c r="DP56" s="231"/>
      <c r="DQ56" s="231"/>
      <c r="DR56" s="231"/>
      <c r="DS56" s="231"/>
      <c r="DT56" s="231"/>
      <c r="DU56" s="231"/>
      <c r="DV56" s="231"/>
      <c r="DW56" s="231"/>
      <c r="YS56" s="38" t="e">
        <f>RIGHT(CONCATENATE(0,#REF!),7)</f>
        <v>#REF!</v>
      </c>
    </row>
    <row r="57" spans="1:669" hidden="1">
      <c r="D57" s="46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22">
        <f t="shared" si="13"/>
        <v>1954</v>
      </c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  <c r="CG57" s="231"/>
      <c r="CH57" s="231"/>
      <c r="CI57" s="231"/>
      <c r="CJ57" s="231"/>
      <c r="CK57" s="231"/>
      <c r="CL57" s="231"/>
      <c r="CM57" s="231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31"/>
      <c r="CY57" s="231"/>
      <c r="CZ57" s="231"/>
      <c r="DA57" s="231"/>
      <c r="DB57" s="231"/>
      <c r="DC57" s="231"/>
      <c r="DD57" s="231"/>
      <c r="DE57" s="231"/>
      <c r="DF57" s="231"/>
      <c r="DG57" s="231"/>
      <c r="DH57" s="231"/>
      <c r="DI57" s="231"/>
      <c r="DJ57" s="231"/>
      <c r="DK57" s="231"/>
      <c r="DL57" s="231"/>
      <c r="DM57" s="231"/>
      <c r="DN57" s="231"/>
      <c r="DO57" s="231"/>
      <c r="DP57" s="231"/>
      <c r="DQ57" s="231"/>
      <c r="DR57" s="231"/>
      <c r="DS57" s="231"/>
      <c r="DT57" s="231"/>
      <c r="DU57" s="231"/>
      <c r="DV57" s="231"/>
      <c r="DW57" s="231"/>
      <c r="YS57" s="38" t="e">
        <f>RIGHT(CONCATENATE(0,#REF!),7)</f>
        <v>#REF!</v>
      </c>
    </row>
    <row r="58" spans="1:669" hidden="1">
      <c r="D58" s="5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31"/>
      <c r="BU58" s="231"/>
      <c r="BV58" s="222">
        <f t="shared" si="13"/>
        <v>1955</v>
      </c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1"/>
      <c r="CL58" s="231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1"/>
      <c r="DE58" s="231"/>
      <c r="DF58" s="231"/>
      <c r="DG58" s="231"/>
      <c r="DH58" s="231"/>
      <c r="DI58" s="231"/>
      <c r="DJ58" s="231"/>
      <c r="DK58" s="231"/>
      <c r="DL58" s="231"/>
      <c r="DM58" s="231"/>
      <c r="DN58" s="231"/>
      <c r="DO58" s="231"/>
      <c r="DP58" s="231"/>
      <c r="DQ58" s="231"/>
      <c r="DR58" s="231"/>
      <c r="DS58" s="231"/>
      <c r="DT58" s="231"/>
      <c r="DU58" s="231"/>
      <c r="DV58" s="231"/>
      <c r="DW58" s="231"/>
      <c r="YS58" s="38" t="e">
        <f>RIGHT(CONCATENATE(0,#REF!),7)</f>
        <v>#REF!</v>
      </c>
    </row>
    <row r="59" spans="1:669" hidden="1">
      <c r="D59" s="49"/>
      <c r="E59" s="52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31"/>
      <c r="BU59" s="231"/>
      <c r="BV59" s="222">
        <f t="shared" si="13"/>
        <v>1956</v>
      </c>
      <c r="BW59" s="231"/>
      <c r="BX59" s="231"/>
      <c r="BY59" s="231"/>
      <c r="BZ59" s="231"/>
      <c r="CA59" s="231"/>
      <c r="CB59" s="231"/>
      <c r="CC59" s="231"/>
      <c r="CD59" s="231"/>
      <c r="CE59" s="231"/>
      <c r="CF59" s="231"/>
      <c r="CG59" s="231"/>
      <c r="CH59" s="231"/>
      <c r="CI59" s="231"/>
      <c r="CJ59" s="231"/>
      <c r="CK59" s="231"/>
      <c r="CL59" s="231"/>
      <c r="CM59" s="231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1"/>
      <c r="CY59" s="231"/>
      <c r="CZ59" s="231"/>
      <c r="DA59" s="231"/>
      <c r="DB59" s="231"/>
      <c r="DC59" s="231"/>
      <c r="DD59" s="231"/>
      <c r="DE59" s="231"/>
      <c r="DF59" s="231"/>
      <c r="DG59" s="231"/>
      <c r="DH59" s="231"/>
      <c r="DI59" s="231"/>
      <c r="DJ59" s="231"/>
      <c r="DK59" s="231"/>
      <c r="DL59" s="231"/>
      <c r="DM59" s="231"/>
      <c r="DN59" s="231"/>
      <c r="DO59" s="231"/>
      <c r="DP59" s="231"/>
      <c r="DQ59" s="231"/>
      <c r="DR59" s="231"/>
      <c r="DS59" s="231"/>
      <c r="DT59" s="231"/>
      <c r="DU59" s="231"/>
      <c r="DV59" s="231"/>
      <c r="DW59" s="231"/>
      <c r="YS59" s="38" t="e">
        <f>RIGHT(CONCATENATE(0,#REF!),7)</f>
        <v>#REF!</v>
      </c>
    </row>
    <row r="60" spans="1:669" hidden="1">
      <c r="A60" s="672" t="s">
        <v>1845</v>
      </c>
      <c r="B60" s="45"/>
      <c r="C60" s="50"/>
      <c r="D60" s="49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231"/>
      <c r="BR60" s="231"/>
      <c r="BS60" s="231"/>
      <c r="BT60" s="231"/>
      <c r="BU60" s="231"/>
      <c r="BV60" s="222">
        <f t="shared" si="13"/>
        <v>1957</v>
      </c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31"/>
      <c r="CI60" s="231"/>
      <c r="CJ60" s="231"/>
      <c r="CK60" s="231"/>
      <c r="CL60" s="231"/>
      <c r="CM60" s="231"/>
      <c r="CN60" s="231"/>
      <c r="CO60" s="231"/>
      <c r="CP60" s="231"/>
      <c r="CQ60" s="231"/>
      <c r="CR60" s="231"/>
      <c r="CS60" s="231"/>
      <c r="CT60" s="231"/>
      <c r="CU60" s="231"/>
      <c r="CV60" s="231"/>
      <c r="CW60" s="231"/>
      <c r="CX60" s="231"/>
      <c r="CY60" s="231"/>
      <c r="CZ60" s="231"/>
      <c r="DA60" s="231"/>
      <c r="DB60" s="231"/>
      <c r="DC60" s="231"/>
      <c r="DD60" s="231"/>
      <c r="DE60" s="231"/>
      <c r="DF60" s="231"/>
      <c r="DG60" s="231"/>
      <c r="DH60" s="231"/>
      <c r="DI60" s="231"/>
      <c r="DJ60" s="231"/>
      <c r="DK60" s="231"/>
      <c r="DL60" s="231"/>
      <c r="DM60" s="231"/>
      <c r="DN60" s="231"/>
      <c r="DO60" s="231"/>
      <c r="DP60" s="231"/>
      <c r="DQ60" s="231"/>
      <c r="DR60" s="231"/>
      <c r="DS60" s="231"/>
      <c r="DT60" s="231"/>
      <c r="DU60" s="231"/>
      <c r="DV60" s="231"/>
      <c r="DW60" s="231"/>
      <c r="YS60" s="38" t="e">
        <f>RIGHT(CONCATENATE(0,#REF!),7)</f>
        <v>#REF!</v>
      </c>
    </row>
    <row r="61" spans="1:669" hidden="1">
      <c r="A61" s="672" t="s">
        <v>1844</v>
      </c>
      <c r="C61" s="52"/>
      <c r="D61" s="53"/>
      <c r="S61" s="222" t="s">
        <v>307</v>
      </c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  <c r="BK61" s="231"/>
      <c r="BL61" s="231"/>
      <c r="BM61" s="231"/>
      <c r="BN61" s="231"/>
      <c r="BO61" s="231"/>
      <c r="BP61" s="231"/>
      <c r="BQ61" s="231"/>
      <c r="BR61" s="231"/>
      <c r="BS61" s="231"/>
      <c r="BT61" s="231"/>
      <c r="BU61" s="231"/>
      <c r="BV61" s="222">
        <f t="shared" si="13"/>
        <v>1958</v>
      </c>
      <c r="BW61" s="231"/>
      <c r="BX61" s="231"/>
      <c r="BY61" s="231"/>
      <c r="BZ61" s="231"/>
      <c r="CA61" s="231"/>
      <c r="CB61" s="231"/>
      <c r="CC61" s="231"/>
      <c r="CD61" s="231"/>
      <c r="CE61" s="231"/>
      <c r="CF61" s="231"/>
      <c r="CG61" s="231"/>
      <c r="CH61" s="231"/>
      <c r="CI61" s="231"/>
      <c r="CJ61" s="231"/>
      <c r="CK61" s="231"/>
      <c r="CL61" s="231"/>
      <c r="CM61" s="231"/>
      <c r="CN61" s="231"/>
      <c r="CO61" s="231"/>
      <c r="CP61" s="231"/>
      <c r="CQ61" s="231"/>
      <c r="CR61" s="231"/>
      <c r="CS61" s="231"/>
      <c r="CT61" s="231"/>
      <c r="CU61" s="231"/>
      <c r="CV61" s="231"/>
      <c r="CW61" s="231"/>
      <c r="CX61" s="231"/>
      <c r="CY61" s="231"/>
      <c r="CZ61" s="231"/>
      <c r="DA61" s="231"/>
      <c r="DB61" s="231"/>
      <c r="DC61" s="231"/>
      <c r="DD61" s="231"/>
      <c r="DE61" s="231"/>
      <c r="DF61" s="231"/>
      <c r="DG61" s="231"/>
      <c r="DH61" s="231"/>
      <c r="DI61" s="231"/>
      <c r="DJ61" s="231"/>
      <c r="DK61" s="231"/>
      <c r="DL61" s="231"/>
      <c r="DM61" s="231"/>
      <c r="DN61" s="231"/>
      <c r="DO61" s="231"/>
      <c r="DP61" s="231"/>
      <c r="DQ61" s="231"/>
      <c r="DR61" s="231"/>
      <c r="DS61" s="231"/>
      <c r="DT61" s="231"/>
      <c r="DU61" s="231"/>
      <c r="DV61" s="231"/>
      <c r="DW61" s="231"/>
      <c r="YS61" s="38" t="e">
        <f>RIGHT(CONCATENATE(0,#REF!),7)</f>
        <v>#REF!</v>
      </c>
    </row>
    <row r="62" spans="1:669" hidden="1">
      <c r="A62" s="672" t="s">
        <v>1846</v>
      </c>
      <c r="C62" s="52"/>
      <c r="D62" s="54"/>
      <c r="L62" s="55"/>
      <c r="M62" s="55"/>
      <c r="S62" s="243">
        <v>3600</v>
      </c>
      <c r="T62" s="243">
        <v>4500</v>
      </c>
      <c r="U62" s="231" t="s">
        <v>326</v>
      </c>
      <c r="V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22">
        <f t="shared" si="13"/>
        <v>1959</v>
      </c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231"/>
      <c r="CJ62" s="231"/>
      <c r="CK62" s="231"/>
      <c r="CL62" s="231"/>
      <c r="CM62" s="231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1"/>
      <c r="CY62" s="231"/>
      <c r="CZ62" s="231"/>
      <c r="DA62" s="231"/>
      <c r="DB62" s="231"/>
      <c r="DC62" s="231"/>
      <c r="DD62" s="231"/>
      <c r="DE62" s="231"/>
      <c r="DF62" s="231"/>
      <c r="DG62" s="231"/>
      <c r="DH62" s="231"/>
      <c r="DI62" s="231"/>
      <c r="DJ62" s="231"/>
      <c r="DK62" s="231"/>
      <c r="DL62" s="231"/>
      <c r="DM62" s="231"/>
      <c r="DN62" s="231"/>
      <c r="DO62" s="231"/>
      <c r="DP62" s="231"/>
      <c r="DQ62" s="231"/>
      <c r="DR62" s="231"/>
      <c r="DS62" s="231"/>
      <c r="DT62" s="231"/>
      <c r="DU62" s="231"/>
      <c r="DV62" s="231"/>
      <c r="DW62" s="231"/>
      <c r="YS62" s="38" t="e">
        <f>RIGHT(CONCATENATE(0,#REF!),7)</f>
        <v>#REF!</v>
      </c>
    </row>
    <row r="63" spans="1:669" hidden="1">
      <c r="C63" s="48"/>
      <c r="D63" s="56"/>
      <c r="L63" s="55"/>
      <c r="M63" s="55"/>
      <c r="S63" s="243">
        <v>4400</v>
      </c>
      <c r="T63" s="243">
        <v>5400</v>
      </c>
      <c r="U63" s="231" t="s">
        <v>328</v>
      </c>
      <c r="V63" s="96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231"/>
      <c r="BR63" s="231"/>
      <c r="BS63" s="231"/>
      <c r="BT63" s="231"/>
      <c r="BU63" s="231"/>
      <c r="BV63" s="222">
        <f t="shared" si="13"/>
        <v>1960</v>
      </c>
      <c r="BW63" s="231"/>
      <c r="BX63" s="231"/>
      <c r="BY63" s="231"/>
      <c r="BZ63" s="231"/>
      <c r="CA63" s="231"/>
      <c r="CB63" s="231"/>
      <c r="CC63" s="231"/>
      <c r="CD63" s="231"/>
      <c r="CE63" s="231"/>
      <c r="CF63" s="231"/>
      <c r="CG63" s="231"/>
      <c r="CH63" s="231"/>
      <c r="CI63" s="231"/>
      <c r="CJ63" s="231"/>
      <c r="CK63" s="231"/>
      <c r="CL63" s="231"/>
      <c r="CM63" s="231"/>
      <c r="CN63" s="231"/>
      <c r="CO63" s="231"/>
      <c r="CP63" s="231"/>
      <c r="CQ63" s="231"/>
      <c r="CR63" s="231"/>
      <c r="CS63" s="231"/>
      <c r="CT63" s="231"/>
      <c r="CU63" s="231"/>
      <c r="CV63" s="231"/>
      <c r="CW63" s="231"/>
      <c r="CX63" s="231"/>
      <c r="CY63" s="231"/>
      <c r="CZ63" s="231"/>
      <c r="DA63" s="231"/>
      <c r="DB63" s="231"/>
      <c r="DC63" s="231"/>
      <c r="DD63" s="231"/>
      <c r="DE63" s="231"/>
      <c r="DF63" s="231"/>
      <c r="DG63" s="231"/>
      <c r="DH63" s="231"/>
      <c r="DI63" s="231"/>
      <c r="DJ63" s="231"/>
      <c r="DK63" s="231"/>
      <c r="DL63" s="231"/>
      <c r="DM63" s="231"/>
      <c r="DN63" s="231"/>
      <c r="DO63" s="231"/>
      <c r="DP63" s="231"/>
      <c r="DQ63" s="231"/>
      <c r="DR63" s="231"/>
      <c r="DS63" s="231"/>
      <c r="DT63" s="231"/>
      <c r="DU63" s="231"/>
      <c r="DV63" s="231"/>
      <c r="DW63" s="231"/>
      <c r="YS63" s="38" t="e">
        <f>RIGHT(CONCATENATE(0,#REF!),7)</f>
        <v>#REF!</v>
      </c>
    </row>
    <row r="64" spans="1:669" hidden="1">
      <c r="B64" s="45"/>
      <c r="C64" s="58"/>
      <c r="D64" s="49"/>
      <c r="L64" s="55"/>
      <c r="M64" s="55"/>
      <c r="S64" s="243">
        <v>4500</v>
      </c>
      <c r="T64" s="243">
        <v>11530</v>
      </c>
      <c r="U64" s="96" t="s">
        <v>326</v>
      </c>
      <c r="V64" s="96"/>
      <c r="X64" s="222" t="s">
        <v>1884</v>
      </c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1"/>
      <c r="BR64" s="231"/>
      <c r="BS64" s="231"/>
      <c r="BT64" s="231"/>
      <c r="BU64" s="231"/>
      <c r="BV64" s="222">
        <f t="shared" si="13"/>
        <v>1961</v>
      </c>
      <c r="BW64" s="231"/>
      <c r="BX64" s="231"/>
      <c r="BY64" s="231"/>
      <c r="BZ64" s="231"/>
      <c r="CA64" s="231"/>
      <c r="CB64" s="231"/>
      <c r="CC64" s="231"/>
      <c r="CD64" s="231"/>
      <c r="CE64" s="231"/>
      <c r="CF64" s="231"/>
      <c r="CG64" s="231"/>
      <c r="CH64" s="231"/>
      <c r="CI64" s="231"/>
      <c r="CJ64" s="231"/>
      <c r="CK64" s="231"/>
      <c r="CL64" s="231"/>
      <c r="CM64" s="231"/>
      <c r="CN64" s="231"/>
      <c r="CO64" s="231"/>
      <c r="CP64" s="231"/>
      <c r="CQ64" s="231"/>
      <c r="CR64" s="231"/>
      <c r="CS64" s="231"/>
      <c r="CT64" s="231"/>
      <c r="CU64" s="231"/>
      <c r="CV64" s="231"/>
      <c r="CW64" s="231"/>
      <c r="CX64" s="231"/>
      <c r="CY64" s="231"/>
      <c r="CZ64" s="231"/>
      <c r="DA64" s="231"/>
      <c r="DB64" s="231"/>
      <c r="DC64" s="231"/>
      <c r="DD64" s="231"/>
      <c r="DE64" s="231"/>
      <c r="DF64" s="231"/>
      <c r="DG64" s="231"/>
      <c r="DH64" s="231"/>
      <c r="DI64" s="231"/>
      <c r="DJ64" s="231"/>
      <c r="DK64" s="231"/>
      <c r="DL64" s="231"/>
      <c r="DM64" s="231"/>
      <c r="DN64" s="231"/>
      <c r="DO64" s="231"/>
      <c r="DP64" s="231"/>
      <c r="DQ64" s="231"/>
      <c r="DR64" s="231"/>
      <c r="DS64" s="231"/>
      <c r="DT64" s="231"/>
      <c r="DU64" s="231"/>
      <c r="DV64" s="231"/>
      <c r="DW64" s="231"/>
      <c r="YS64" s="38" t="e">
        <f>RIGHT(CONCATENATE(0,#REF!),7)</f>
        <v>#REF!</v>
      </c>
    </row>
    <row r="65" spans="2:669" hidden="1">
      <c r="C65" s="52"/>
      <c r="D65" s="59"/>
      <c r="F65" s="60"/>
      <c r="L65" s="57"/>
      <c r="M65" s="55"/>
      <c r="S65" s="243">
        <v>5400</v>
      </c>
      <c r="T65" s="268">
        <v>15700</v>
      </c>
      <c r="U65" s="96" t="s">
        <v>328</v>
      </c>
      <c r="V65" s="96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22">
        <f t="shared" si="13"/>
        <v>1962</v>
      </c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  <c r="DI65" s="231"/>
      <c r="DJ65" s="231"/>
      <c r="DK65" s="231"/>
      <c r="DL65" s="231"/>
      <c r="DM65" s="231"/>
      <c r="DN65" s="231"/>
      <c r="DO65" s="231"/>
      <c r="DP65" s="231"/>
      <c r="DQ65" s="231"/>
      <c r="DR65" s="231"/>
      <c r="DS65" s="231"/>
      <c r="DT65" s="231"/>
      <c r="DU65" s="231"/>
      <c r="DV65" s="231"/>
      <c r="DW65" s="231"/>
      <c r="YS65" s="38" t="e">
        <f>RIGHT(CONCATENATE(0,#REF!),7)</f>
        <v>#REF!</v>
      </c>
    </row>
    <row r="66" spans="2:669" hidden="1">
      <c r="C66" s="52"/>
      <c r="D66" s="59"/>
      <c r="L66" s="57"/>
      <c r="S66" s="269">
        <v>6700</v>
      </c>
      <c r="T66" s="269">
        <v>6900</v>
      </c>
      <c r="U66" s="269">
        <v>7100</v>
      </c>
      <c r="V66" s="269">
        <v>7300</v>
      </c>
      <c r="W66" s="222">
        <f>VLOOKUP(ROUND(SUM(S66,S66*63.344%,S66*43%),0),$X$67:$Y$152,2,TRUE)</f>
        <v>14170</v>
      </c>
      <c r="X66" s="717">
        <v>0</v>
      </c>
      <c r="Y66" s="718">
        <f>X67</f>
        <v>13000</v>
      </c>
      <c r="Z66" s="222">
        <f>Y67</f>
        <v>13390</v>
      </c>
      <c r="AA66" s="222">
        <f>Z67</f>
        <v>13780</v>
      </c>
      <c r="AB66" s="722">
        <f>VLOOKUP(H4,AA67:AB149,2,FALSE)</f>
        <v>25600</v>
      </c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22">
        <f t="shared" si="13"/>
        <v>1963</v>
      </c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231"/>
      <c r="DN66" s="231"/>
      <c r="DO66" s="231"/>
      <c r="DP66" s="231"/>
      <c r="DQ66" s="231"/>
      <c r="DR66" s="231"/>
      <c r="DS66" s="231"/>
      <c r="DT66" s="231"/>
      <c r="DU66" s="231"/>
      <c r="DV66" s="231"/>
      <c r="DW66" s="231"/>
      <c r="YS66" s="38" t="e">
        <f>RIGHT(CONCATENATE(0,#REF!),7)</f>
        <v>#REF!</v>
      </c>
    </row>
    <row r="67" spans="2:669" hidden="1">
      <c r="C67" s="52"/>
      <c r="L67" s="57"/>
      <c r="S67" s="270">
        <v>6900</v>
      </c>
      <c r="T67" s="270">
        <v>7100</v>
      </c>
      <c r="U67" s="270">
        <v>7300</v>
      </c>
      <c r="V67" s="270">
        <v>7520</v>
      </c>
      <c r="W67" s="222">
        <f t="shared" ref="W67:W130" si="14">VLOOKUP(ROUND(SUM(S67,S67*63.344%,S67*43%),0),$X$67:$Y$152,2,TRUE)</f>
        <v>14600</v>
      </c>
      <c r="X67" s="719">
        <v>13000</v>
      </c>
      <c r="Y67" s="718">
        <f>X68</f>
        <v>13390</v>
      </c>
      <c r="Z67" s="222">
        <f t="shared" ref="Z67:AA98" si="15">Y68</f>
        <v>13780</v>
      </c>
      <c r="AA67" s="222">
        <f t="shared" si="15"/>
        <v>14170</v>
      </c>
      <c r="AB67" s="222">
        <f>S66</f>
        <v>6700</v>
      </c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231"/>
      <c r="BT67" s="231"/>
      <c r="BU67" s="231"/>
      <c r="BV67" s="222">
        <f t="shared" si="13"/>
        <v>1964</v>
      </c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1"/>
      <c r="CL67" s="231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1"/>
      <c r="DE67" s="231"/>
      <c r="DF67" s="231"/>
      <c r="DG67" s="231"/>
      <c r="DH67" s="231"/>
      <c r="DI67" s="231"/>
      <c r="DJ67" s="231"/>
      <c r="DK67" s="231"/>
      <c r="DL67" s="231"/>
      <c r="DM67" s="231"/>
      <c r="DN67" s="231"/>
      <c r="DO67" s="231"/>
      <c r="DP67" s="231"/>
      <c r="DQ67" s="231"/>
      <c r="DR67" s="231"/>
      <c r="DS67" s="231"/>
      <c r="DT67" s="231"/>
      <c r="DU67" s="231"/>
      <c r="DV67" s="231"/>
      <c r="DW67" s="231"/>
      <c r="YS67" s="38" t="e">
        <f>RIGHT(CONCATENATE(0,#REF!),7)</f>
        <v>#REF!</v>
      </c>
    </row>
    <row r="68" spans="2:669" hidden="1">
      <c r="C68" s="52"/>
      <c r="L68" s="57"/>
      <c r="S68" s="270">
        <v>7100</v>
      </c>
      <c r="T68" s="270">
        <v>7300</v>
      </c>
      <c r="U68" s="270">
        <v>7520</v>
      </c>
      <c r="V68" s="270">
        <v>7740</v>
      </c>
      <c r="W68" s="222">
        <f t="shared" si="14"/>
        <v>15030</v>
      </c>
      <c r="X68" s="720">
        <f>IF(X67&gt;=SUM(110850,5*2520),"",IF(X67&gt;=100770,X67+2520,IF(X67&gt;=91450,X67+2330,IF(X67&gt;=84970,X67+2160,IF(X67&gt;=78910,X67+2020,IF(X67&gt;=73270,X67+1880,IF(X67&gt;=67990,X67+1760,IF(X67&gt;=63010,X67+1660,IF(X67&gt;=58330,X67+1560,IF(X67&gt;=53950,X67+1460,IF(X67&gt;=49870,X67+1360,IF(X67&gt;=46060,X67+1270,IF(X67&gt;=42490,X67+1190,IF(X67&gt;=39160,X67+1110,IF(X67&gt;=36070,X67+1030,IF(X67&gt;=33220,X67+950,IF(X67&gt;=30580,X67+880,IF(X67&gt;=28120,X67+820,IF(X67&gt;=25840,X67+760,IF(X67&gt;=23740,X67+700,IF(X67&gt;=21820,X67+640,IF(X67&gt;=20050,X67+590,IF(X67&gt;=18400,X67+550,IF(X67&gt;=16870,X67+510,IF(X67&gt;=15460,X67+470,IF(X67&gt;=14170,X67+430,IF(X67&gt;=13000,X67+390,0)))))))))))))))))))))))))))</f>
        <v>13390</v>
      </c>
      <c r="Y68" s="718">
        <f t="shared" ref="Y68:Y131" si="16">X69</f>
        <v>13780</v>
      </c>
      <c r="Z68" s="222">
        <f t="shared" si="15"/>
        <v>14170</v>
      </c>
      <c r="AA68" s="222">
        <f t="shared" si="15"/>
        <v>14600</v>
      </c>
      <c r="AB68" s="222">
        <f t="shared" ref="AB68:AB131" si="17">S67</f>
        <v>6900</v>
      </c>
      <c r="AX68" s="231"/>
      <c r="AY68" s="231"/>
      <c r="AZ68" s="231"/>
      <c r="BA68" s="231"/>
      <c r="BB68" s="231"/>
      <c r="BC68" s="231"/>
      <c r="BD68" s="231"/>
      <c r="BE68" s="231"/>
      <c r="BF68" s="231"/>
      <c r="BG68" s="231"/>
      <c r="BH68" s="231"/>
      <c r="BI68" s="231"/>
      <c r="BJ68" s="231"/>
      <c r="BK68" s="231"/>
      <c r="BL68" s="231"/>
      <c r="BM68" s="231"/>
      <c r="BN68" s="231"/>
      <c r="BO68" s="231"/>
      <c r="BP68" s="231"/>
      <c r="BQ68" s="231"/>
      <c r="BR68" s="231"/>
      <c r="BS68" s="231"/>
      <c r="BT68" s="231"/>
      <c r="BU68" s="231"/>
      <c r="BV68" s="222">
        <f t="shared" si="13"/>
        <v>1965</v>
      </c>
      <c r="BW68" s="231"/>
      <c r="BX68" s="231"/>
      <c r="BY68" s="231"/>
      <c r="BZ68" s="231"/>
      <c r="CA68" s="231"/>
      <c r="CB68" s="231"/>
      <c r="CC68" s="231"/>
      <c r="CD68" s="231"/>
      <c r="CE68" s="231"/>
      <c r="CF68" s="231"/>
      <c r="CG68" s="231"/>
      <c r="CH68" s="231"/>
      <c r="CI68" s="231"/>
      <c r="CJ68" s="231"/>
      <c r="CK68" s="231"/>
      <c r="CL68" s="231"/>
      <c r="CM68" s="231"/>
      <c r="CN68" s="231"/>
      <c r="CO68" s="231"/>
      <c r="CP68" s="231"/>
      <c r="CQ68" s="231"/>
      <c r="CR68" s="231"/>
      <c r="CS68" s="231"/>
      <c r="CT68" s="231"/>
      <c r="CU68" s="231"/>
      <c r="CV68" s="231"/>
      <c r="CW68" s="231"/>
      <c r="CX68" s="231"/>
      <c r="CY68" s="231"/>
      <c r="CZ68" s="231"/>
      <c r="DA68" s="231"/>
      <c r="DB68" s="231"/>
      <c r="DC68" s="231"/>
      <c r="DD68" s="231"/>
      <c r="DE68" s="231"/>
      <c r="DF68" s="231"/>
      <c r="DG68" s="231"/>
      <c r="DH68" s="231"/>
      <c r="DI68" s="231"/>
      <c r="DJ68" s="231"/>
      <c r="DK68" s="231"/>
      <c r="DL68" s="231"/>
      <c r="DM68" s="231"/>
      <c r="DN68" s="231"/>
      <c r="DO68" s="231"/>
      <c r="DP68" s="231"/>
      <c r="DQ68" s="231"/>
      <c r="DR68" s="231"/>
      <c r="DS68" s="231"/>
      <c r="DT68" s="231"/>
      <c r="DU68" s="231"/>
      <c r="DV68" s="231"/>
      <c r="DW68" s="231"/>
      <c r="YS68" s="38" t="e">
        <f>RIGHT(CONCATENATE(0,#REF!),7)</f>
        <v>#REF!</v>
      </c>
    </row>
    <row r="69" spans="2:669" hidden="1">
      <c r="E69" s="62"/>
      <c r="G69" s="36"/>
      <c r="H69" s="62"/>
      <c r="L69" s="57"/>
      <c r="S69" s="270">
        <v>7300</v>
      </c>
      <c r="T69" s="270">
        <v>7520</v>
      </c>
      <c r="U69" s="270">
        <v>7740</v>
      </c>
      <c r="V69" s="270">
        <v>7960</v>
      </c>
      <c r="W69" s="222">
        <f t="shared" si="14"/>
        <v>15460</v>
      </c>
      <c r="X69" s="720">
        <f t="shared" ref="X69:X132" si="18">IF(X68&gt;=SUM(110850,5*2520),"",IF(X68&gt;=100770,X68+2520,IF(X68&gt;=91450,X68+2330,IF(X68&gt;=84970,X68+2160,IF(X68&gt;=78910,X68+2020,IF(X68&gt;=73270,X68+1880,IF(X68&gt;=67990,X68+1760,IF(X68&gt;=63010,X68+1660,IF(X68&gt;=58330,X68+1560,IF(X68&gt;=53950,X68+1460,IF(X68&gt;=49870,X68+1360,IF(X68&gt;=46060,X68+1270,IF(X68&gt;=42490,X68+1190,IF(X68&gt;=39160,X68+1110,IF(X68&gt;=36070,X68+1030,IF(X68&gt;=33220,X68+950,IF(X68&gt;=30580,X68+880,IF(X68&gt;=28120,X68+820,IF(X68&gt;=25840,X68+760,IF(X68&gt;=23740,X68+700,IF(X68&gt;=21820,X68+640,IF(X68&gt;=20050,X68+590,IF(X68&gt;=18400,X68+550,IF(X68&gt;=16870,X68+510,IF(X68&gt;=15460,X68+470,IF(X68&gt;=14170,X68+430,IF(X68&gt;=13000,X68+390,0)))))))))))))))))))))))))))</f>
        <v>13780</v>
      </c>
      <c r="Y69" s="718">
        <f t="shared" si="16"/>
        <v>14170</v>
      </c>
      <c r="Z69" s="222">
        <f t="shared" si="15"/>
        <v>14600</v>
      </c>
      <c r="AA69" s="222">
        <f t="shared" si="15"/>
        <v>15030</v>
      </c>
      <c r="AB69" s="222">
        <f t="shared" si="17"/>
        <v>7100</v>
      </c>
      <c r="AX69" s="231"/>
      <c r="AY69" s="231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31"/>
      <c r="BS69" s="231"/>
      <c r="BT69" s="231"/>
      <c r="BU69" s="231"/>
      <c r="BV69" s="222">
        <f t="shared" si="13"/>
        <v>1966</v>
      </c>
      <c r="BW69" s="231"/>
      <c r="BX69" s="231"/>
      <c r="BY69" s="231"/>
      <c r="BZ69" s="231"/>
      <c r="CA69" s="231"/>
      <c r="CB69" s="231"/>
      <c r="CC69" s="231"/>
      <c r="CD69" s="231"/>
      <c r="CE69" s="231"/>
      <c r="CF69" s="231"/>
      <c r="CG69" s="231"/>
      <c r="CH69" s="231"/>
      <c r="CI69" s="231"/>
      <c r="CJ69" s="231"/>
      <c r="CK69" s="231"/>
      <c r="CL69" s="231"/>
      <c r="CM69" s="231"/>
      <c r="CN69" s="231"/>
      <c r="CO69" s="231"/>
      <c r="CP69" s="231"/>
      <c r="CQ69" s="231"/>
      <c r="CR69" s="231"/>
      <c r="CS69" s="231"/>
      <c r="CT69" s="231"/>
      <c r="CU69" s="231"/>
      <c r="CV69" s="231"/>
      <c r="CW69" s="231"/>
      <c r="CX69" s="231"/>
      <c r="CY69" s="231"/>
      <c r="CZ69" s="231"/>
      <c r="DA69" s="231"/>
      <c r="DB69" s="231"/>
      <c r="DC69" s="231"/>
      <c r="DD69" s="231"/>
      <c r="DE69" s="231"/>
      <c r="DF69" s="231"/>
      <c r="DG69" s="231"/>
      <c r="DH69" s="231"/>
      <c r="DI69" s="231"/>
      <c r="DJ69" s="231"/>
      <c r="DK69" s="231"/>
      <c r="DL69" s="231"/>
      <c r="DM69" s="231"/>
      <c r="DN69" s="231"/>
      <c r="DO69" s="231"/>
      <c r="DP69" s="231"/>
      <c r="DQ69" s="231"/>
      <c r="DR69" s="231"/>
      <c r="DS69" s="231"/>
      <c r="DT69" s="231"/>
      <c r="DU69" s="231"/>
      <c r="DV69" s="231"/>
      <c r="DW69" s="231"/>
      <c r="YS69" s="38" t="e">
        <f>RIGHT(CONCATENATE(0,#REF!),7)</f>
        <v>#REF!</v>
      </c>
    </row>
    <row r="70" spans="2:669" hidden="1">
      <c r="B70" s="63"/>
      <c r="C70" s="48"/>
      <c r="D70" s="56"/>
      <c r="E70" s="62"/>
      <c r="G70" s="36"/>
      <c r="I70" s="57"/>
      <c r="J70" s="57"/>
      <c r="K70" s="57"/>
      <c r="L70" s="57"/>
      <c r="S70" s="270">
        <v>7520</v>
      </c>
      <c r="T70" s="270">
        <v>7740</v>
      </c>
      <c r="U70" s="270">
        <v>7960</v>
      </c>
      <c r="V70" s="270">
        <v>8200</v>
      </c>
      <c r="W70" s="222">
        <f t="shared" si="14"/>
        <v>15930</v>
      </c>
      <c r="X70" s="720">
        <f t="shared" si="18"/>
        <v>14170</v>
      </c>
      <c r="Y70" s="718">
        <f t="shared" si="16"/>
        <v>14600</v>
      </c>
      <c r="Z70" s="222">
        <f t="shared" si="15"/>
        <v>15030</v>
      </c>
      <c r="AA70" s="222">
        <f t="shared" si="15"/>
        <v>15460</v>
      </c>
      <c r="AB70" s="222">
        <f t="shared" si="17"/>
        <v>7300</v>
      </c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1"/>
      <c r="BO70" s="231"/>
      <c r="BP70" s="231"/>
      <c r="BQ70" s="231"/>
      <c r="BR70" s="231"/>
      <c r="BS70" s="231"/>
      <c r="BT70" s="231"/>
      <c r="BU70" s="231"/>
      <c r="BV70" s="222">
        <f t="shared" ref="BV70:BV133" si="19">BV69+1</f>
        <v>1967</v>
      </c>
      <c r="BW70" s="231"/>
      <c r="BX70" s="231"/>
      <c r="BY70" s="231"/>
      <c r="BZ70" s="231"/>
      <c r="CA70" s="231"/>
      <c r="CB70" s="231"/>
      <c r="CC70" s="231"/>
      <c r="CD70" s="231"/>
      <c r="CE70" s="231"/>
      <c r="CF70" s="231"/>
      <c r="CG70" s="231"/>
      <c r="CH70" s="231"/>
      <c r="CI70" s="231"/>
      <c r="CJ70" s="231"/>
      <c r="CK70" s="231"/>
      <c r="CL70" s="231"/>
      <c r="CM70" s="231"/>
      <c r="CN70" s="231"/>
      <c r="CO70" s="231"/>
      <c r="CP70" s="231"/>
      <c r="CQ70" s="231"/>
      <c r="CR70" s="231"/>
      <c r="CS70" s="231"/>
      <c r="CT70" s="231"/>
      <c r="CU70" s="231"/>
      <c r="CV70" s="231"/>
      <c r="CW70" s="231"/>
      <c r="CX70" s="231"/>
      <c r="CY70" s="231"/>
      <c r="CZ70" s="231"/>
      <c r="DA70" s="231"/>
      <c r="DB70" s="231"/>
      <c r="DC70" s="231"/>
      <c r="DD70" s="231"/>
      <c r="DE70" s="231"/>
      <c r="DF70" s="231"/>
      <c r="DG70" s="231"/>
      <c r="DH70" s="231"/>
      <c r="DI70" s="231"/>
      <c r="DJ70" s="231"/>
      <c r="DK70" s="231"/>
      <c r="DL70" s="231"/>
      <c r="DM70" s="231"/>
      <c r="DN70" s="231"/>
      <c r="DO70" s="231"/>
      <c r="DP70" s="231"/>
      <c r="DQ70" s="231"/>
      <c r="DR70" s="231"/>
      <c r="DS70" s="231"/>
      <c r="DT70" s="231"/>
      <c r="DU70" s="231"/>
      <c r="DV70" s="231"/>
      <c r="DW70" s="231"/>
      <c r="YS70" s="38" t="e">
        <f>RIGHT(CONCATENATE(0,#REF!),7)</f>
        <v>#REF!</v>
      </c>
    </row>
    <row r="71" spans="2:669" hidden="1">
      <c r="B71" s="63"/>
      <c r="C71" s="52"/>
      <c r="E71" s="62"/>
      <c r="G71" s="36"/>
      <c r="I71" s="57"/>
      <c r="J71" s="57"/>
      <c r="K71" s="57"/>
      <c r="L71" s="57"/>
      <c r="S71" s="270">
        <v>7740</v>
      </c>
      <c r="T71" s="270">
        <v>7960</v>
      </c>
      <c r="U71" s="270">
        <v>8200</v>
      </c>
      <c r="V71" s="270">
        <v>8440</v>
      </c>
      <c r="W71" s="222">
        <f t="shared" si="14"/>
        <v>16400</v>
      </c>
      <c r="X71" s="720">
        <f t="shared" si="18"/>
        <v>14600</v>
      </c>
      <c r="Y71" s="718">
        <f t="shared" si="16"/>
        <v>15030</v>
      </c>
      <c r="Z71" s="222">
        <f t="shared" si="15"/>
        <v>15460</v>
      </c>
      <c r="AA71" s="222">
        <f t="shared" si="15"/>
        <v>15930</v>
      </c>
      <c r="AB71" s="222">
        <f t="shared" si="17"/>
        <v>7520</v>
      </c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31"/>
      <c r="BS71" s="231"/>
      <c r="BT71" s="231"/>
      <c r="BU71" s="231"/>
      <c r="BV71" s="222">
        <f t="shared" si="19"/>
        <v>1968</v>
      </c>
      <c r="BW71" s="231"/>
      <c r="BX71" s="231"/>
      <c r="BY71" s="231"/>
      <c r="BZ71" s="231"/>
      <c r="CA71" s="231"/>
      <c r="CB71" s="231"/>
      <c r="CC71" s="231"/>
      <c r="CD71" s="231"/>
      <c r="CE71" s="231"/>
      <c r="CF71" s="231"/>
      <c r="CG71" s="231"/>
      <c r="CH71" s="231"/>
      <c r="CI71" s="231"/>
      <c r="CJ71" s="231"/>
      <c r="CK71" s="231"/>
      <c r="CL71" s="231"/>
      <c r="CM71" s="231"/>
      <c r="CN71" s="231"/>
      <c r="CO71" s="231"/>
      <c r="CP71" s="231"/>
      <c r="CQ71" s="231"/>
      <c r="CR71" s="231"/>
      <c r="CS71" s="231"/>
      <c r="CT71" s="231"/>
      <c r="CU71" s="231"/>
      <c r="CV71" s="231"/>
      <c r="CW71" s="231"/>
      <c r="CX71" s="231"/>
      <c r="CY71" s="231"/>
      <c r="CZ71" s="231"/>
      <c r="DA71" s="231"/>
      <c r="DB71" s="231"/>
      <c r="DC71" s="231"/>
      <c r="DD71" s="231"/>
      <c r="DE71" s="231"/>
      <c r="DF71" s="231"/>
      <c r="DG71" s="231"/>
      <c r="DH71" s="231"/>
      <c r="DI71" s="231"/>
      <c r="DJ71" s="231"/>
      <c r="DK71" s="231"/>
      <c r="DL71" s="231"/>
      <c r="DM71" s="231"/>
      <c r="DN71" s="231"/>
      <c r="DO71" s="231"/>
      <c r="DP71" s="231"/>
      <c r="DQ71" s="231"/>
      <c r="DR71" s="231"/>
      <c r="DS71" s="231"/>
      <c r="DT71" s="231"/>
      <c r="DU71" s="231"/>
      <c r="DV71" s="231"/>
      <c r="DW71" s="231"/>
      <c r="YS71" s="38" t="e">
        <f>RIGHT(CONCATENATE(0,#REF!),7)</f>
        <v>#REF!</v>
      </c>
    </row>
    <row r="72" spans="2:669" hidden="1">
      <c r="B72" s="64"/>
      <c r="C72" s="52"/>
      <c r="E72" s="62"/>
      <c r="G72" s="36"/>
      <c r="I72" s="57"/>
      <c r="J72" s="57"/>
      <c r="K72" s="57"/>
      <c r="L72" s="57"/>
      <c r="S72" s="270">
        <v>7960</v>
      </c>
      <c r="T72" s="270">
        <v>8200</v>
      </c>
      <c r="U72" s="270">
        <v>8440</v>
      </c>
      <c r="V72" s="270">
        <v>8680</v>
      </c>
      <c r="W72" s="222">
        <f t="shared" si="14"/>
        <v>16870</v>
      </c>
      <c r="X72" s="720">
        <f t="shared" si="18"/>
        <v>15030</v>
      </c>
      <c r="Y72" s="718">
        <f t="shared" si="16"/>
        <v>15460</v>
      </c>
      <c r="Z72" s="222">
        <f t="shared" si="15"/>
        <v>15930</v>
      </c>
      <c r="AA72" s="222">
        <f t="shared" si="15"/>
        <v>16400</v>
      </c>
      <c r="AB72" s="222">
        <f t="shared" si="17"/>
        <v>7740</v>
      </c>
      <c r="AX72" s="231"/>
      <c r="AY72" s="231"/>
      <c r="AZ72" s="231"/>
      <c r="BA72" s="231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1"/>
      <c r="BP72" s="231"/>
      <c r="BQ72" s="231"/>
      <c r="BR72" s="231"/>
      <c r="BS72" s="231"/>
      <c r="BT72" s="231"/>
      <c r="BU72" s="231"/>
      <c r="BV72" s="222">
        <f t="shared" si="19"/>
        <v>1969</v>
      </c>
      <c r="BW72" s="231"/>
      <c r="BX72" s="231"/>
      <c r="BY72" s="231"/>
      <c r="BZ72" s="231"/>
      <c r="CA72" s="231"/>
      <c r="CB72" s="231"/>
      <c r="CC72" s="231"/>
      <c r="CD72" s="231"/>
      <c r="CE72" s="231"/>
      <c r="CF72" s="231"/>
      <c r="CG72" s="231"/>
      <c r="CH72" s="231"/>
      <c r="CI72" s="231"/>
      <c r="CJ72" s="231"/>
      <c r="CK72" s="231"/>
      <c r="CL72" s="231"/>
      <c r="CM72" s="231"/>
      <c r="CN72" s="231"/>
      <c r="CO72" s="231"/>
      <c r="CP72" s="231"/>
      <c r="CQ72" s="231"/>
      <c r="CR72" s="231"/>
      <c r="CS72" s="231"/>
      <c r="CT72" s="231"/>
      <c r="CU72" s="231"/>
      <c r="CV72" s="231"/>
      <c r="CW72" s="231"/>
      <c r="CX72" s="231"/>
      <c r="CY72" s="231"/>
      <c r="CZ72" s="231"/>
      <c r="DA72" s="231"/>
      <c r="DB72" s="231"/>
      <c r="DC72" s="231"/>
      <c r="DD72" s="231"/>
      <c r="DE72" s="231"/>
      <c r="DF72" s="231"/>
      <c r="DG72" s="231"/>
      <c r="DH72" s="231"/>
      <c r="DI72" s="231"/>
      <c r="DJ72" s="231"/>
      <c r="DK72" s="231"/>
      <c r="DL72" s="231"/>
      <c r="DM72" s="231"/>
      <c r="DN72" s="231"/>
      <c r="DO72" s="231"/>
      <c r="DP72" s="231"/>
      <c r="DQ72" s="231"/>
      <c r="DR72" s="231"/>
      <c r="DS72" s="231"/>
      <c r="DT72" s="231"/>
      <c r="DU72" s="231"/>
      <c r="DV72" s="231"/>
      <c r="DW72" s="231"/>
      <c r="YS72" s="38" t="e">
        <f>RIGHT(CONCATENATE(0,#REF!),7)</f>
        <v>#REF!</v>
      </c>
    </row>
    <row r="73" spans="2:669" hidden="1">
      <c r="C73" s="52"/>
      <c r="E73" s="62"/>
      <c r="G73" s="36"/>
      <c r="I73" s="57"/>
      <c r="J73" s="57"/>
      <c r="K73" s="57"/>
      <c r="L73" s="57"/>
      <c r="S73" s="270">
        <v>8200</v>
      </c>
      <c r="T73" s="270">
        <v>8440</v>
      </c>
      <c r="U73" s="270">
        <v>8680</v>
      </c>
      <c r="V73" s="270">
        <v>8940</v>
      </c>
      <c r="W73" s="222">
        <f t="shared" si="14"/>
        <v>17380</v>
      </c>
      <c r="X73" s="720">
        <f t="shared" si="18"/>
        <v>15460</v>
      </c>
      <c r="Y73" s="718">
        <f t="shared" si="16"/>
        <v>15930</v>
      </c>
      <c r="Z73" s="222">
        <f t="shared" si="15"/>
        <v>16400</v>
      </c>
      <c r="AA73" s="222">
        <f t="shared" si="15"/>
        <v>16870</v>
      </c>
      <c r="AB73" s="222">
        <f t="shared" si="17"/>
        <v>7960</v>
      </c>
      <c r="AX73" s="231"/>
      <c r="AY73" s="231"/>
      <c r="AZ73" s="231"/>
      <c r="BA73" s="231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1"/>
      <c r="BT73" s="231"/>
      <c r="BU73" s="231"/>
      <c r="BV73" s="222">
        <f t="shared" si="19"/>
        <v>1970</v>
      </c>
      <c r="BW73" s="231"/>
      <c r="BX73" s="231"/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231"/>
      <c r="CJ73" s="231"/>
      <c r="CK73" s="231"/>
      <c r="CL73" s="231"/>
      <c r="CM73" s="231"/>
      <c r="CN73" s="231"/>
      <c r="CO73" s="231"/>
      <c r="CP73" s="231"/>
      <c r="CQ73" s="231"/>
      <c r="CR73" s="231"/>
      <c r="CS73" s="231"/>
      <c r="CT73" s="231"/>
      <c r="CU73" s="231"/>
      <c r="CV73" s="231"/>
      <c r="CW73" s="231"/>
      <c r="CX73" s="231"/>
      <c r="CY73" s="231"/>
      <c r="CZ73" s="231"/>
      <c r="DA73" s="231"/>
      <c r="DB73" s="231"/>
      <c r="DC73" s="231"/>
      <c r="DD73" s="231"/>
      <c r="DE73" s="231"/>
      <c r="DF73" s="231"/>
      <c r="DG73" s="231"/>
      <c r="DH73" s="231"/>
      <c r="DI73" s="231"/>
      <c r="DJ73" s="231"/>
      <c r="DK73" s="231"/>
      <c r="DL73" s="231"/>
      <c r="DM73" s="231"/>
      <c r="DN73" s="231"/>
      <c r="DO73" s="231"/>
      <c r="DP73" s="231"/>
      <c r="DQ73" s="231"/>
      <c r="DR73" s="231"/>
      <c r="DS73" s="231"/>
      <c r="DT73" s="231"/>
      <c r="DU73" s="231"/>
      <c r="DV73" s="231"/>
      <c r="DW73" s="231"/>
      <c r="YS73" s="38" t="e">
        <f>RIGHT(CONCATENATE(0,#REF!),7)</f>
        <v>#REF!</v>
      </c>
    </row>
    <row r="74" spans="2:669" hidden="1">
      <c r="C74" s="52"/>
      <c r="E74" s="62"/>
      <c r="G74" s="36"/>
      <c r="I74" s="57"/>
      <c r="J74" s="57"/>
      <c r="K74" s="57"/>
      <c r="L74" s="57"/>
      <c r="S74" s="270">
        <v>8440</v>
      </c>
      <c r="T74" s="270">
        <v>8680</v>
      </c>
      <c r="U74" s="270">
        <v>8940</v>
      </c>
      <c r="V74" s="270">
        <v>9200</v>
      </c>
      <c r="W74" s="222">
        <f t="shared" si="14"/>
        <v>17890</v>
      </c>
      <c r="X74" s="720">
        <f t="shared" si="18"/>
        <v>15930</v>
      </c>
      <c r="Y74" s="718">
        <f t="shared" si="16"/>
        <v>16400</v>
      </c>
      <c r="Z74" s="222">
        <f t="shared" si="15"/>
        <v>16870</v>
      </c>
      <c r="AA74" s="222">
        <f t="shared" si="15"/>
        <v>17380</v>
      </c>
      <c r="AB74" s="222">
        <f t="shared" si="17"/>
        <v>8200</v>
      </c>
      <c r="AX74" s="231"/>
      <c r="AY74" s="231"/>
      <c r="AZ74" s="231"/>
      <c r="BA74" s="231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  <c r="BU74" s="231"/>
      <c r="BV74" s="222">
        <f t="shared" si="19"/>
        <v>1971</v>
      </c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1"/>
      <c r="CL74" s="231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1"/>
      <c r="DE74" s="231"/>
      <c r="DF74" s="231"/>
      <c r="DG74" s="231"/>
      <c r="DH74" s="231"/>
      <c r="DI74" s="231"/>
      <c r="DJ74" s="231"/>
      <c r="DK74" s="231"/>
      <c r="DL74" s="231"/>
      <c r="DM74" s="231"/>
      <c r="DN74" s="231"/>
      <c r="DO74" s="231"/>
      <c r="DP74" s="231"/>
      <c r="DQ74" s="231"/>
      <c r="DR74" s="231"/>
      <c r="DS74" s="231"/>
      <c r="DT74" s="231"/>
      <c r="DU74" s="231"/>
      <c r="DV74" s="231"/>
      <c r="DW74" s="231"/>
      <c r="YS74" s="38" t="e">
        <f>RIGHT(CONCATENATE(0,#REF!),7)</f>
        <v>#REF!</v>
      </c>
    </row>
    <row r="75" spans="2:669" hidden="1">
      <c r="C75" s="52"/>
      <c r="E75" s="62"/>
      <c r="G75" s="36"/>
      <c r="I75" s="57"/>
      <c r="J75" s="57"/>
      <c r="K75" s="57"/>
      <c r="L75" s="57"/>
      <c r="S75" s="270">
        <v>8680</v>
      </c>
      <c r="T75" s="270">
        <v>8940</v>
      </c>
      <c r="U75" s="270">
        <v>9200</v>
      </c>
      <c r="V75" s="270">
        <v>9460</v>
      </c>
      <c r="W75" s="222">
        <f t="shared" si="14"/>
        <v>18400</v>
      </c>
      <c r="X75" s="720">
        <f t="shared" si="18"/>
        <v>16400</v>
      </c>
      <c r="Y75" s="718">
        <f t="shared" si="16"/>
        <v>16870</v>
      </c>
      <c r="Z75" s="222">
        <f t="shared" si="15"/>
        <v>17380</v>
      </c>
      <c r="AA75" s="222">
        <f t="shared" si="15"/>
        <v>17890</v>
      </c>
      <c r="AB75" s="222">
        <f t="shared" si="17"/>
        <v>8440</v>
      </c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/>
      <c r="BT75" s="231"/>
      <c r="BU75" s="231"/>
      <c r="BV75" s="222">
        <f t="shared" si="19"/>
        <v>1972</v>
      </c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1"/>
      <c r="CL75" s="231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1"/>
      <c r="DB75" s="231"/>
      <c r="DC75" s="231"/>
      <c r="DD75" s="231"/>
      <c r="DE75" s="231"/>
      <c r="DF75" s="231"/>
      <c r="DG75" s="231"/>
      <c r="DH75" s="231"/>
      <c r="DI75" s="231"/>
      <c r="DJ75" s="231"/>
      <c r="DK75" s="231"/>
      <c r="DL75" s="231"/>
      <c r="DM75" s="231"/>
      <c r="DN75" s="231"/>
      <c r="DO75" s="231"/>
      <c r="DP75" s="231"/>
      <c r="DQ75" s="231"/>
      <c r="DR75" s="231"/>
      <c r="DS75" s="231"/>
      <c r="DT75" s="231"/>
      <c r="DU75" s="231"/>
      <c r="DV75" s="231"/>
      <c r="DW75" s="231"/>
      <c r="YS75" s="38" t="e">
        <f>RIGHT(CONCATENATE(0,#REF!),7)</f>
        <v>#REF!</v>
      </c>
    </row>
    <row r="76" spans="2:669" hidden="1">
      <c r="C76" s="52"/>
      <c r="E76" s="62"/>
      <c r="G76" s="36"/>
      <c r="I76" s="57"/>
      <c r="J76" s="57"/>
      <c r="K76" s="57"/>
      <c r="L76" s="57"/>
      <c r="S76" s="270">
        <v>8940</v>
      </c>
      <c r="T76" s="270">
        <v>9200</v>
      </c>
      <c r="U76" s="270">
        <v>9460</v>
      </c>
      <c r="V76" s="270">
        <v>9740</v>
      </c>
      <c r="W76" s="222">
        <f t="shared" si="14"/>
        <v>18950</v>
      </c>
      <c r="X76" s="720">
        <f t="shared" si="18"/>
        <v>16870</v>
      </c>
      <c r="Y76" s="718">
        <f t="shared" si="16"/>
        <v>17380</v>
      </c>
      <c r="Z76" s="222">
        <f t="shared" si="15"/>
        <v>17890</v>
      </c>
      <c r="AA76" s="222">
        <f t="shared" si="15"/>
        <v>18400</v>
      </c>
      <c r="AB76" s="222">
        <f t="shared" si="17"/>
        <v>8680</v>
      </c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22">
        <f t="shared" si="19"/>
        <v>1973</v>
      </c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1"/>
      <c r="CL76" s="231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/>
      <c r="DC76" s="231"/>
      <c r="DD76" s="231"/>
      <c r="DE76" s="231"/>
      <c r="DF76" s="231"/>
      <c r="DG76" s="231"/>
      <c r="DH76" s="231"/>
      <c r="DI76" s="231"/>
      <c r="DJ76" s="231"/>
      <c r="DK76" s="231"/>
      <c r="DL76" s="231"/>
      <c r="DM76" s="231"/>
      <c r="DN76" s="231"/>
      <c r="DO76" s="231"/>
      <c r="DP76" s="231"/>
      <c r="DQ76" s="231"/>
      <c r="DR76" s="231"/>
      <c r="DS76" s="231"/>
      <c r="DT76" s="231"/>
      <c r="DU76" s="231"/>
      <c r="DV76" s="231"/>
      <c r="DW76" s="231"/>
      <c r="YS76" s="38" t="e">
        <f>RIGHT(CONCATENATE(0,#REF!),7)</f>
        <v>#REF!</v>
      </c>
    </row>
    <row r="77" spans="2:669" hidden="1">
      <c r="C77" s="52"/>
      <c r="E77" s="62"/>
      <c r="G77" s="36"/>
      <c r="I77" s="57"/>
      <c r="J77" s="57"/>
      <c r="K77" s="57"/>
      <c r="L77" s="57"/>
      <c r="S77" s="270">
        <v>9200</v>
      </c>
      <c r="T77" s="270">
        <v>9460</v>
      </c>
      <c r="U77" s="270">
        <v>9740</v>
      </c>
      <c r="V77" s="270">
        <v>10020</v>
      </c>
      <c r="W77" s="222">
        <f t="shared" si="14"/>
        <v>19500</v>
      </c>
      <c r="X77" s="720">
        <f t="shared" si="18"/>
        <v>17380</v>
      </c>
      <c r="Y77" s="718">
        <f t="shared" si="16"/>
        <v>17890</v>
      </c>
      <c r="Z77" s="222">
        <f t="shared" si="15"/>
        <v>18400</v>
      </c>
      <c r="AA77" s="222">
        <f t="shared" si="15"/>
        <v>18950</v>
      </c>
      <c r="AB77" s="222">
        <f t="shared" si="17"/>
        <v>8940</v>
      </c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22">
        <f t="shared" si="19"/>
        <v>1974</v>
      </c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1"/>
      <c r="CL77" s="231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1"/>
      <c r="DE77" s="231"/>
      <c r="DF77" s="231"/>
      <c r="DG77" s="231"/>
      <c r="DH77" s="231"/>
      <c r="DI77" s="231"/>
      <c r="DJ77" s="231"/>
      <c r="DK77" s="231"/>
      <c r="DL77" s="231"/>
      <c r="DM77" s="231"/>
      <c r="DN77" s="231"/>
      <c r="DO77" s="231"/>
      <c r="DP77" s="231"/>
      <c r="DQ77" s="231"/>
      <c r="DR77" s="231"/>
      <c r="DS77" s="231"/>
      <c r="DT77" s="231"/>
      <c r="DU77" s="231"/>
      <c r="DV77" s="231"/>
      <c r="DW77" s="231"/>
      <c r="YS77" s="38" t="e">
        <f>RIGHT(CONCATENATE(0,#REF!),7)</f>
        <v>#REF!</v>
      </c>
    </row>
    <row r="78" spans="2:669" hidden="1">
      <c r="C78" s="52"/>
      <c r="I78" s="57"/>
      <c r="J78" s="57"/>
      <c r="K78" s="57"/>
      <c r="L78" s="57"/>
      <c r="S78" s="270">
        <v>9460</v>
      </c>
      <c r="T78" s="270">
        <v>9740</v>
      </c>
      <c r="U78" s="270">
        <v>10020</v>
      </c>
      <c r="V78" s="270">
        <v>10300</v>
      </c>
      <c r="W78" s="222">
        <f t="shared" si="14"/>
        <v>20050</v>
      </c>
      <c r="X78" s="720">
        <f t="shared" si="18"/>
        <v>17890</v>
      </c>
      <c r="Y78" s="718">
        <f t="shared" si="16"/>
        <v>18400</v>
      </c>
      <c r="Z78" s="222">
        <f t="shared" si="15"/>
        <v>18950</v>
      </c>
      <c r="AA78" s="222">
        <f t="shared" si="15"/>
        <v>19500</v>
      </c>
      <c r="AB78" s="222">
        <f t="shared" si="17"/>
        <v>9200</v>
      </c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22">
        <f t="shared" si="19"/>
        <v>1975</v>
      </c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1"/>
      <c r="CJ78" s="231"/>
      <c r="CK78" s="231"/>
      <c r="CL78" s="231"/>
      <c r="CM78" s="231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1"/>
      <c r="DE78" s="231"/>
      <c r="DF78" s="231"/>
      <c r="DG78" s="231"/>
      <c r="DH78" s="231"/>
      <c r="DI78" s="231"/>
      <c r="DJ78" s="231"/>
      <c r="DK78" s="231"/>
      <c r="DL78" s="231"/>
      <c r="DM78" s="231"/>
      <c r="DN78" s="231"/>
      <c r="DO78" s="231"/>
      <c r="DP78" s="231"/>
      <c r="DQ78" s="231"/>
      <c r="DR78" s="231"/>
      <c r="DS78" s="231"/>
      <c r="DT78" s="231"/>
      <c r="DU78" s="231"/>
      <c r="DV78" s="231"/>
      <c r="DW78" s="231"/>
      <c r="YS78" s="38" t="e">
        <f>RIGHT(CONCATENATE(0,#REF!),7)</f>
        <v>#REF!</v>
      </c>
    </row>
    <row r="79" spans="2:669" hidden="1">
      <c r="B79" s="63"/>
      <c r="C79" s="65"/>
      <c r="I79" s="57"/>
      <c r="J79" s="57"/>
      <c r="K79" s="57"/>
      <c r="L79" s="57"/>
      <c r="S79" s="270">
        <v>9740</v>
      </c>
      <c r="T79" s="270">
        <v>10020</v>
      </c>
      <c r="U79" s="270">
        <v>10300</v>
      </c>
      <c r="V79" s="270">
        <v>10600</v>
      </c>
      <c r="W79" s="222">
        <f t="shared" si="14"/>
        <v>20640</v>
      </c>
      <c r="X79" s="720">
        <f t="shared" si="18"/>
        <v>18400</v>
      </c>
      <c r="Y79" s="718">
        <f t="shared" si="16"/>
        <v>18950</v>
      </c>
      <c r="Z79" s="222">
        <f t="shared" si="15"/>
        <v>19500</v>
      </c>
      <c r="AA79" s="222">
        <f t="shared" si="15"/>
        <v>20050</v>
      </c>
      <c r="AB79" s="222">
        <f t="shared" si="17"/>
        <v>9460</v>
      </c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22">
        <f t="shared" si="19"/>
        <v>1976</v>
      </c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  <c r="CG79" s="231"/>
      <c r="CH79" s="231"/>
      <c r="CI79" s="231"/>
      <c r="CJ79" s="231"/>
      <c r="CK79" s="231"/>
      <c r="CL79" s="231"/>
      <c r="CM79" s="231"/>
      <c r="CN79" s="231"/>
      <c r="CO79" s="231"/>
      <c r="CP79" s="231"/>
      <c r="CQ79" s="231"/>
      <c r="CR79" s="231"/>
      <c r="CS79" s="231"/>
      <c r="CT79" s="231"/>
      <c r="CU79" s="231"/>
      <c r="CV79" s="231"/>
      <c r="CW79" s="231"/>
      <c r="CX79" s="231"/>
      <c r="CY79" s="231"/>
      <c r="CZ79" s="231"/>
      <c r="DA79" s="231"/>
      <c r="DB79" s="231"/>
      <c r="DC79" s="231"/>
      <c r="DD79" s="231"/>
      <c r="DE79" s="231"/>
      <c r="DF79" s="231"/>
      <c r="DG79" s="231"/>
      <c r="DH79" s="231"/>
      <c r="DI79" s="231"/>
      <c r="DJ79" s="231"/>
      <c r="DK79" s="231"/>
      <c r="DL79" s="231"/>
      <c r="DM79" s="231"/>
      <c r="DN79" s="231"/>
      <c r="DO79" s="231"/>
      <c r="DP79" s="231"/>
      <c r="DQ79" s="231"/>
      <c r="DR79" s="231"/>
      <c r="DS79" s="231"/>
      <c r="DT79" s="231"/>
      <c r="DU79" s="231"/>
      <c r="DV79" s="231"/>
      <c r="DW79" s="231"/>
      <c r="YS79" s="38" t="e">
        <f>RIGHT(CONCATENATE(0,#REF!),7)</f>
        <v>#REF!</v>
      </c>
    </row>
    <row r="80" spans="2:669" hidden="1">
      <c r="B80" s="63"/>
      <c r="C80" s="65"/>
      <c r="I80" s="57"/>
      <c r="J80" s="57"/>
      <c r="K80" s="57"/>
      <c r="L80" s="57"/>
      <c r="S80" s="270">
        <v>10020</v>
      </c>
      <c r="T80" s="270">
        <v>10300</v>
      </c>
      <c r="U80" s="270">
        <v>10600</v>
      </c>
      <c r="V80" s="270">
        <v>10900</v>
      </c>
      <c r="W80" s="222">
        <f t="shared" si="14"/>
        <v>21230</v>
      </c>
      <c r="X80" s="720">
        <f t="shared" si="18"/>
        <v>18950</v>
      </c>
      <c r="Y80" s="718">
        <f t="shared" si="16"/>
        <v>19500</v>
      </c>
      <c r="Z80" s="222">
        <f t="shared" si="15"/>
        <v>20050</v>
      </c>
      <c r="AA80" s="222">
        <f t="shared" si="15"/>
        <v>20640</v>
      </c>
      <c r="AB80" s="222">
        <f t="shared" si="17"/>
        <v>9740</v>
      </c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22">
        <f t="shared" si="19"/>
        <v>1977</v>
      </c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231"/>
      <c r="CJ80" s="231"/>
      <c r="CK80" s="231"/>
      <c r="CL80" s="231"/>
      <c r="CM80" s="231"/>
      <c r="CN80" s="231"/>
      <c r="CO80" s="231"/>
      <c r="CP80" s="231"/>
      <c r="CQ80" s="231"/>
      <c r="CR80" s="231"/>
      <c r="CS80" s="231"/>
      <c r="CT80" s="231"/>
      <c r="CU80" s="231"/>
      <c r="CV80" s="231"/>
      <c r="CW80" s="231"/>
      <c r="CX80" s="231"/>
      <c r="CY80" s="231"/>
      <c r="CZ80" s="231"/>
      <c r="DA80" s="231"/>
      <c r="DB80" s="231"/>
      <c r="DC80" s="231"/>
      <c r="DD80" s="231"/>
      <c r="DE80" s="231"/>
      <c r="DF80" s="231"/>
      <c r="DG80" s="231"/>
      <c r="DH80" s="231"/>
      <c r="DI80" s="231"/>
      <c r="DJ80" s="231"/>
      <c r="DK80" s="231"/>
      <c r="DL80" s="231"/>
      <c r="DM80" s="231"/>
      <c r="DN80" s="231"/>
      <c r="DO80" s="231"/>
      <c r="DP80" s="231"/>
      <c r="DQ80" s="231"/>
      <c r="DR80" s="231"/>
      <c r="DS80" s="231"/>
      <c r="DT80" s="231"/>
      <c r="DU80" s="231"/>
      <c r="DV80" s="231"/>
      <c r="DW80" s="231"/>
      <c r="YS80" s="38" t="e">
        <f>RIGHT(CONCATENATE(0,#REF!),7)</f>
        <v>#REF!</v>
      </c>
    </row>
    <row r="81" spans="2:669" hidden="1">
      <c r="B81" s="63"/>
      <c r="C81" s="65"/>
      <c r="I81" s="57"/>
      <c r="J81" s="57"/>
      <c r="K81" s="57"/>
      <c r="L81" s="57"/>
      <c r="S81" s="270">
        <v>10300</v>
      </c>
      <c r="T81" s="270">
        <v>10600</v>
      </c>
      <c r="U81" s="270">
        <v>10900</v>
      </c>
      <c r="V81" s="270">
        <v>11200</v>
      </c>
      <c r="W81" s="222">
        <f t="shared" si="14"/>
        <v>21820</v>
      </c>
      <c r="X81" s="720">
        <f t="shared" si="18"/>
        <v>19500</v>
      </c>
      <c r="Y81" s="718">
        <f t="shared" si="16"/>
        <v>20050</v>
      </c>
      <c r="Z81" s="222">
        <f t="shared" si="15"/>
        <v>20640</v>
      </c>
      <c r="AA81" s="222">
        <f t="shared" si="15"/>
        <v>21230</v>
      </c>
      <c r="AB81" s="222">
        <f t="shared" si="17"/>
        <v>10020</v>
      </c>
      <c r="AX81" s="231"/>
      <c r="AY81" s="231"/>
      <c r="AZ81" s="231"/>
      <c r="BA81" s="231"/>
      <c r="BB81" s="231"/>
      <c r="BC81" s="231"/>
      <c r="BD81" s="231"/>
      <c r="BE81" s="231"/>
      <c r="BF81" s="231"/>
      <c r="BG81" s="231"/>
      <c r="BH81" s="231"/>
      <c r="BI81" s="231"/>
      <c r="BJ81" s="231"/>
      <c r="BK81" s="231"/>
      <c r="BL81" s="231"/>
      <c r="BM81" s="231"/>
      <c r="BN81" s="231"/>
      <c r="BO81" s="231"/>
      <c r="BP81" s="231"/>
      <c r="BQ81" s="231"/>
      <c r="BR81" s="231"/>
      <c r="BS81" s="231"/>
      <c r="BT81" s="231"/>
      <c r="BU81" s="231"/>
      <c r="BV81" s="222">
        <f t="shared" si="19"/>
        <v>1978</v>
      </c>
      <c r="BW81" s="231"/>
      <c r="BX81" s="231"/>
      <c r="BY81" s="231"/>
      <c r="BZ81" s="231"/>
      <c r="CA81" s="231"/>
      <c r="CB81" s="231"/>
      <c r="CC81" s="231"/>
      <c r="CD81" s="231"/>
      <c r="CE81" s="231"/>
      <c r="CF81" s="231"/>
      <c r="CG81" s="231"/>
      <c r="CH81" s="231"/>
      <c r="CI81" s="231"/>
      <c r="CJ81" s="231"/>
      <c r="CK81" s="231"/>
      <c r="CL81" s="231"/>
      <c r="CM81" s="231"/>
      <c r="CN81" s="231"/>
      <c r="CO81" s="231"/>
      <c r="CP81" s="231"/>
      <c r="CQ81" s="231"/>
      <c r="CR81" s="231"/>
      <c r="CS81" s="231"/>
      <c r="CT81" s="231"/>
      <c r="CU81" s="231"/>
      <c r="CV81" s="231"/>
      <c r="CW81" s="231"/>
      <c r="CX81" s="231"/>
      <c r="CY81" s="231"/>
      <c r="CZ81" s="231"/>
      <c r="DA81" s="231"/>
      <c r="DB81" s="231"/>
      <c r="DC81" s="231"/>
      <c r="DD81" s="231"/>
      <c r="DE81" s="231"/>
      <c r="DF81" s="231"/>
      <c r="DG81" s="231"/>
      <c r="DH81" s="231"/>
      <c r="DI81" s="231"/>
      <c r="DJ81" s="231"/>
      <c r="DK81" s="231"/>
      <c r="DL81" s="231"/>
      <c r="DM81" s="231"/>
      <c r="DN81" s="231"/>
      <c r="DO81" s="231"/>
      <c r="DP81" s="231"/>
      <c r="DQ81" s="231"/>
      <c r="DR81" s="231"/>
      <c r="DS81" s="231"/>
      <c r="DT81" s="231"/>
      <c r="DU81" s="231"/>
      <c r="DV81" s="231"/>
      <c r="DW81" s="231"/>
      <c r="YS81" s="38" t="e">
        <f>RIGHT(CONCATENATE(0,#REF!),7)</f>
        <v>#REF!</v>
      </c>
    </row>
    <row r="82" spans="2:669" hidden="1">
      <c r="B82" s="63"/>
      <c r="C82" s="65"/>
      <c r="I82" s="57"/>
      <c r="J82" s="57"/>
      <c r="K82" s="57"/>
      <c r="L82" s="57"/>
      <c r="S82" s="270">
        <v>10600</v>
      </c>
      <c r="T82" s="270">
        <v>10900</v>
      </c>
      <c r="U82" s="270">
        <v>11200</v>
      </c>
      <c r="V82" s="270">
        <v>11530</v>
      </c>
      <c r="W82" s="222">
        <f t="shared" si="14"/>
        <v>22460</v>
      </c>
      <c r="X82" s="720">
        <f t="shared" si="18"/>
        <v>20050</v>
      </c>
      <c r="Y82" s="718">
        <f t="shared" si="16"/>
        <v>20640</v>
      </c>
      <c r="Z82" s="222">
        <f t="shared" si="15"/>
        <v>21230</v>
      </c>
      <c r="AA82" s="222">
        <f t="shared" si="15"/>
        <v>21820</v>
      </c>
      <c r="AB82" s="222">
        <f t="shared" si="17"/>
        <v>10300</v>
      </c>
      <c r="AX82" s="231"/>
      <c r="AY82" s="231"/>
      <c r="AZ82" s="231"/>
      <c r="BA82" s="231"/>
      <c r="BB82" s="231"/>
      <c r="BC82" s="231"/>
      <c r="BD82" s="231"/>
      <c r="BE82" s="231"/>
      <c r="BF82" s="231"/>
      <c r="BG82" s="231"/>
      <c r="BH82" s="231"/>
      <c r="BI82" s="231"/>
      <c r="BJ82" s="231"/>
      <c r="BK82" s="231"/>
      <c r="BL82" s="231"/>
      <c r="BM82" s="231"/>
      <c r="BN82" s="231"/>
      <c r="BO82" s="231"/>
      <c r="BP82" s="231"/>
      <c r="BQ82" s="231"/>
      <c r="BR82" s="231"/>
      <c r="BS82" s="231"/>
      <c r="BT82" s="231"/>
      <c r="BU82" s="231"/>
      <c r="BV82" s="222">
        <f t="shared" si="19"/>
        <v>1979</v>
      </c>
      <c r="BW82" s="231"/>
      <c r="BX82" s="231"/>
      <c r="BY82" s="231"/>
      <c r="BZ82" s="231"/>
      <c r="CA82" s="231"/>
      <c r="CB82" s="231"/>
      <c r="CC82" s="231"/>
      <c r="CD82" s="231"/>
      <c r="CE82" s="231"/>
      <c r="CF82" s="231"/>
      <c r="CG82" s="231"/>
      <c r="CH82" s="231"/>
      <c r="CI82" s="231"/>
      <c r="CJ82" s="231"/>
      <c r="CK82" s="231"/>
      <c r="CL82" s="231"/>
      <c r="CM82" s="231"/>
      <c r="CN82" s="231"/>
      <c r="CO82" s="231"/>
      <c r="CP82" s="231"/>
      <c r="CQ82" s="231"/>
      <c r="CR82" s="231"/>
      <c r="CS82" s="231"/>
      <c r="CT82" s="231"/>
      <c r="CU82" s="231"/>
      <c r="CV82" s="231"/>
      <c r="CW82" s="231"/>
      <c r="CX82" s="231"/>
      <c r="CY82" s="231"/>
      <c r="CZ82" s="231"/>
      <c r="DA82" s="231"/>
      <c r="DB82" s="231"/>
      <c r="DC82" s="231"/>
      <c r="DD82" s="231"/>
      <c r="DE82" s="231"/>
      <c r="DF82" s="231"/>
      <c r="DG82" s="231"/>
      <c r="DH82" s="231"/>
      <c r="DI82" s="231"/>
      <c r="DJ82" s="231"/>
      <c r="DK82" s="231"/>
      <c r="DL82" s="231"/>
      <c r="DM82" s="231"/>
      <c r="DN82" s="231"/>
      <c r="DO82" s="231"/>
      <c r="DP82" s="231"/>
      <c r="DQ82" s="231"/>
      <c r="DR82" s="231"/>
      <c r="DS82" s="231"/>
      <c r="DT82" s="231"/>
      <c r="DU82" s="231"/>
      <c r="DV82" s="231"/>
      <c r="DW82" s="231"/>
      <c r="YS82" s="38" t="e">
        <f>RIGHT(CONCATENATE(0,#REF!),7)</f>
        <v>#REF!</v>
      </c>
    </row>
    <row r="83" spans="2:669" hidden="1">
      <c r="B83" s="63"/>
      <c r="C83" s="65"/>
      <c r="I83" s="57"/>
      <c r="J83" s="57"/>
      <c r="K83" s="57"/>
      <c r="L83" s="57"/>
      <c r="S83" s="270">
        <v>10900</v>
      </c>
      <c r="T83" s="270">
        <v>11200</v>
      </c>
      <c r="U83" s="270">
        <v>11530</v>
      </c>
      <c r="V83" s="270">
        <v>11860</v>
      </c>
      <c r="W83" s="222">
        <f t="shared" si="14"/>
        <v>23100</v>
      </c>
      <c r="X83" s="720">
        <f t="shared" si="18"/>
        <v>20640</v>
      </c>
      <c r="Y83" s="718">
        <f t="shared" si="16"/>
        <v>21230</v>
      </c>
      <c r="Z83" s="222">
        <f t="shared" si="15"/>
        <v>21820</v>
      </c>
      <c r="AA83" s="222">
        <f t="shared" si="15"/>
        <v>22460</v>
      </c>
      <c r="AB83" s="222">
        <f t="shared" si="17"/>
        <v>10600</v>
      </c>
      <c r="AX83" s="231"/>
      <c r="AY83" s="231"/>
      <c r="AZ83" s="231"/>
      <c r="BA83" s="231"/>
      <c r="BB83" s="231"/>
      <c r="BC83" s="231"/>
      <c r="BD83" s="231"/>
      <c r="BE83" s="231"/>
      <c r="BF83" s="231"/>
      <c r="BG83" s="231"/>
      <c r="BH83" s="231"/>
      <c r="BI83" s="231"/>
      <c r="BJ83" s="231"/>
      <c r="BK83" s="231"/>
      <c r="BL83" s="231"/>
      <c r="BM83" s="231"/>
      <c r="BN83" s="231"/>
      <c r="BO83" s="231"/>
      <c r="BP83" s="231"/>
      <c r="BQ83" s="231"/>
      <c r="BR83" s="231"/>
      <c r="BS83" s="231"/>
      <c r="BT83" s="231"/>
      <c r="BU83" s="231"/>
      <c r="BV83" s="222">
        <f t="shared" si="19"/>
        <v>1980</v>
      </c>
      <c r="BW83" s="231"/>
      <c r="BX83" s="231"/>
      <c r="BY83" s="231"/>
      <c r="BZ83" s="231"/>
      <c r="CA83" s="231"/>
      <c r="CB83" s="231"/>
      <c r="CC83" s="231"/>
      <c r="CD83" s="231"/>
      <c r="CE83" s="231"/>
      <c r="CF83" s="231"/>
      <c r="CG83" s="231"/>
      <c r="CH83" s="231"/>
      <c r="CI83" s="231"/>
      <c r="CJ83" s="231"/>
      <c r="CK83" s="231"/>
      <c r="CL83" s="231"/>
      <c r="CM83" s="231"/>
      <c r="CN83" s="231"/>
      <c r="CO83" s="231"/>
      <c r="CP83" s="231"/>
      <c r="CQ83" s="231"/>
      <c r="CR83" s="231"/>
      <c r="CS83" s="231"/>
      <c r="CT83" s="231"/>
      <c r="CU83" s="231"/>
      <c r="CV83" s="231"/>
      <c r="CW83" s="231"/>
      <c r="CX83" s="231"/>
      <c r="CY83" s="231"/>
      <c r="CZ83" s="231"/>
      <c r="DA83" s="231"/>
      <c r="DB83" s="231"/>
      <c r="DC83" s="231"/>
      <c r="DD83" s="231"/>
      <c r="DE83" s="231"/>
      <c r="DF83" s="231"/>
      <c r="DG83" s="231"/>
      <c r="DH83" s="231"/>
      <c r="DI83" s="231"/>
      <c r="DJ83" s="231"/>
      <c r="DK83" s="231"/>
      <c r="DL83" s="231"/>
      <c r="DM83" s="231"/>
      <c r="DN83" s="231"/>
      <c r="DO83" s="231"/>
      <c r="DP83" s="231"/>
      <c r="DQ83" s="231"/>
      <c r="DR83" s="231"/>
      <c r="DS83" s="231"/>
      <c r="DT83" s="231"/>
      <c r="DU83" s="231"/>
      <c r="DV83" s="231"/>
      <c r="DW83" s="231"/>
      <c r="YS83" s="38" t="e">
        <f>RIGHT(CONCATENATE(0,#REF!),7)</f>
        <v>#REF!</v>
      </c>
    </row>
    <row r="84" spans="2:669" hidden="1">
      <c r="B84" s="63"/>
      <c r="C84" s="65"/>
      <c r="I84" s="57"/>
      <c r="J84" s="57"/>
      <c r="K84" s="57"/>
      <c r="L84" s="57"/>
      <c r="S84" s="270">
        <v>11200</v>
      </c>
      <c r="T84" s="270">
        <v>11530</v>
      </c>
      <c r="U84" s="270">
        <v>11860</v>
      </c>
      <c r="V84" s="270">
        <v>12190</v>
      </c>
      <c r="W84" s="222">
        <f t="shared" si="14"/>
        <v>23740</v>
      </c>
      <c r="X84" s="720">
        <f t="shared" si="18"/>
        <v>21230</v>
      </c>
      <c r="Y84" s="718">
        <f t="shared" si="16"/>
        <v>21820</v>
      </c>
      <c r="Z84" s="222">
        <f t="shared" si="15"/>
        <v>22460</v>
      </c>
      <c r="AA84" s="222">
        <f t="shared" si="15"/>
        <v>23100</v>
      </c>
      <c r="AB84" s="222">
        <f t="shared" si="17"/>
        <v>10900</v>
      </c>
      <c r="AX84" s="231"/>
      <c r="AY84" s="231"/>
      <c r="AZ84" s="231"/>
      <c r="BA84" s="231"/>
      <c r="BB84" s="231"/>
      <c r="BC84" s="231"/>
      <c r="BD84" s="231"/>
      <c r="BE84" s="231"/>
      <c r="BF84" s="231"/>
      <c r="BG84" s="231"/>
      <c r="BH84" s="231"/>
      <c r="BI84" s="231"/>
      <c r="BJ84" s="231"/>
      <c r="BK84" s="231"/>
      <c r="BL84" s="231"/>
      <c r="BM84" s="231"/>
      <c r="BN84" s="231"/>
      <c r="BO84" s="231"/>
      <c r="BP84" s="231"/>
      <c r="BQ84" s="231"/>
      <c r="BR84" s="231"/>
      <c r="BS84" s="231"/>
      <c r="BT84" s="231"/>
      <c r="BU84" s="231"/>
      <c r="BV84" s="222">
        <f t="shared" si="19"/>
        <v>1981</v>
      </c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1"/>
      <c r="CL84" s="231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  <c r="DB84" s="231"/>
      <c r="DC84" s="231"/>
      <c r="DD84" s="231"/>
      <c r="DE84" s="231"/>
      <c r="DF84" s="231"/>
      <c r="DG84" s="231"/>
      <c r="DH84" s="231"/>
      <c r="DI84" s="231"/>
      <c r="DJ84" s="231"/>
      <c r="DK84" s="231"/>
      <c r="DL84" s="231"/>
      <c r="DM84" s="231"/>
      <c r="DN84" s="231"/>
      <c r="DO84" s="231"/>
      <c r="DP84" s="231"/>
      <c r="DQ84" s="231"/>
      <c r="DR84" s="231"/>
      <c r="DS84" s="231"/>
      <c r="DT84" s="231"/>
      <c r="DU84" s="231"/>
      <c r="DV84" s="231"/>
      <c r="DW84" s="231"/>
      <c r="YS84" s="38" t="e">
        <f>RIGHT(CONCATENATE(0,#REF!),7)</f>
        <v>#REF!</v>
      </c>
    </row>
    <row r="85" spans="2:669" hidden="1">
      <c r="B85" s="63"/>
      <c r="C85" s="65"/>
      <c r="I85" s="57"/>
      <c r="J85" s="57"/>
      <c r="K85" s="57"/>
      <c r="L85" s="57"/>
      <c r="S85" s="270">
        <v>11530</v>
      </c>
      <c r="T85" s="270">
        <v>11860</v>
      </c>
      <c r="U85" s="270">
        <v>12190</v>
      </c>
      <c r="V85" s="270">
        <v>12550</v>
      </c>
      <c r="W85" s="222">
        <f t="shared" si="14"/>
        <v>24440</v>
      </c>
      <c r="X85" s="720">
        <f t="shared" si="18"/>
        <v>21820</v>
      </c>
      <c r="Y85" s="718">
        <f>X86</f>
        <v>22460</v>
      </c>
      <c r="Z85" s="222">
        <f t="shared" si="15"/>
        <v>23100</v>
      </c>
      <c r="AA85" s="222">
        <f t="shared" si="15"/>
        <v>23740</v>
      </c>
      <c r="AB85" s="222">
        <f t="shared" si="17"/>
        <v>11200</v>
      </c>
      <c r="AX85" s="231"/>
      <c r="AY85" s="231"/>
      <c r="AZ85" s="231"/>
      <c r="BA85" s="231"/>
      <c r="BB85" s="231"/>
      <c r="BC85" s="231"/>
      <c r="BD85" s="231"/>
      <c r="BE85" s="231"/>
      <c r="BF85" s="231"/>
      <c r="BG85" s="231"/>
      <c r="BH85" s="231"/>
      <c r="BI85" s="231"/>
      <c r="BJ85" s="231"/>
      <c r="BK85" s="231"/>
      <c r="BL85" s="231"/>
      <c r="BM85" s="231"/>
      <c r="BN85" s="231"/>
      <c r="BO85" s="231"/>
      <c r="BP85" s="231"/>
      <c r="BQ85" s="231"/>
      <c r="BR85" s="231"/>
      <c r="BS85" s="231"/>
      <c r="BT85" s="231"/>
      <c r="BU85" s="231"/>
      <c r="BV85" s="222">
        <f t="shared" si="19"/>
        <v>1982</v>
      </c>
      <c r="BW85" s="231"/>
      <c r="BX85" s="231"/>
      <c r="BY85" s="231"/>
      <c r="BZ85" s="231"/>
      <c r="CA85" s="231"/>
      <c r="CB85" s="231"/>
      <c r="CC85" s="231"/>
      <c r="CD85" s="231"/>
      <c r="CE85" s="231"/>
      <c r="CF85" s="231"/>
      <c r="CG85" s="231"/>
      <c r="CH85" s="231"/>
      <c r="CI85" s="231"/>
      <c r="CJ85" s="231"/>
      <c r="CK85" s="231"/>
      <c r="CL85" s="231"/>
      <c r="CM85" s="231"/>
      <c r="CN85" s="231"/>
      <c r="CO85" s="231"/>
      <c r="CP85" s="231"/>
      <c r="CQ85" s="231"/>
      <c r="CR85" s="231"/>
      <c r="CS85" s="231"/>
      <c r="CT85" s="231"/>
      <c r="CU85" s="231"/>
      <c r="CV85" s="231"/>
      <c r="CW85" s="231"/>
      <c r="CX85" s="231"/>
      <c r="CY85" s="231"/>
      <c r="CZ85" s="231"/>
      <c r="DA85" s="231"/>
      <c r="DB85" s="231"/>
      <c r="DC85" s="231"/>
      <c r="DD85" s="231"/>
      <c r="DE85" s="231"/>
      <c r="DF85" s="231"/>
      <c r="DG85" s="231"/>
      <c r="DH85" s="231"/>
      <c r="DI85" s="231"/>
      <c r="DJ85" s="231"/>
      <c r="DK85" s="231"/>
      <c r="DL85" s="231"/>
      <c r="DM85" s="231"/>
      <c r="DN85" s="231"/>
      <c r="DO85" s="231"/>
      <c r="DP85" s="231"/>
      <c r="DQ85" s="231"/>
      <c r="DR85" s="231"/>
      <c r="DS85" s="231"/>
      <c r="DT85" s="231"/>
      <c r="DU85" s="231"/>
      <c r="DV85" s="231"/>
      <c r="DW85" s="231"/>
      <c r="YS85" s="38" t="e">
        <f>RIGHT(CONCATENATE(0,#REF!),7)</f>
        <v>#REF!</v>
      </c>
    </row>
    <row r="86" spans="2:669" hidden="1">
      <c r="B86" s="63"/>
      <c r="C86" s="65"/>
      <c r="I86" s="57"/>
      <c r="J86" s="57"/>
      <c r="K86" s="57"/>
      <c r="L86" s="57"/>
      <c r="S86" s="270">
        <v>11860</v>
      </c>
      <c r="T86" s="270">
        <v>12190</v>
      </c>
      <c r="U86" s="270">
        <v>12550</v>
      </c>
      <c r="V86" s="270">
        <v>12910</v>
      </c>
      <c r="W86" s="222">
        <f t="shared" si="14"/>
        <v>25140</v>
      </c>
      <c r="X86" s="720">
        <f t="shared" si="18"/>
        <v>22460</v>
      </c>
      <c r="Y86" s="718">
        <f t="shared" si="16"/>
        <v>23100</v>
      </c>
      <c r="Z86" s="222">
        <f t="shared" si="15"/>
        <v>23740</v>
      </c>
      <c r="AA86" s="222">
        <f t="shared" si="15"/>
        <v>24440</v>
      </c>
      <c r="AB86" s="222">
        <f t="shared" si="17"/>
        <v>11530</v>
      </c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1"/>
      <c r="BS86" s="231"/>
      <c r="BT86" s="231"/>
      <c r="BU86" s="231"/>
      <c r="BV86" s="222">
        <f t="shared" si="19"/>
        <v>1983</v>
      </c>
      <c r="BW86" s="231"/>
      <c r="BX86" s="231"/>
      <c r="BY86" s="231"/>
      <c r="BZ86" s="231"/>
      <c r="CA86" s="231"/>
      <c r="CB86" s="231"/>
      <c r="CC86" s="231"/>
      <c r="CD86" s="231"/>
      <c r="CE86" s="231"/>
      <c r="CF86" s="231"/>
      <c r="CG86" s="231"/>
      <c r="CH86" s="231"/>
      <c r="CI86" s="231"/>
      <c r="CJ86" s="231"/>
      <c r="CK86" s="231"/>
      <c r="CL86" s="231"/>
      <c r="CM86" s="231"/>
      <c r="CN86" s="231"/>
      <c r="CO86" s="231"/>
      <c r="CP86" s="231"/>
      <c r="CQ86" s="231"/>
      <c r="CR86" s="231"/>
      <c r="CS86" s="231"/>
      <c r="CT86" s="231"/>
      <c r="CU86" s="231"/>
      <c r="CV86" s="231"/>
      <c r="CW86" s="231"/>
      <c r="CX86" s="231"/>
      <c r="CY86" s="231"/>
      <c r="CZ86" s="231"/>
      <c r="DA86" s="231"/>
      <c r="DB86" s="231"/>
      <c r="DC86" s="231"/>
      <c r="DD86" s="231"/>
      <c r="DE86" s="231"/>
      <c r="DF86" s="231"/>
      <c r="DG86" s="231"/>
      <c r="DH86" s="231"/>
      <c r="DI86" s="231"/>
      <c r="DJ86" s="231"/>
      <c r="DK86" s="231"/>
      <c r="DL86" s="231"/>
      <c r="DM86" s="231"/>
      <c r="DN86" s="231"/>
      <c r="DO86" s="231"/>
      <c r="DP86" s="231"/>
      <c r="DQ86" s="231"/>
      <c r="DR86" s="231"/>
      <c r="DS86" s="231"/>
      <c r="DT86" s="231"/>
      <c r="DU86" s="231"/>
      <c r="DV86" s="231"/>
      <c r="DW86" s="231"/>
      <c r="YS86" s="38" t="e">
        <f>RIGHT(CONCATENATE(0,#REF!),7)</f>
        <v>#REF!</v>
      </c>
    </row>
    <row r="87" spans="2:669" hidden="1">
      <c r="E87" s="36"/>
      <c r="F87" s="36"/>
      <c r="I87" s="57"/>
      <c r="J87" s="57"/>
      <c r="K87" s="57"/>
      <c r="L87" s="57"/>
      <c r="S87" s="270">
        <v>12190</v>
      </c>
      <c r="T87" s="270">
        <v>12550</v>
      </c>
      <c r="U87" s="270">
        <v>12910</v>
      </c>
      <c r="V87" s="270">
        <v>13270</v>
      </c>
      <c r="W87" s="222">
        <f t="shared" si="14"/>
        <v>25840</v>
      </c>
      <c r="X87" s="720">
        <f t="shared" si="18"/>
        <v>23100</v>
      </c>
      <c r="Y87" s="718">
        <f t="shared" si="16"/>
        <v>23740</v>
      </c>
      <c r="Z87" s="222">
        <f t="shared" si="15"/>
        <v>24440</v>
      </c>
      <c r="AA87" s="222">
        <f t="shared" si="15"/>
        <v>25140</v>
      </c>
      <c r="AB87" s="222">
        <f t="shared" si="17"/>
        <v>11860</v>
      </c>
      <c r="AX87" s="231"/>
      <c r="AY87" s="231"/>
      <c r="AZ87" s="231"/>
      <c r="BA87" s="231"/>
      <c r="BB87" s="231"/>
      <c r="BC87" s="231"/>
      <c r="BD87" s="231"/>
      <c r="BE87" s="231"/>
      <c r="BF87" s="231"/>
      <c r="BG87" s="231"/>
      <c r="BH87" s="231"/>
      <c r="BI87" s="231"/>
      <c r="BJ87" s="231"/>
      <c r="BK87" s="231"/>
      <c r="BL87" s="231"/>
      <c r="BM87" s="231"/>
      <c r="BN87" s="231"/>
      <c r="BO87" s="231"/>
      <c r="BP87" s="231"/>
      <c r="BQ87" s="231"/>
      <c r="BR87" s="231"/>
      <c r="BS87" s="231"/>
      <c r="BT87" s="231"/>
      <c r="BU87" s="231"/>
      <c r="BV87" s="222">
        <f t="shared" si="19"/>
        <v>1984</v>
      </c>
      <c r="BW87" s="231"/>
      <c r="BX87" s="231"/>
      <c r="BY87" s="231"/>
      <c r="BZ87" s="231"/>
      <c r="CA87" s="231"/>
      <c r="CB87" s="231"/>
      <c r="CC87" s="231"/>
      <c r="CD87" s="231"/>
      <c r="CE87" s="231"/>
      <c r="CF87" s="231"/>
      <c r="CG87" s="231"/>
      <c r="CH87" s="231"/>
      <c r="CI87" s="231"/>
      <c r="CJ87" s="231"/>
      <c r="CK87" s="231"/>
      <c r="CL87" s="231"/>
      <c r="CM87" s="231"/>
      <c r="CN87" s="231"/>
      <c r="CO87" s="231"/>
      <c r="CP87" s="231"/>
      <c r="CQ87" s="231"/>
      <c r="CR87" s="231"/>
      <c r="CS87" s="231"/>
      <c r="CT87" s="231"/>
      <c r="CU87" s="231"/>
      <c r="CV87" s="231"/>
      <c r="CW87" s="231"/>
      <c r="CX87" s="231"/>
      <c r="CY87" s="231"/>
      <c r="CZ87" s="231"/>
      <c r="DA87" s="231"/>
      <c r="DB87" s="231"/>
      <c r="DC87" s="231"/>
      <c r="DD87" s="231"/>
      <c r="DE87" s="231"/>
      <c r="DF87" s="231"/>
      <c r="DG87" s="231"/>
      <c r="DH87" s="231"/>
      <c r="DI87" s="231"/>
      <c r="DJ87" s="231"/>
      <c r="DK87" s="231"/>
      <c r="DL87" s="231"/>
      <c r="DM87" s="231"/>
      <c r="DN87" s="231"/>
      <c r="DO87" s="231"/>
      <c r="DP87" s="231"/>
      <c r="DQ87" s="231"/>
      <c r="DR87" s="231"/>
      <c r="DS87" s="231"/>
      <c r="DT87" s="231"/>
      <c r="DU87" s="231"/>
      <c r="DV87" s="231"/>
      <c r="DW87" s="231"/>
      <c r="YS87" s="38" t="e">
        <f>RIGHT(CONCATENATE(0,#REF!),7)</f>
        <v>#REF!</v>
      </c>
    </row>
    <row r="88" spans="2:669" hidden="1">
      <c r="B88" s="60"/>
      <c r="C88" s="48"/>
      <c r="E88" s="36"/>
      <c r="F88" s="62"/>
      <c r="I88" s="57"/>
      <c r="J88" s="57"/>
      <c r="K88" s="57"/>
      <c r="L88" s="57"/>
      <c r="S88" s="270">
        <v>12550</v>
      </c>
      <c r="T88" s="270">
        <v>12910</v>
      </c>
      <c r="U88" s="270">
        <v>13270</v>
      </c>
      <c r="V88" s="270">
        <v>13660</v>
      </c>
      <c r="W88" s="222">
        <f t="shared" si="14"/>
        <v>26600</v>
      </c>
      <c r="X88" s="720">
        <f t="shared" si="18"/>
        <v>23740</v>
      </c>
      <c r="Y88" s="718">
        <f t="shared" si="16"/>
        <v>24440</v>
      </c>
      <c r="Z88" s="222">
        <f t="shared" si="15"/>
        <v>25140</v>
      </c>
      <c r="AA88" s="222">
        <f t="shared" si="15"/>
        <v>25840</v>
      </c>
      <c r="AB88" s="222">
        <f t="shared" si="17"/>
        <v>12190</v>
      </c>
      <c r="AX88" s="231"/>
      <c r="AY88" s="231"/>
      <c r="AZ88" s="231"/>
      <c r="BA88" s="231"/>
      <c r="BB88" s="231"/>
      <c r="BC88" s="231"/>
      <c r="BD88" s="231"/>
      <c r="BE88" s="231"/>
      <c r="BF88" s="231"/>
      <c r="BG88" s="231"/>
      <c r="BH88" s="231"/>
      <c r="BI88" s="231"/>
      <c r="BJ88" s="231"/>
      <c r="BK88" s="231"/>
      <c r="BL88" s="231"/>
      <c r="BM88" s="231"/>
      <c r="BN88" s="231"/>
      <c r="BO88" s="231"/>
      <c r="BP88" s="231"/>
      <c r="BQ88" s="231"/>
      <c r="BR88" s="231"/>
      <c r="BS88" s="231"/>
      <c r="BT88" s="231"/>
      <c r="BU88" s="231"/>
      <c r="BV88" s="222">
        <f t="shared" si="19"/>
        <v>1985</v>
      </c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1"/>
      <c r="CL88" s="231"/>
      <c r="CM88" s="231"/>
      <c r="CN88" s="231"/>
      <c r="CO88" s="231"/>
      <c r="CP88" s="231"/>
      <c r="CQ88" s="231"/>
      <c r="CR88" s="231"/>
      <c r="CS88" s="231"/>
      <c r="CT88" s="231"/>
      <c r="CU88" s="231"/>
      <c r="CV88" s="231"/>
      <c r="CW88" s="231"/>
      <c r="CX88" s="231"/>
      <c r="CY88" s="231"/>
      <c r="CZ88" s="231"/>
      <c r="DA88" s="231"/>
      <c r="DB88" s="231"/>
      <c r="DC88" s="231"/>
      <c r="DD88" s="231"/>
      <c r="DE88" s="231"/>
      <c r="DF88" s="231"/>
      <c r="DG88" s="231"/>
      <c r="DH88" s="231"/>
      <c r="DI88" s="231"/>
      <c r="DJ88" s="231"/>
      <c r="DK88" s="231"/>
      <c r="DL88" s="231"/>
      <c r="DM88" s="231"/>
      <c r="DN88" s="231"/>
      <c r="DO88" s="231"/>
      <c r="DP88" s="231"/>
      <c r="DQ88" s="231"/>
      <c r="DR88" s="231"/>
      <c r="DS88" s="231"/>
      <c r="DT88" s="231"/>
      <c r="DU88" s="231"/>
      <c r="DV88" s="231"/>
      <c r="DW88" s="231"/>
      <c r="YS88" s="38" t="e">
        <f>RIGHT(CONCATENATE(0,#REF!),7)</f>
        <v>#REF!</v>
      </c>
    </row>
    <row r="89" spans="2:669" hidden="1">
      <c r="B89" s="60"/>
      <c r="C89" s="52"/>
      <c r="E89" s="36"/>
      <c r="F89" s="36"/>
      <c r="I89" s="57"/>
      <c r="J89" s="57"/>
      <c r="K89" s="57"/>
      <c r="L89" s="57"/>
      <c r="S89" s="270">
        <v>12910</v>
      </c>
      <c r="T89" s="270">
        <v>13270</v>
      </c>
      <c r="U89" s="270">
        <v>13660</v>
      </c>
      <c r="V89" s="270">
        <v>14050</v>
      </c>
      <c r="W89" s="222">
        <f t="shared" si="14"/>
        <v>27360</v>
      </c>
      <c r="X89" s="720">
        <f t="shared" si="18"/>
        <v>24440</v>
      </c>
      <c r="Y89" s="718">
        <f t="shared" si="16"/>
        <v>25140</v>
      </c>
      <c r="Z89" s="222">
        <f t="shared" si="15"/>
        <v>25840</v>
      </c>
      <c r="AA89" s="222">
        <f t="shared" si="15"/>
        <v>26600</v>
      </c>
      <c r="AB89" s="222">
        <f t="shared" si="17"/>
        <v>12550</v>
      </c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231"/>
      <c r="BQ89" s="231"/>
      <c r="BR89" s="231"/>
      <c r="BS89" s="231"/>
      <c r="BT89" s="231"/>
      <c r="BU89" s="231"/>
      <c r="BV89" s="222">
        <f t="shared" si="19"/>
        <v>1986</v>
      </c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1"/>
      <c r="CL89" s="231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1"/>
      <c r="CY89" s="231"/>
      <c r="CZ89" s="231"/>
      <c r="DA89" s="231"/>
      <c r="DB89" s="231"/>
      <c r="DC89" s="231"/>
      <c r="DD89" s="231"/>
      <c r="DE89" s="231"/>
      <c r="DF89" s="231"/>
      <c r="DG89" s="231"/>
      <c r="DH89" s="231"/>
      <c r="DI89" s="231"/>
      <c r="DJ89" s="231"/>
      <c r="DK89" s="231"/>
      <c r="DL89" s="231"/>
      <c r="DM89" s="231"/>
      <c r="DN89" s="231"/>
      <c r="DO89" s="231"/>
      <c r="DP89" s="231"/>
      <c r="DQ89" s="231"/>
      <c r="DR89" s="231"/>
      <c r="DS89" s="231"/>
      <c r="DT89" s="231"/>
      <c r="DU89" s="231"/>
      <c r="DV89" s="231"/>
      <c r="DW89" s="231"/>
      <c r="YS89" s="38" t="e">
        <f>RIGHT(CONCATENATE(0,#REF!),7)</f>
        <v>#REF!</v>
      </c>
    </row>
    <row r="90" spans="2:669" hidden="1">
      <c r="B90" s="60"/>
      <c r="C90" s="52"/>
      <c r="E90" s="36"/>
      <c r="F90" s="36"/>
      <c r="I90" s="57"/>
      <c r="J90" s="57"/>
      <c r="K90" s="57"/>
      <c r="L90" s="57"/>
      <c r="S90" s="270">
        <v>13270</v>
      </c>
      <c r="T90" s="270">
        <v>13660</v>
      </c>
      <c r="U90" s="270">
        <v>14050</v>
      </c>
      <c r="V90" s="270">
        <v>14440</v>
      </c>
      <c r="W90" s="222">
        <f t="shared" si="14"/>
        <v>28120</v>
      </c>
      <c r="X90" s="720">
        <f t="shared" si="18"/>
        <v>25140</v>
      </c>
      <c r="Y90" s="718">
        <f t="shared" si="16"/>
        <v>25840</v>
      </c>
      <c r="Z90" s="222">
        <f t="shared" si="15"/>
        <v>26600</v>
      </c>
      <c r="AA90" s="222">
        <f t="shared" si="15"/>
        <v>27360</v>
      </c>
      <c r="AB90" s="222">
        <f t="shared" si="17"/>
        <v>12910</v>
      </c>
      <c r="AX90" s="231"/>
      <c r="AY90" s="231"/>
      <c r="AZ90" s="231"/>
      <c r="BA90" s="231"/>
      <c r="BB90" s="231"/>
      <c r="BC90" s="231"/>
      <c r="BD90" s="231"/>
      <c r="BE90" s="231"/>
      <c r="BF90" s="231"/>
      <c r="BG90" s="231"/>
      <c r="BH90" s="231"/>
      <c r="BI90" s="231"/>
      <c r="BJ90" s="231"/>
      <c r="BK90" s="231"/>
      <c r="BL90" s="231"/>
      <c r="BM90" s="231"/>
      <c r="BN90" s="231"/>
      <c r="BO90" s="231"/>
      <c r="BP90" s="231"/>
      <c r="BQ90" s="231"/>
      <c r="BR90" s="231"/>
      <c r="BS90" s="231"/>
      <c r="BT90" s="231"/>
      <c r="BU90" s="231"/>
      <c r="BV90" s="222">
        <f t="shared" si="19"/>
        <v>1987</v>
      </c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1"/>
      <c r="CJ90" s="231"/>
      <c r="CK90" s="231"/>
      <c r="CL90" s="231"/>
      <c r="CM90" s="231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1"/>
      <c r="CY90" s="231"/>
      <c r="CZ90" s="231"/>
      <c r="DA90" s="231"/>
      <c r="DB90" s="231"/>
      <c r="DC90" s="231"/>
      <c r="DD90" s="231"/>
      <c r="DE90" s="231"/>
      <c r="DF90" s="231"/>
      <c r="DG90" s="231"/>
      <c r="DH90" s="231"/>
      <c r="DI90" s="231"/>
      <c r="DJ90" s="231"/>
      <c r="DK90" s="231"/>
      <c r="DL90" s="231"/>
      <c r="DM90" s="231"/>
      <c r="DN90" s="231"/>
      <c r="DO90" s="231"/>
      <c r="DP90" s="231"/>
      <c r="DQ90" s="231"/>
      <c r="DR90" s="231"/>
      <c r="DS90" s="231"/>
      <c r="DT90" s="231"/>
      <c r="DU90" s="231"/>
      <c r="DV90" s="231"/>
      <c r="DW90" s="231"/>
      <c r="YS90" s="38" t="e">
        <f>RIGHT(CONCATENATE(0,#REF!),7)</f>
        <v>#REF!</v>
      </c>
    </row>
    <row r="91" spans="2:669" hidden="1">
      <c r="B91" s="60"/>
      <c r="C91" s="52"/>
      <c r="E91" s="36"/>
      <c r="F91" s="36"/>
      <c r="I91" s="57"/>
      <c r="J91" s="57"/>
      <c r="K91" s="57"/>
      <c r="L91" s="57"/>
      <c r="S91" s="270">
        <v>13660</v>
      </c>
      <c r="T91" s="270">
        <v>14050</v>
      </c>
      <c r="U91" s="270">
        <v>14440</v>
      </c>
      <c r="V91" s="270">
        <v>14860</v>
      </c>
      <c r="W91" s="222">
        <f t="shared" si="14"/>
        <v>28940</v>
      </c>
      <c r="X91" s="720">
        <f t="shared" si="18"/>
        <v>25840</v>
      </c>
      <c r="Y91" s="718">
        <f t="shared" si="16"/>
        <v>26600</v>
      </c>
      <c r="Z91" s="222">
        <f t="shared" si="15"/>
        <v>27360</v>
      </c>
      <c r="AA91" s="222">
        <f t="shared" si="15"/>
        <v>28120</v>
      </c>
      <c r="AB91" s="222">
        <f t="shared" si="17"/>
        <v>13270</v>
      </c>
      <c r="AX91" s="231"/>
      <c r="AY91" s="231"/>
      <c r="AZ91" s="231"/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  <c r="BM91" s="231"/>
      <c r="BN91" s="231"/>
      <c r="BO91" s="231"/>
      <c r="BP91" s="231"/>
      <c r="BQ91" s="231"/>
      <c r="BR91" s="231"/>
      <c r="BS91" s="231"/>
      <c r="BT91" s="231"/>
      <c r="BU91" s="231"/>
      <c r="BV91" s="222">
        <f t="shared" si="19"/>
        <v>1988</v>
      </c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1"/>
      <c r="CL91" s="231"/>
      <c r="CM91" s="231"/>
      <c r="CN91" s="231"/>
      <c r="CO91" s="231"/>
      <c r="CP91" s="231"/>
      <c r="CQ91" s="231"/>
      <c r="CR91" s="231"/>
      <c r="CS91" s="231"/>
      <c r="CT91" s="231"/>
      <c r="CU91" s="231"/>
      <c r="CV91" s="231"/>
      <c r="CW91" s="231"/>
      <c r="CX91" s="231"/>
      <c r="CY91" s="231"/>
      <c r="CZ91" s="231"/>
      <c r="DA91" s="231"/>
      <c r="DB91" s="231"/>
      <c r="DC91" s="231"/>
      <c r="DD91" s="231"/>
      <c r="DE91" s="231"/>
      <c r="DF91" s="231"/>
      <c r="DG91" s="231"/>
      <c r="DH91" s="231"/>
      <c r="DI91" s="231"/>
      <c r="DJ91" s="231"/>
      <c r="DK91" s="231"/>
      <c r="DL91" s="231"/>
      <c r="DM91" s="231"/>
      <c r="DN91" s="231"/>
      <c r="DO91" s="231"/>
      <c r="DP91" s="231"/>
      <c r="DQ91" s="231"/>
      <c r="DR91" s="231"/>
      <c r="DS91" s="231"/>
      <c r="DT91" s="231"/>
      <c r="DU91" s="231"/>
      <c r="DV91" s="231"/>
      <c r="DW91" s="231"/>
      <c r="YS91" s="38" t="e">
        <f>RIGHT(CONCATENATE(0,#REF!),7)</f>
        <v>#REF!</v>
      </c>
    </row>
    <row r="92" spans="2:669" hidden="1">
      <c r="B92" s="60"/>
      <c r="C92" s="52"/>
      <c r="E92" s="36"/>
      <c r="F92" s="36"/>
      <c r="I92" s="57"/>
      <c r="J92" s="57"/>
      <c r="K92" s="57"/>
      <c r="L92" s="57"/>
      <c r="S92" s="270">
        <v>14050</v>
      </c>
      <c r="T92" s="270">
        <v>14440</v>
      </c>
      <c r="U92" s="270">
        <v>14860</v>
      </c>
      <c r="V92" s="270">
        <v>15280</v>
      </c>
      <c r="W92" s="222">
        <f t="shared" si="14"/>
        <v>29760</v>
      </c>
      <c r="X92" s="720">
        <f t="shared" si="18"/>
        <v>26600</v>
      </c>
      <c r="Y92" s="718">
        <f t="shared" si="16"/>
        <v>27360</v>
      </c>
      <c r="Z92" s="222">
        <f t="shared" si="15"/>
        <v>28120</v>
      </c>
      <c r="AA92" s="222">
        <f t="shared" si="15"/>
        <v>28940</v>
      </c>
      <c r="AB92" s="222">
        <f t="shared" si="17"/>
        <v>13660</v>
      </c>
      <c r="AX92" s="231"/>
      <c r="AY92" s="231"/>
      <c r="AZ92" s="231"/>
      <c r="BA92" s="231"/>
      <c r="BB92" s="231"/>
      <c r="BC92" s="231"/>
      <c r="BD92" s="231"/>
      <c r="BE92" s="231"/>
      <c r="BF92" s="231"/>
      <c r="BG92" s="231"/>
      <c r="BH92" s="231"/>
      <c r="BI92" s="231"/>
      <c r="BJ92" s="231"/>
      <c r="BK92" s="231"/>
      <c r="BL92" s="231"/>
      <c r="BM92" s="231"/>
      <c r="BN92" s="231"/>
      <c r="BO92" s="231"/>
      <c r="BP92" s="231"/>
      <c r="BQ92" s="231"/>
      <c r="BR92" s="231"/>
      <c r="BS92" s="231"/>
      <c r="BT92" s="231"/>
      <c r="BU92" s="231"/>
      <c r="BV92" s="222">
        <f t="shared" si="19"/>
        <v>1989</v>
      </c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1"/>
      <c r="CL92" s="231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  <c r="CW92" s="231"/>
      <c r="CX92" s="231"/>
      <c r="CY92" s="231"/>
      <c r="CZ92" s="231"/>
      <c r="DA92" s="231"/>
      <c r="DB92" s="231"/>
      <c r="DC92" s="231"/>
      <c r="DD92" s="231"/>
      <c r="DE92" s="231"/>
      <c r="DF92" s="231"/>
      <c r="DG92" s="231"/>
      <c r="DH92" s="231"/>
      <c r="DI92" s="231"/>
      <c r="DJ92" s="231"/>
      <c r="DK92" s="231"/>
      <c r="DL92" s="231"/>
      <c r="DM92" s="231"/>
      <c r="DN92" s="231"/>
      <c r="DO92" s="231"/>
      <c r="DP92" s="231"/>
      <c r="DQ92" s="231"/>
      <c r="DR92" s="231"/>
      <c r="DS92" s="231"/>
      <c r="DT92" s="231"/>
      <c r="DU92" s="231"/>
      <c r="DV92" s="231"/>
      <c r="DW92" s="231"/>
      <c r="YS92" s="38" t="e">
        <f>RIGHT(CONCATENATE(0,#REF!),7)</f>
        <v>#REF!</v>
      </c>
    </row>
    <row r="93" spans="2:669" hidden="1">
      <c r="B93" s="60"/>
      <c r="C93" s="52"/>
      <c r="E93" s="36"/>
      <c r="F93" s="36"/>
      <c r="I93" s="57"/>
      <c r="J93" s="57"/>
      <c r="K93" s="57"/>
      <c r="L93" s="57"/>
      <c r="S93" s="270">
        <v>14440</v>
      </c>
      <c r="T93" s="270">
        <v>14860</v>
      </c>
      <c r="U93" s="270">
        <v>15280</v>
      </c>
      <c r="V93" s="270">
        <v>15700</v>
      </c>
      <c r="W93" s="222">
        <f t="shared" si="14"/>
        <v>30580</v>
      </c>
      <c r="X93" s="720">
        <f t="shared" si="18"/>
        <v>27360</v>
      </c>
      <c r="Y93" s="718">
        <f t="shared" si="16"/>
        <v>28120</v>
      </c>
      <c r="Z93" s="222">
        <f t="shared" si="15"/>
        <v>28940</v>
      </c>
      <c r="AA93" s="222">
        <f t="shared" si="15"/>
        <v>29760</v>
      </c>
      <c r="AB93" s="222">
        <f t="shared" si="17"/>
        <v>14050</v>
      </c>
      <c r="AX93" s="231"/>
      <c r="AY93" s="231"/>
      <c r="AZ93" s="231"/>
      <c r="BA93" s="231"/>
      <c r="BB93" s="231"/>
      <c r="BC93" s="231"/>
      <c r="BD93" s="231"/>
      <c r="BE93" s="231"/>
      <c r="BF93" s="231"/>
      <c r="BG93" s="231"/>
      <c r="BH93" s="231"/>
      <c r="BI93" s="231"/>
      <c r="BJ93" s="231"/>
      <c r="BK93" s="231"/>
      <c r="BL93" s="231"/>
      <c r="BM93" s="231"/>
      <c r="BN93" s="231"/>
      <c r="BO93" s="231"/>
      <c r="BP93" s="231"/>
      <c r="BQ93" s="231"/>
      <c r="BR93" s="231"/>
      <c r="BS93" s="231"/>
      <c r="BT93" s="231"/>
      <c r="BU93" s="231"/>
      <c r="BV93" s="222">
        <f t="shared" si="19"/>
        <v>1990</v>
      </c>
      <c r="BW93" s="231"/>
      <c r="BX93" s="231"/>
      <c r="BY93" s="231"/>
      <c r="BZ93" s="231"/>
      <c r="CA93" s="231"/>
      <c r="CB93" s="231"/>
      <c r="CC93" s="231"/>
      <c r="CD93" s="231"/>
      <c r="CE93" s="231"/>
      <c r="CF93" s="231"/>
      <c r="CG93" s="231"/>
      <c r="CH93" s="231"/>
      <c r="CI93" s="231"/>
      <c r="CJ93" s="231"/>
      <c r="CK93" s="231"/>
      <c r="CL93" s="231"/>
      <c r="CM93" s="231"/>
      <c r="CN93" s="231"/>
      <c r="CO93" s="231"/>
      <c r="CP93" s="231"/>
      <c r="CQ93" s="231"/>
      <c r="CR93" s="231"/>
      <c r="CS93" s="231"/>
      <c r="CT93" s="231"/>
      <c r="CU93" s="231"/>
      <c r="CV93" s="231"/>
      <c r="CW93" s="231"/>
      <c r="CX93" s="231"/>
      <c r="CY93" s="231"/>
      <c r="CZ93" s="231"/>
      <c r="DA93" s="231"/>
      <c r="DB93" s="231"/>
      <c r="DC93" s="231"/>
      <c r="DD93" s="231"/>
      <c r="DE93" s="231"/>
      <c r="DF93" s="231"/>
      <c r="DG93" s="231"/>
      <c r="DH93" s="231"/>
      <c r="DI93" s="231"/>
      <c r="DJ93" s="231"/>
      <c r="DK93" s="231"/>
      <c r="DL93" s="231"/>
      <c r="DM93" s="231"/>
      <c r="DN93" s="231"/>
      <c r="DO93" s="231"/>
      <c r="DP93" s="231"/>
      <c r="DQ93" s="231"/>
      <c r="DR93" s="231"/>
      <c r="DS93" s="231"/>
      <c r="DT93" s="231"/>
      <c r="DU93" s="231"/>
      <c r="DV93" s="231"/>
      <c r="DW93" s="231"/>
      <c r="YS93" s="38" t="e">
        <f>RIGHT(CONCATENATE(0,#REF!),7)</f>
        <v>#REF!</v>
      </c>
    </row>
    <row r="94" spans="2:669" hidden="1">
      <c r="B94" s="60"/>
      <c r="C94" s="52"/>
      <c r="E94" s="36"/>
      <c r="F94" s="36"/>
      <c r="I94" s="57"/>
      <c r="J94" s="57"/>
      <c r="K94" s="57"/>
      <c r="L94" s="57"/>
      <c r="S94" s="270">
        <v>14860</v>
      </c>
      <c r="T94" s="270">
        <v>15280</v>
      </c>
      <c r="U94" s="270">
        <v>15700</v>
      </c>
      <c r="V94" s="270">
        <v>16150</v>
      </c>
      <c r="W94" s="222">
        <f t="shared" si="14"/>
        <v>31460</v>
      </c>
      <c r="X94" s="720">
        <f t="shared" si="18"/>
        <v>28120</v>
      </c>
      <c r="Y94" s="718">
        <f t="shared" si="16"/>
        <v>28940</v>
      </c>
      <c r="Z94" s="222">
        <f t="shared" si="15"/>
        <v>29760</v>
      </c>
      <c r="AA94" s="222">
        <f t="shared" si="15"/>
        <v>30580</v>
      </c>
      <c r="AB94" s="222">
        <f t="shared" si="17"/>
        <v>14440</v>
      </c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1"/>
      <c r="BS94" s="231"/>
      <c r="BT94" s="231"/>
      <c r="BU94" s="231"/>
      <c r="BV94" s="222">
        <f t="shared" si="19"/>
        <v>1991</v>
      </c>
      <c r="BW94" s="231"/>
      <c r="BX94" s="231"/>
      <c r="BY94" s="231"/>
      <c r="BZ94" s="231"/>
      <c r="CA94" s="231"/>
      <c r="CB94" s="231"/>
      <c r="CC94" s="231"/>
      <c r="CD94" s="231"/>
      <c r="CE94" s="231"/>
      <c r="CF94" s="231"/>
      <c r="CG94" s="231"/>
      <c r="CH94" s="231"/>
      <c r="CI94" s="231"/>
      <c r="CJ94" s="231"/>
      <c r="CK94" s="231"/>
      <c r="CL94" s="231"/>
      <c r="CM94" s="231"/>
      <c r="CN94" s="231"/>
      <c r="CO94" s="231"/>
      <c r="CP94" s="231"/>
      <c r="CQ94" s="231"/>
      <c r="CR94" s="231"/>
      <c r="CS94" s="231"/>
      <c r="CT94" s="231"/>
      <c r="CU94" s="231"/>
      <c r="CV94" s="231"/>
      <c r="CW94" s="231"/>
      <c r="CX94" s="231"/>
      <c r="CY94" s="231"/>
      <c r="CZ94" s="231"/>
      <c r="DA94" s="231"/>
      <c r="DB94" s="231"/>
      <c r="DC94" s="231"/>
      <c r="DD94" s="231"/>
      <c r="DE94" s="231"/>
      <c r="DF94" s="231"/>
      <c r="DG94" s="231"/>
      <c r="DH94" s="231"/>
      <c r="DI94" s="231"/>
      <c r="DJ94" s="231"/>
      <c r="DK94" s="231"/>
      <c r="DL94" s="231"/>
      <c r="DM94" s="231"/>
      <c r="DN94" s="231"/>
      <c r="DO94" s="231"/>
      <c r="DP94" s="231"/>
      <c r="DQ94" s="231"/>
      <c r="DR94" s="231"/>
      <c r="DS94" s="231"/>
      <c r="DT94" s="231"/>
      <c r="DU94" s="231"/>
      <c r="DV94" s="231"/>
      <c r="DW94" s="231"/>
      <c r="YS94" s="38" t="e">
        <f>RIGHT(CONCATENATE(0,#REF!),7)</f>
        <v>#REF!</v>
      </c>
    </row>
    <row r="95" spans="2:669" hidden="1">
      <c r="B95" s="60"/>
      <c r="C95" s="52"/>
      <c r="E95" s="36"/>
      <c r="F95" s="36"/>
      <c r="I95" s="57"/>
      <c r="J95" s="57"/>
      <c r="K95" s="57"/>
      <c r="L95" s="57"/>
      <c r="S95" s="270">
        <v>15280</v>
      </c>
      <c r="T95" s="270">
        <v>15700</v>
      </c>
      <c r="U95" s="270">
        <v>16150</v>
      </c>
      <c r="V95" s="270">
        <v>16600</v>
      </c>
      <c r="W95" s="222">
        <f t="shared" si="14"/>
        <v>32340</v>
      </c>
      <c r="X95" s="720">
        <f t="shared" si="18"/>
        <v>28940</v>
      </c>
      <c r="Y95" s="718">
        <f t="shared" si="16"/>
        <v>29760</v>
      </c>
      <c r="Z95" s="222">
        <f t="shared" si="15"/>
        <v>30580</v>
      </c>
      <c r="AA95" s="222">
        <f t="shared" si="15"/>
        <v>31460</v>
      </c>
      <c r="AB95" s="222">
        <f t="shared" si="17"/>
        <v>14860</v>
      </c>
      <c r="AX95" s="231"/>
      <c r="AY95" s="231"/>
      <c r="AZ95" s="231"/>
      <c r="BA95" s="231"/>
      <c r="BB95" s="231"/>
      <c r="BC95" s="231"/>
      <c r="BD95" s="231"/>
      <c r="BE95" s="231"/>
      <c r="BF95" s="231"/>
      <c r="BG95" s="231"/>
      <c r="BH95" s="231"/>
      <c r="BI95" s="231"/>
      <c r="BJ95" s="231"/>
      <c r="BK95" s="231"/>
      <c r="BL95" s="231"/>
      <c r="BM95" s="231"/>
      <c r="BN95" s="231"/>
      <c r="BO95" s="231"/>
      <c r="BP95" s="231"/>
      <c r="BQ95" s="231"/>
      <c r="BR95" s="231"/>
      <c r="BS95" s="231"/>
      <c r="BT95" s="231"/>
      <c r="BU95" s="231"/>
      <c r="BV95" s="222">
        <f t="shared" si="19"/>
        <v>1992</v>
      </c>
      <c r="BW95" s="231"/>
      <c r="BX95" s="231"/>
      <c r="BY95" s="231"/>
      <c r="BZ95" s="231"/>
      <c r="CA95" s="231"/>
      <c r="CB95" s="231"/>
      <c r="CC95" s="231"/>
      <c r="CD95" s="231"/>
      <c r="CE95" s="231"/>
      <c r="CF95" s="231"/>
      <c r="CG95" s="231"/>
      <c r="CH95" s="231"/>
      <c r="CI95" s="231"/>
      <c r="CJ95" s="231"/>
      <c r="CK95" s="231"/>
      <c r="CL95" s="231"/>
      <c r="CM95" s="231"/>
      <c r="CN95" s="231"/>
      <c r="CO95" s="231"/>
      <c r="CP95" s="231"/>
      <c r="CQ95" s="231"/>
      <c r="CR95" s="231"/>
      <c r="CS95" s="231"/>
      <c r="CT95" s="231"/>
      <c r="CU95" s="231"/>
      <c r="CV95" s="231"/>
      <c r="CW95" s="231"/>
      <c r="CX95" s="231"/>
      <c r="CY95" s="231"/>
      <c r="CZ95" s="231"/>
      <c r="DA95" s="231"/>
      <c r="DB95" s="231"/>
      <c r="DC95" s="231"/>
      <c r="DD95" s="231"/>
      <c r="DE95" s="231"/>
      <c r="DF95" s="231"/>
      <c r="DG95" s="231"/>
      <c r="DH95" s="231"/>
      <c r="DI95" s="231"/>
      <c r="DJ95" s="231"/>
      <c r="DK95" s="231"/>
      <c r="DL95" s="231"/>
      <c r="DM95" s="231"/>
      <c r="DN95" s="231"/>
      <c r="DO95" s="231"/>
      <c r="DP95" s="231"/>
      <c r="DQ95" s="231"/>
      <c r="DR95" s="231"/>
      <c r="DS95" s="231"/>
      <c r="DT95" s="231"/>
      <c r="DU95" s="231"/>
      <c r="DV95" s="231"/>
      <c r="DW95" s="231"/>
      <c r="YS95" s="38" t="e">
        <f>RIGHT(CONCATENATE(0,#REF!),7)</f>
        <v>#REF!</v>
      </c>
    </row>
    <row r="96" spans="2:669" hidden="1">
      <c r="B96" s="60"/>
      <c r="C96" s="52"/>
      <c r="E96" s="36"/>
      <c r="F96" s="36"/>
      <c r="I96" s="57"/>
      <c r="J96" s="57"/>
      <c r="K96" s="57"/>
      <c r="L96" s="57"/>
      <c r="S96" s="270">
        <v>15700</v>
      </c>
      <c r="T96" s="270">
        <v>16150</v>
      </c>
      <c r="U96" s="270">
        <v>16600</v>
      </c>
      <c r="V96" s="270">
        <v>17050</v>
      </c>
      <c r="W96" s="222">
        <f t="shared" si="14"/>
        <v>33220</v>
      </c>
      <c r="X96" s="720">
        <f t="shared" si="18"/>
        <v>29760</v>
      </c>
      <c r="Y96" s="718">
        <f t="shared" si="16"/>
        <v>30580</v>
      </c>
      <c r="Z96" s="222">
        <f t="shared" si="15"/>
        <v>31460</v>
      </c>
      <c r="AA96" s="222">
        <f t="shared" si="15"/>
        <v>32340</v>
      </c>
      <c r="AB96" s="222">
        <f t="shared" si="17"/>
        <v>15280</v>
      </c>
      <c r="AX96" s="231"/>
      <c r="AY96" s="231"/>
      <c r="AZ96" s="231"/>
      <c r="BA96" s="231"/>
      <c r="BB96" s="231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1"/>
      <c r="BP96" s="231"/>
      <c r="BQ96" s="231"/>
      <c r="BR96" s="231"/>
      <c r="BS96" s="231"/>
      <c r="BT96" s="231"/>
      <c r="BU96" s="231"/>
      <c r="BV96" s="222">
        <f t="shared" si="19"/>
        <v>1993</v>
      </c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1"/>
      <c r="CL96" s="231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231"/>
      <c r="DC96" s="231"/>
      <c r="DD96" s="231"/>
      <c r="DE96" s="231"/>
      <c r="DF96" s="231"/>
      <c r="DG96" s="231"/>
      <c r="DH96" s="231"/>
      <c r="DI96" s="231"/>
      <c r="DJ96" s="231"/>
      <c r="DK96" s="231"/>
      <c r="DL96" s="231"/>
      <c r="DM96" s="231"/>
      <c r="DN96" s="231"/>
      <c r="DO96" s="231"/>
      <c r="DP96" s="231"/>
      <c r="DQ96" s="231"/>
      <c r="DR96" s="231"/>
      <c r="DS96" s="231"/>
      <c r="DT96" s="231"/>
      <c r="DU96" s="231"/>
      <c r="DV96" s="231"/>
      <c r="DW96" s="231"/>
      <c r="YS96" s="38" t="e">
        <f>RIGHT(CONCATENATE(0,#REF!),7)</f>
        <v>#REF!</v>
      </c>
    </row>
    <row r="97" spans="2:669" hidden="1">
      <c r="B97" s="60"/>
      <c r="C97" s="52"/>
      <c r="E97" s="36"/>
      <c r="F97" s="36"/>
      <c r="I97" s="57"/>
      <c r="J97" s="57"/>
      <c r="K97" s="57"/>
      <c r="L97" s="57"/>
      <c r="S97" s="270">
        <v>16150</v>
      </c>
      <c r="T97" s="270">
        <v>16600</v>
      </c>
      <c r="U97" s="270">
        <v>17050</v>
      </c>
      <c r="V97" s="270">
        <v>17540</v>
      </c>
      <c r="W97" s="222">
        <f t="shared" si="14"/>
        <v>34170</v>
      </c>
      <c r="X97" s="720">
        <f t="shared" si="18"/>
        <v>30580</v>
      </c>
      <c r="Y97" s="718">
        <f t="shared" si="16"/>
        <v>31460</v>
      </c>
      <c r="Z97" s="222">
        <f t="shared" si="15"/>
        <v>32340</v>
      </c>
      <c r="AA97" s="222">
        <f t="shared" si="15"/>
        <v>33220</v>
      </c>
      <c r="AB97" s="222">
        <f t="shared" si="17"/>
        <v>15700</v>
      </c>
      <c r="AX97" s="231"/>
      <c r="AY97" s="231"/>
      <c r="AZ97" s="231"/>
      <c r="BA97" s="231"/>
      <c r="BB97" s="231"/>
      <c r="BC97" s="231"/>
      <c r="BD97" s="231"/>
      <c r="BE97" s="231"/>
      <c r="BF97" s="231"/>
      <c r="BG97" s="231"/>
      <c r="BH97" s="231"/>
      <c r="BI97" s="231"/>
      <c r="BJ97" s="231"/>
      <c r="BK97" s="231"/>
      <c r="BL97" s="231"/>
      <c r="BM97" s="231"/>
      <c r="BN97" s="231"/>
      <c r="BO97" s="231"/>
      <c r="BP97" s="231"/>
      <c r="BQ97" s="231"/>
      <c r="BR97" s="231"/>
      <c r="BS97" s="231"/>
      <c r="BT97" s="231"/>
      <c r="BU97" s="231"/>
      <c r="BV97" s="222">
        <f t="shared" si="19"/>
        <v>1994</v>
      </c>
      <c r="BW97" s="231"/>
      <c r="BX97" s="231"/>
      <c r="BY97" s="231"/>
      <c r="BZ97" s="231"/>
      <c r="CA97" s="231"/>
      <c r="CB97" s="231"/>
      <c r="CC97" s="231"/>
      <c r="CD97" s="231"/>
      <c r="CE97" s="231"/>
      <c r="CF97" s="231"/>
      <c r="CG97" s="231"/>
      <c r="CH97" s="231"/>
      <c r="CI97" s="231"/>
      <c r="CJ97" s="231"/>
      <c r="CK97" s="231"/>
      <c r="CL97" s="231"/>
      <c r="CM97" s="231"/>
      <c r="CN97" s="231"/>
      <c r="CO97" s="231"/>
      <c r="CP97" s="231"/>
      <c r="CQ97" s="231"/>
      <c r="CR97" s="231"/>
      <c r="CS97" s="231"/>
      <c r="CT97" s="231"/>
      <c r="CU97" s="231"/>
      <c r="CV97" s="231"/>
      <c r="CW97" s="231"/>
      <c r="CX97" s="231"/>
      <c r="CY97" s="231"/>
      <c r="CZ97" s="231"/>
      <c r="DA97" s="231"/>
      <c r="DB97" s="231"/>
      <c r="DC97" s="231"/>
      <c r="DD97" s="231"/>
      <c r="DE97" s="231"/>
      <c r="DF97" s="231"/>
      <c r="DG97" s="231"/>
      <c r="DH97" s="231"/>
      <c r="DI97" s="231"/>
      <c r="DJ97" s="231"/>
      <c r="DK97" s="231"/>
      <c r="DL97" s="231"/>
      <c r="DM97" s="231"/>
      <c r="DN97" s="231"/>
      <c r="DO97" s="231"/>
      <c r="DP97" s="231"/>
      <c r="DQ97" s="231"/>
      <c r="DR97" s="231"/>
      <c r="DS97" s="231"/>
      <c r="DT97" s="231"/>
      <c r="DU97" s="231"/>
      <c r="DV97" s="231"/>
      <c r="DW97" s="231"/>
      <c r="YS97" s="38" t="e">
        <f>RIGHT(CONCATENATE(0,#REF!),7)</f>
        <v>#REF!</v>
      </c>
    </row>
    <row r="98" spans="2:669" hidden="1">
      <c r="B98" s="60"/>
      <c r="C98" s="52"/>
      <c r="E98" s="36"/>
      <c r="F98" s="36"/>
      <c r="I98" s="57"/>
      <c r="J98" s="57"/>
      <c r="K98" s="57"/>
      <c r="L98" s="57"/>
      <c r="S98" s="270">
        <v>16600</v>
      </c>
      <c r="T98" s="270">
        <v>17050</v>
      </c>
      <c r="U98" s="270">
        <v>17540</v>
      </c>
      <c r="V98" s="270">
        <v>18030</v>
      </c>
      <c r="W98" s="222">
        <f t="shared" si="14"/>
        <v>35120</v>
      </c>
      <c r="X98" s="720">
        <f t="shared" si="18"/>
        <v>31460</v>
      </c>
      <c r="Y98" s="718">
        <f t="shared" si="16"/>
        <v>32340</v>
      </c>
      <c r="Z98" s="222">
        <f t="shared" si="15"/>
        <v>33220</v>
      </c>
      <c r="AA98" s="222">
        <f t="shared" si="15"/>
        <v>34170</v>
      </c>
      <c r="AB98" s="222">
        <f t="shared" si="17"/>
        <v>16150</v>
      </c>
      <c r="AX98" s="231"/>
      <c r="AY98" s="231"/>
      <c r="AZ98" s="231"/>
      <c r="BA98" s="231"/>
      <c r="BB98" s="231"/>
      <c r="BC98" s="231"/>
      <c r="BD98" s="231"/>
      <c r="BE98" s="231"/>
      <c r="BF98" s="231"/>
      <c r="BG98" s="231"/>
      <c r="BH98" s="231"/>
      <c r="BI98" s="231"/>
      <c r="BJ98" s="231"/>
      <c r="BK98" s="231"/>
      <c r="BL98" s="231"/>
      <c r="BM98" s="231"/>
      <c r="BN98" s="231"/>
      <c r="BO98" s="231"/>
      <c r="BP98" s="231"/>
      <c r="BQ98" s="231"/>
      <c r="BR98" s="231"/>
      <c r="BS98" s="231"/>
      <c r="BT98" s="231"/>
      <c r="BU98" s="231"/>
      <c r="BV98" s="222">
        <f t="shared" si="19"/>
        <v>1995</v>
      </c>
      <c r="BW98" s="231"/>
      <c r="BX98" s="231"/>
      <c r="BY98" s="231"/>
      <c r="BZ98" s="231"/>
      <c r="CA98" s="231"/>
      <c r="CB98" s="231"/>
      <c r="CC98" s="231"/>
      <c r="CD98" s="231"/>
      <c r="CE98" s="231"/>
      <c r="CF98" s="231"/>
      <c r="CG98" s="231"/>
      <c r="CH98" s="231"/>
      <c r="CI98" s="231"/>
      <c r="CJ98" s="231"/>
      <c r="CK98" s="231"/>
      <c r="CL98" s="231"/>
      <c r="CM98" s="231"/>
      <c r="CN98" s="231"/>
      <c r="CO98" s="231"/>
      <c r="CP98" s="231"/>
      <c r="CQ98" s="231"/>
      <c r="CR98" s="231"/>
      <c r="CS98" s="231"/>
      <c r="CT98" s="231"/>
      <c r="CU98" s="231"/>
      <c r="CV98" s="231"/>
      <c r="CW98" s="231"/>
      <c r="CX98" s="231"/>
      <c r="CY98" s="231"/>
      <c r="CZ98" s="231"/>
      <c r="DA98" s="231"/>
      <c r="DB98" s="231"/>
      <c r="DC98" s="231"/>
      <c r="DD98" s="231"/>
      <c r="DE98" s="231"/>
      <c r="DF98" s="231"/>
      <c r="DG98" s="231"/>
      <c r="DH98" s="231"/>
      <c r="DI98" s="231"/>
      <c r="DJ98" s="231"/>
      <c r="DK98" s="231"/>
      <c r="DL98" s="231"/>
      <c r="DM98" s="231"/>
      <c r="DN98" s="231"/>
      <c r="DO98" s="231"/>
      <c r="DP98" s="231"/>
      <c r="DQ98" s="231"/>
      <c r="DR98" s="231"/>
      <c r="DS98" s="231"/>
      <c r="DT98" s="231"/>
      <c r="DU98" s="231"/>
      <c r="DV98" s="231"/>
      <c r="DW98" s="231"/>
      <c r="YS98" s="38" t="e">
        <f>RIGHT(CONCATENATE(0,#REF!),7)</f>
        <v>#REF!</v>
      </c>
    </row>
    <row r="99" spans="2:669" hidden="1">
      <c r="I99" s="57"/>
      <c r="J99" s="57"/>
      <c r="K99" s="57"/>
      <c r="L99" s="57"/>
      <c r="S99" s="270">
        <v>17050</v>
      </c>
      <c r="T99" s="270">
        <v>17540</v>
      </c>
      <c r="U99" s="270">
        <v>18030</v>
      </c>
      <c r="V99" s="270">
        <v>18520</v>
      </c>
      <c r="W99" s="222">
        <f t="shared" si="14"/>
        <v>36070</v>
      </c>
      <c r="X99" s="720">
        <f t="shared" si="18"/>
        <v>32340</v>
      </c>
      <c r="Y99" s="718">
        <f t="shared" si="16"/>
        <v>33220</v>
      </c>
      <c r="Z99" s="222">
        <f t="shared" ref="Z99:AA130" si="20">Y100</f>
        <v>34170</v>
      </c>
      <c r="AA99" s="222">
        <f t="shared" si="20"/>
        <v>35120</v>
      </c>
      <c r="AB99" s="222">
        <f t="shared" si="17"/>
        <v>16600</v>
      </c>
      <c r="AX99" s="231"/>
      <c r="AY99" s="231"/>
      <c r="AZ99" s="231"/>
      <c r="BA99" s="231"/>
      <c r="BB99" s="231"/>
      <c r="BC99" s="231"/>
      <c r="BD99" s="231"/>
      <c r="BE99" s="231"/>
      <c r="BF99" s="231"/>
      <c r="BG99" s="231"/>
      <c r="BH99" s="231"/>
      <c r="BI99" s="231"/>
      <c r="BJ99" s="231"/>
      <c r="BK99" s="231"/>
      <c r="BL99" s="231"/>
      <c r="BM99" s="231"/>
      <c r="BN99" s="231"/>
      <c r="BO99" s="231"/>
      <c r="BP99" s="231"/>
      <c r="BQ99" s="231"/>
      <c r="BR99" s="231"/>
      <c r="BS99" s="231"/>
      <c r="BT99" s="231"/>
      <c r="BU99" s="231"/>
      <c r="BV99" s="222">
        <f t="shared" si="19"/>
        <v>1996</v>
      </c>
      <c r="BW99" s="231"/>
      <c r="BX99" s="231"/>
      <c r="BY99" s="231"/>
      <c r="BZ99" s="231"/>
      <c r="CA99" s="231"/>
      <c r="CB99" s="231"/>
      <c r="CC99" s="231"/>
      <c r="CD99" s="231"/>
      <c r="CE99" s="231"/>
      <c r="CF99" s="231"/>
      <c r="CG99" s="231"/>
      <c r="CH99" s="231"/>
      <c r="CI99" s="231"/>
      <c r="CJ99" s="231"/>
      <c r="CK99" s="231"/>
      <c r="CL99" s="231"/>
      <c r="CM99" s="231"/>
      <c r="CN99" s="231"/>
      <c r="CO99" s="231"/>
      <c r="CP99" s="231"/>
      <c r="CQ99" s="231"/>
      <c r="CR99" s="231"/>
      <c r="CS99" s="231"/>
      <c r="CT99" s="231"/>
      <c r="CU99" s="231"/>
      <c r="CV99" s="231"/>
      <c r="CW99" s="231"/>
      <c r="CX99" s="231"/>
      <c r="CY99" s="231"/>
      <c r="CZ99" s="231"/>
      <c r="DA99" s="231"/>
      <c r="DB99" s="231"/>
      <c r="DC99" s="231"/>
      <c r="DD99" s="231"/>
      <c r="DE99" s="231"/>
      <c r="DF99" s="231"/>
      <c r="DG99" s="231"/>
      <c r="DH99" s="231"/>
      <c r="DI99" s="231"/>
      <c r="DJ99" s="231"/>
      <c r="DK99" s="231"/>
      <c r="DL99" s="231"/>
      <c r="DM99" s="231"/>
      <c r="DN99" s="231"/>
      <c r="DO99" s="231"/>
      <c r="DP99" s="231"/>
      <c r="DQ99" s="231"/>
      <c r="DR99" s="231"/>
      <c r="DS99" s="231"/>
      <c r="DT99" s="231"/>
      <c r="DU99" s="231"/>
      <c r="DV99" s="231"/>
      <c r="DW99" s="231"/>
      <c r="YS99" s="38" t="e">
        <f>RIGHT(CONCATENATE(0,#REF!),7)</f>
        <v>#REF!</v>
      </c>
    </row>
    <row r="100" spans="2:669" hidden="1">
      <c r="I100" s="57"/>
      <c r="J100" s="57"/>
      <c r="K100" s="57"/>
      <c r="L100" s="57"/>
      <c r="S100" s="270">
        <v>17540</v>
      </c>
      <c r="T100" s="270">
        <v>18030</v>
      </c>
      <c r="U100" s="270">
        <v>18520</v>
      </c>
      <c r="V100" s="270">
        <v>19050</v>
      </c>
      <c r="W100" s="222">
        <f t="shared" si="14"/>
        <v>37100</v>
      </c>
      <c r="X100" s="720">
        <f>IF(X99&gt;=SUM(110850,5*2520),"",IF(X99&gt;=100770,X99+2520,IF(X99&gt;=91450,X99+2330,IF(X99&gt;=84970,X99+2160,IF(X99&gt;=78910,X99+2020,IF(X99&gt;=73270,X99+1880,IF(X99&gt;=67990,X99+1760,IF(X99&gt;=63010,X99+1660,IF(X99&gt;=58330,X99+1560,IF(X99&gt;=53950,X99+1460,IF(X99&gt;=49870,X99+1360,IF(X99&gt;=46060,X99+1270,IF(X99&gt;=42490,X99+1190,IF(X99&gt;=39160,X99+1110,IF(X99&gt;=36070,X99+1030,IF(X99&gt;=33220,X99+950,IF(X99&gt;=30580,X99+880,IF(X99&gt;=28120,X99+820,IF(X99&gt;=25840,X99+760,IF(X99&gt;=23740,X99+700,IF(X99&gt;=21820,X99+640,IF(X99&gt;=20050,X99+590,IF(X99&gt;=18400,X99+550,IF(X99&gt;=16870,X99+510,IF(X99&gt;=15460,X99+470,IF(X99&gt;=14170,X99+430,IF(X99&gt;=13000,X99+390,0)))))))))))))))))))))))))))</f>
        <v>33220</v>
      </c>
      <c r="Y100" s="718">
        <f t="shared" si="16"/>
        <v>34170</v>
      </c>
      <c r="Z100" s="222">
        <f t="shared" si="20"/>
        <v>35120</v>
      </c>
      <c r="AA100" s="222">
        <f t="shared" si="20"/>
        <v>36070</v>
      </c>
      <c r="AB100" s="222">
        <f t="shared" si="17"/>
        <v>17050</v>
      </c>
      <c r="AX100" s="231"/>
      <c r="AY100" s="231"/>
      <c r="AZ100" s="231"/>
      <c r="BA100" s="231"/>
      <c r="BB100" s="231"/>
      <c r="BC100" s="231"/>
      <c r="BD100" s="231"/>
      <c r="BE100" s="231"/>
      <c r="BF100" s="231"/>
      <c r="BG100" s="231"/>
      <c r="BH100" s="231"/>
      <c r="BI100" s="231"/>
      <c r="BJ100" s="231"/>
      <c r="BK100" s="231"/>
      <c r="BL100" s="231"/>
      <c r="BM100" s="231"/>
      <c r="BN100" s="231"/>
      <c r="BO100" s="231"/>
      <c r="BP100" s="231"/>
      <c r="BQ100" s="231"/>
      <c r="BR100" s="231"/>
      <c r="BS100" s="231"/>
      <c r="BT100" s="231"/>
      <c r="BU100" s="231"/>
      <c r="BV100" s="222">
        <f t="shared" si="19"/>
        <v>1997</v>
      </c>
      <c r="BW100" s="231"/>
      <c r="BX100" s="231"/>
      <c r="BY100" s="231"/>
      <c r="BZ100" s="231"/>
      <c r="CA100" s="231"/>
      <c r="CB100" s="231"/>
      <c r="CC100" s="231"/>
      <c r="CD100" s="231"/>
      <c r="CE100" s="231"/>
      <c r="CF100" s="231"/>
      <c r="CG100" s="231"/>
      <c r="CH100" s="231"/>
      <c r="CI100" s="231"/>
      <c r="CJ100" s="231"/>
      <c r="CK100" s="231"/>
      <c r="CL100" s="231"/>
      <c r="CM100" s="231"/>
      <c r="CN100" s="231"/>
      <c r="CO100" s="231"/>
      <c r="CP100" s="231"/>
      <c r="CQ100" s="231"/>
      <c r="CR100" s="231"/>
      <c r="CS100" s="231"/>
      <c r="CT100" s="231"/>
      <c r="CU100" s="231"/>
      <c r="CV100" s="231"/>
      <c r="CW100" s="231"/>
      <c r="CX100" s="231"/>
      <c r="CY100" s="231"/>
      <c r="CZ100" s="231"/>
      <c r="DA100" s="231"/>
      <c r="DB100" s="231"/>
      <c r="DC100" s="231"/>
      <c r="DD100" s="231"/>
      <c r="DE100" s="231"/>
      <c r="DF100" s="231"/>
      <c r="DG100" s="231"/>
      <c r="DH100" s="231"/>
      <c r="DI100" s="231"/>
      <c r="DJ100" s="231"/>
      <c r="DK100" s="231"/>
      <c r="DL100" s="231"/>
      <c r="DM100" s="231"/>
      <c r="DN100" s="231"/>
      <c r="DO100" s="231"/>
      <c r="DP100" s="231"/>
      <c r="DQ100" s="231"/>
      <c r="DR100" s="231"/>
      <c r="DS100" s="231"/>
      <c r="DT100" s="231"/>
      <c r="DU100" s="231"/>
      <c r="DV100" s="231"/>
      <c r="DW100" s="231"/>
      <c r="YS100" s="38" t="e">
        <f>RIGHT(CONCATENATE(0,#REF!),7)</f>
        <v>#REF!</v>
      </c>
    </row>
    <row r="101" spans="2:669" hidden="1">
      <c r="I101" s="57"/>
      <c r="J101" s="57"/>
      <c r="K101" s="57"/>
      <c r="L101" s="57"/>
      <c r="S101" s="270">
        <v>18030</v>
      </c>
      <c r="T101" s="270">
        <v>18520</v>
      </c>
      <c r="U101" s="270">
        <v>19050</v>
      </c>
      <c r="V101" s="270">
        <v>19580</v>
      </c>
      <c r="W101" s="222">
        <f t="shared" si="14"/>
        <v>38130</v>
      </c>
      <c r="X101" s="720">
        <f t="shared" si="18"/>
        <v>34170</v>
      </c>
      <c r="Y101" s="718">
        <f t="shared" si="16"/>
        <v>35120</v>
      </c>
      <c r="Z101" s="222">
        <f t="shared" si="20"/>
        <v>36070</v>
      </c>
      <c r="AA101" s="222">
        <f t="shared" si="20"/>
        <v>37100</v>
      </c>
      <c r="AB101" s="222">
        <f t="shared" si="17"/>
        <v>17540</v>
      </c>
      <c r="AX101" s="231"/>
      <c r="AY101" s="231"/>
      <c r="AZ101" s="231"/>
      <c r="BA101" s="231"/>
      <c r="BB101" s="231"/>
      <c r="BC101" s="231"/>
      <c r="BD101" s="231"/>
      <c r="BE101" s="231"/>
      <c r="BF101" s="231"/>
      <c r="BG101" s="231"/>
      <c r="BH101" s="231"/>
      <c r="BI101" s="231"/>
      <c r="BJ101" s="231"/>
      <c r="BK101" s="231"/>
      <c r="BL101" s="231"/>
      <c r="BM101" s="231"/>
      <c r="BN101" s="231"/>
      <c r="BO101" s="231"/>
      <c r="BP101" s="231"/>
      <c r="BQ101" s="231"/>
      <c r="BR101" s="231"/>
      <c r="BS101" s="231"/>
      <c r="BT101" s="231"/>
      <c r="BU101" s="231"/>
      <c r="BV101" s="222">
        <f t="shared" si="19"/>
        <v>1998</v>
      </c>
      <c r="BW101" s="231"/>
      <c r="BX101" s="231"/>
      <c r="BY101" s="231"/>
      <c r="BZ101" s="231"/>
      <c r="CA101" s="231"/>
      <c r="CB101" s="231"/>
      <c r="CC101" s="231"/>
      <c r="CD101" s="231"/>
      <c r="CE101" s="231"/>
      <c r="CF101" s="231"/>
      <c r="CG101" s="231"/>
      <c r="CH101" s="231"/>
      <c r="CI101" s="231"/>
      <c r="CJ101" s="231"/>
      <c r="CK101" s="231"/>
      <c r="CL101" s="231"/>
      <c r="CM101" s="231"/>
      <c r="CN101" s="231"/>
      <c r="CO101" s="231"/>
      <c r="CP101" s="231"/>
      <c r="CQ101" s="231"/>
      <c r="CR101" s="231"/>
      <c r="CS101" s="231"/>
      <c r="CT101" s="231"/>
      <c r="CU101" s="231"/>
      <c r="CV101" s="231"/>
      <c r="CW101" s="231"/>
      <c r="CX101" s="231"/>
      <c r="CY101" s="231"/>
      <c r="CZ101" s="231"/>
      <c r="DA101" s="231"/>
      <c r="DB101" s="231"/>
      <c r="DC101" s="231"/>
      <c r="DD101" s="231"/>
      <c r="DE101" s="231"/>
      <c r="DF101" s="231"/>
      <c r="DG101" s="231"/>
      <c r="DH101" s="231"/>
      <c r="DI101" s="231"/>
      <c r="DJ101" s="231"/>
      <c r="DK101" s="231"/>
      <c r="DL101" s="231"/>
      <c r="DM101" s="231"/>
      <c r="DN101" s="231"/>
      <c r="DO101" s="231"/>
      <c r="DP101" s="231"/>
      <c r="DQ101" s="231"/>
      <c r="DR101" s="231"/>
      <c r="DS101" s="231"/>
      <c r="DT101" s="231"/>
      <c r="DU101" s="231"/>
      <c r="DV101" s="231"/>
      <c r="DW101" s="231"/>
      <c r="YS101" s="38" t="e">
        <f>RIGHT(CONCATENATE(0,#REF!),7)</f>
        <v>#REF!</v>
      </c>
    </row>
    <row r="102" spans="2:669" hidden="1">
      <c r="I102" s="57"/>
      <c r="J102" s="57"/>
      <c r="K102" s="57"/>
      <c r="L102" s="57"/>
      <c r="S102" s="270">
        <v>18520</v>
      </c>
      <c r="T102" s="270">
        <v>19050</v>
      </c>
      <c r="U102" s="270">
        <v>19580</v>
      </c>
      <c r="V102" s="270">
        <v>20110</v>
      </c>
      <c r="W102" s="222">
        <f t="shared" si="14"/>
        <v>39160</v>
      </c>
      <c r="X102" s="720">
        <f t="shared" si="18"/>
        <v>35120</v>
      </c>
      <c r="Y102" s="718">
        <f t="shared" si="16"/>
        <v>36070</v>
      </c>
      <c r="Z102" s="222">
        <f t="shared" si="20"/>
        <v>37100</v>
      </c>
      <c r="AA102" s="222">
        <f t="shared" si="20"/>
        <v>38130</v>
      </c>
      <c r="AB102" s="222">
        <f t="shared" si="17"/>
        <v>18030</v>
      </c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1"/>
      <c r="BS102" s="231"/>
      <c r="BT102" s="231"/>
      <c r="BU102" s="231"/>
      <c r="BV102" s="222">
        <f t="shared" si="19"/>
        <v>1999</v>
      </c>
      <c r="BW102" s="231"/>
      <c r="BX102" s="231"/>
      <c r="BY102" s="231"/>
      <c r="BZ102" s="231"/>
      <c r="CA102" s="231"/>
      <c r="CB102" s="231"/>
      <c r="CC102" s="231"/>
      <c r="CD102" s="231"/>
      <c r="CE102" s="231"/>
      <c r="CF102" s="231"/>
      <c r="CG102" s="231"/>
      <c r="CH102" s="231"/>
      <c r="CI102" s="231"/>
      <c r="CJ102" s="231"/>
      <c r="CK102" s="231"/>
      <c r="CL102" s="231"/>
      <c r="CM102" s="231"/>
      <c r="CN102" s="231"/>
      <c r="CO102" s="231"/>
      <c r="CP102" s="231"/>
      <c r="CQ102" s="231"/>
      <c r="CR102" s="231"/>
      <c r="CS102" s="231"/>
      <c r="CT102" s="231"/>
      <c r="CU102" s="231"/>
      <c r="CV102" s="231"/>
      <c r="CW102" s="231"/>
      <c r="CX102" s="231"/>
      <c r="CY102" s="231"/>
      <c r="CZ102" s="231"/>
      <c r="DA102" s="231"/>
      <c r="DB102" s="231"/>
      <c r="DC102" s="231"/>
      <c r="DD102" s="231"/>
      <c r="DE102" s="231"/>
      <c r="DF102" s="231"/>
      <c r="DG102" s="231"/>
      <c r="DH102" s="231"/>
      <c r="DI102" s="231"/>
      <c r="DJ102" s="231"/>
      <c r="DK102" s="231"/>
      <c r="DL102" s="231"/>
      <c r="DM102" s="231"/>
      <c r="DN102" s="231"/>
      <c r="DO102" s="231"/>
      <c r="DP102" s="231"/>
      <c r="DQ102" s="231"/>
      <c r="DR102" s="231"/>
      <c r="DS102" s="231"/>
      <c r="DT102" s="231"/>
      <c r="DU102" s="231"/>
      <c r="DV102" s="231"/>
      <c r="DW102" s="231"/>
      <c r="YS102" s="38" t="e">
        <f>RIGHT(CONCATENATE(0,#REF!),7)</f>
        <v>#REF!</v>
      </c>
    </row>
    <row r="103" spans="2:669" hidden="1">
      <c r="I103" s="57"/>
      <c r="J103" s="57"/>
      <c r="K103" s="57"/>
      <c r="L103" s="57"/>
      <c r="S103" s="270">
        <v>19050</v>
      </c>
      <c r="T103" s="270">
        <v>19580</v>
      </c>
      <c r="U103" s="270">
        <v>20110</v>
      </c>
      <c r="V103" s="270">
        <v>20680</v>
      </c>
      <c r="W103" s="222">
        <f t="shared" si="14"/>
        <v>40270</v>
      </c>
      <c r="X103" s="720">
        <f t="shared" si="18"/>
        <v>36070</v>
      </c>
      <c r="Y103" s="718">
        <f t="shared" si="16"/>
        <v>37100</v>
      </c>
      <c r="Z103" s="222">
        <f t="shared" si="20"/>
        <v>38130</v>
      </c>
      <c r="AA103" s="222">
        <f t="shared" si="20"/>
        <v>39160</v>
      </c>
      <c r="AB103" s="222">
        <f t="shared" si="17"/>
        <v>18520</v>
      </c>
      <c r="AX103" s="231"/>
      <c r="AY103" s="231"/>
      <c r="AZ103" s="231"/>
      <c r="BA103" s="231"/>
      <c r="BB103" s="231"/>
      <c r="BC103" s="231"/>
      <c r="BD103" s="231"/>
      <c r="BE103" s="231"/>
      <c r="BF103" s="231"/>
      <c r="BG103" s="231"/>
      <c r="BH103" s="231"/>
      <c r="BI103" s="231"/>
      <c r="BJ103" s="231"/>
      <c r="BK103" s="231"/>
      <c r="BL103" s="231"/>
      <c r="BM103" s="231"/>
      <c r="BN103" s="231"/>
      <c r="BO103" s="231"/>
      <c r="BP103" s="231"/>
      <c r="BQ103" s="231"/>
      <c r="BR103" s="231"/>
      <c r="BS103" s="231"/>
      <c r="BT103" s="231"/>
      <c r="BU103" s="231"/>
      <c r="BV103" s="222">
        <f t="shared" si="19"/>
        <v>2000</v>
      </c>
      <c r="BW103" s="231"/>
      <c r="BX103" s="231"/>
      <c r="BY103" s="231"/>
      <c r="BZ103" s="231"/>
      <c r="CA103" s="231"/>
      <c r="CB103" s="231"/>
      <c r="CC103" s="231"/>
      <c r="CD103" s="231"/>
      <c r="CE103" s="231"/>
      <c r="CF103" s="231"/>
      <c r="CG103" s="231"/>
      <c r="CH103" s="231"/>
      <c r="CI103" s="231"/>
      <c r="CJ103" s="231"/>
      <c r="CK103" s="231"/>
      <c r="CL103" s="231"/>
      <c r="CM103" s="231"/>
      <c r="CN103" s="231"/>
      <c r="CO103" s="231"/>
      <c r="CP103" s="231"/>
      <c r="CQ103" s="231"/>
      <c r="CR103" s="231"/>
      <c r="CS103" s="231"/>
      <c r="CT103" s="231"/>
      <c r="CU103" s="231"/>
      <c r="CV103" s="231"/>
      <c r="CW103" s="231"/>
      <c r="CX103" s="231"/>
      <c r="CY103" s="231"/>
      <c r="CZ103" s="231"/>
      <c r="DA103" s="231"/>
      <c r="DB103" s="231"/>
      <c r="DC103" s="231"/>
      <c r="DD103" s="231"/>
      <c r="DE103" s="231"/>
      <c r="DF103" s="231"/>
      <c r="DG103" s="231"/>
      <c r="DH103" s="231"/>
      <c r="DI103" s="231"/>
      <c r="DJ103" s="231"/>
      <c r="DK103" s="231"/>
      <c r="DL103" s="231"/>
      <c r="DM103" s="231"/>
      <c r="DN103" s="231"/>
      <c r="DO103" s="231"/>
      <c r="DP103" s="231"/>
      <c r="DQ103" s="231"/>
      <c r="DR103" s="231"/>
      <c r="DS103" s="231"/>
      <c r="DT103" s="231"/>
      <c r="DU103" s="231"/>
      <c r="DV103" s="231"/>
      <c r="DW103" s="231"/>
      <c r="YS103" s="38" t="e">
        <f>RIGHT(CONCATENATE(0,#REF!),7)</f>
        <v>#REF!</v>
      </c>
    </row>
    <row r="104" spans="2:669" hidden="1">
      <c r="I104" s="57"/>
      <c r="J104" s="57"/>
      <c r="K104" s="57"/>
      <c r="L104" s="57"/>
      <c r="S104" s="270">
        <v>19580</v>
      </c>
      <c r="T104" s="270">
        <v>20110</v>
      </c>
      <c r="U104" s="270">
        <v>20680</v>
      </c>
      <c r="V104" s="270">
        <v>21250</v>
      </c>
      <c r="W104" s="222">
        <f t="shared" si="14"/>
        <v>41380</v>
      </c>
      <c r="X104" s="720">
        <f t="shared" si="18"/>
        <v>37100</v>
      </c>
      <c r="Y104" s="718">
        <f t="shared" si="16"/>
        <v>38130</v>
      </c>
      <c r="Z104" s="222">
        <f t="shared" si="20"/>
        <v>39160</v>
      </c>
      <c r="AA104" s="222">
        <f t="shared" si="20"/>
        <v>40270</v>
      </c>
      <c r="AB104" s="222">
        <f t="shared" si="17"/>
        <v>19050</v>
      </c>
      <c r="AX104" s="231"/>
      <c r="AY104" s="231"/>
      <c r="AZ104" s="231"/>
      <c r="BA104" s="231"/>
      <c r="BB104" s="231"/>
      <c r="BC104" s="231"/>
      <c r="BD104" s="231"/>
      <c r="BE104" s="231"/>
      <c r="BF104" s="231"/>
      <c r="BG104" s="231"/>
      <c r="BH104" s="231"/>
      <c r="BI104" s="231"/>
      <c r="BJ104" s="231"/>
      <c r="BK104" s="231"/>
      <c r="BL104" s="231"/>
      <c r="BM104" s="231"/>
      <c r="BN104" s="231"/>
      <c r="BO104" s="231"/>
      <c r="BP104" s="231"/>
      <c r="BQ104" s="231"/>
      <c r="BR104" s="231"/>
      <c r="BS104" s="231"/>
      <c r="BT104" s="231"/>
      <c r="BU104" s="231"/>
      <c r="BV104" s="222">
        <f t="shared" si="19"/>
        <v>2001</v>
      </c>
      <c r="BW104" s="231"/>
      <c r="BX104" s="231"/>
      <c r="BY104" s="231"/>
      <c r="BZ104" s="231"/>
      <c r="CA104" s="231"/>
      <c r="CB104" s="231"/>
      <c r="CC104" s="231"/>
      <c r="CD104" s="231"/>
      <c r="CE104" s="231"/>
      <c r="CF104" s="231"/>
      <c r="CG104" s="231"/>
      <c r="CH104" s="231"/>
      <c r="CI104" s="231"/>
      <c r="CJ104" s="231"/>
      <c r="CK104" s="231"/>
      <c r="CL104" s="231"/>
      <c r="CM104" s="231"/>
      <c r="CN104" s="231"/>
      <c r="CO104" s="231"/>
      <c r="CP104" s="231"/>
      <c r="CQ104" s="231"/>
      <c r="CR104" s="231"/>
      <c r="CS104" s="231"/>
      <c r="CT104" s="231"/>
      <c r="CU104" s="231"/>
      <c r="CV104" s="231"/>
      <c r="CW104" s="231"/>
      <c r="CX104" s="231"/>
      <c r="CY104" s="231"/>
      <c r="CZ104" s="231"/>
      <c r="DA104" s="231"/>
      <c r="DB104" s="231"/>
      <c r="DC104" s="231"/>
      <c r="DD104" s="231"/>
      <c r="DE104" s="231"/>
      <c r="DF104" s="231"/>
      <c r="DG104" s="231"/>
      <c r="DH104" s="231"/>
      <c r="DI104" s="231"/>
      <c r="DJ104" s="231"/>
      <c r="DK104" s="231"/>
      <c r="DL104" s="231"/>
      <c r="DM104" s="231"/>
      <c r="DN104" s="231"/>
      <c r="DO104" s="231"/>
      <c r="DP104" s="231"/>
      <c r="DQ104" s="231"/>
      <c r="DR104" s="231"/>
      <c r="DS104" s="231"/>
      <c r="DT104" s="231"/>
      <c r="DU104" s="231"/>
      <c r="DV104" s="231"/>
      <c r="DW104" s="231"/>
      <c r="YS104" s="38" t="e">
        <f>RIGHT(CONCATENATE(0,#REF!),7)</f>
        <v>#REF!</v>
      </c>
    </row>
    <row r="105" spans="2:669" hidden="1">
      <c r="I105" s="57"/>
      <c r="J105" s="57"/>
      <c r="K105" s="57"/>
      <c r="L105" s="57"/>
      <c r="S105" s="270">
        <v>20110</v>
      </c>
      <c r="T105" s="270">
        <v>20680</v>
      </c>
      <c r="U105" s="270">
        <v>21250</v>
      </c>
      <c r="V105" s="270">
        <v>21820</v>
      </c>
      <c r="W105" s="222">
        <f t="shared" si="14"/>
        <v>42490</v>
      </c>
      <c r="X105" s="720">
        <f t="shared" si="18"/>
        <v>38130</v>
      </c>
      <c r="Y105" s="718">
        <f t="shared" si="16"/>
        <v>39160</v>
      </c>
      <c r="Z105" s="222">
        <f t="shared" si="20"/>
        <v>40270</v>
      </c>
      <c r="AA105" s="222">
        <f t="shared" si="20"/>
        <v>41380</v>
      </c>
      <c r="AB105" s="222">
        <f t="shared" si="17"/>
        <v>19580</v>
      </c>
      <c r="AL105" s="231"/>
      <c r="AM105" s="231"/>
      <c r="AN105" s="231"/>
      <c r="AO105" s="231"/>
      <c r="AP105" s="231"/>
      <c r="AQ105" s="231"/>
      <c r="AR105" s="231"/>
      <c r="AS105" s="231"/>
      <c r="AT105" s="231"/>
      <c r="AU105" s="231"/>
      <c r="AV105" s="231"/>
      <c r="AW105" s="231"/>
      <c r="AX105" s="231"/>
      <c r="AY105" s="231"/>
      <c r="AZ105" s="231"/>
      <c r="BA105" s="231"/>
      <c r="BB105" s="231"/>
      <c r="BC105" s="231"/>
      <c r="BD105" s="231"/>
      <c r="BE105" s="231"/>
      <c r="BF105" s="231"/>
      <c r="BG105" s="231"/>
      <c r="BH105" s="231"/>
      <c r="BI105" s="231"/>
      <c r="BJ105" s="231"/>
      <c r="BK105" s="231"/>
      <c r="BL105" s="231"/>
      <c r="BM105" s="231"/>
      <c r="BN105" s="231"/>
      <c r="BO105" s="231"/>
      <c r="BP105" s="231"/>
      <c r="BQ105" s="231"/>
      <c r="BR105" s="231"/>
      <c r="BS105" s="231"/>
      <c r="BT105" s="231"/>
      <c r="BU105" s="231"/>
      <c r="BV105" s="222">
        <f t="shared" si="19"/>
        <v>2002</v>
      </c>
      <c r="BW105" s="231"/>
      <c r="BX105" s="231"/>
      <c r="BY105" s="231"/>
      <c r="BZ105" s="231"/>
      <c r="CA105" s="231"/>
      <c r="CB105" s="231"/>
      <c r="CC105" s="231"/>
      <c r="CD105" s="231"/>
      <c r="CE105" s="231"/>
      <c r="CF105" s="231"/>
      <c r="CG105" s="231"/>
      <c r="CH105" s="231"/>
      <c r="CI105" s="231"/>
      <c r="CJ105" s="231"/>
      <c r="CK105" s="231"/>
      <c r="CL105" s="231"/>
      <c r="CM105" s="231"/>
      <c r="CN105" s="231"/>
      <c r="CO105" s="231"/>
      <c r="CP105" s="231"/>
      <c r="CQ105" s="231"/>
      <c r="CR105" s="231"/>
      <c r="CS105" s="231"/>
      <c r="CT105" s="231"/>
      <c r="CU105" s="231"/>
      <c r="CV105" s="231"/>
      <c r="CW105" s="231"/>
      <c r="CX105" s="231"/>
      <c r="CY105" s="231"/>
      <c r="CZ105" s="231"/>
      <c r="DA105" s="231"/>
      <c r="DB105" s="231"/>
      <c r="DC105" s="231"/>
      <c r="DD105" s="231"/>
      <c r="DE105" s="231"/>
      <c r="DF105" s="231"/>
      <c r="DG105" s="231"/>
      <c r="DH105" s="231"/>
      <c r="DI105" s="231"/>
      <c r="DJ105" s="231"/>
      <c r="DK105" s="231"/>
      <c r="DL105" s="231"/>
      <c r="DM105" s="231"/>
      <c r="DN105" s="231"/>
      <c r="DO105" s="231"/>
      <c r="DP105" s="231"/>
      <c r="DQ105" s="231"/>
      <c r="DR105" s="231"/>
      <c r="DS105" s="231"/>
      <c r="DT105" s="231"/>
      <c r="DU105" s="231"/>
      <c r="DV105" s="231"/>
      <c r="DW105" s="231"/>
      <c r="YS105" s="38" t="e">
        <f>RIGHT(CONCATENATE(0,#REF!),7)</f>
        <v>#REF!</v>
      </c>
    </row>
    <row r="106" spans="2:669" hidden="1">
      <c r="I106" s="57"/>
      <c r="J106" s="57"/>
      <c r="K106" s="57"/>
      <c r="L106" s="57"/>
      <c r="S106" s="270">
        <v>20680</v>
      </c>
      <c r="T106" s="270">
        <v>21250</v>
      </c>
      <c r="U106" s="270">
        <v>21820</v>
      </c>
      <c r="V106" s="270">
        <v>22430</v>
      </c>
      <c r="W106" s="222">
        <f t="shared" si="14"/>
        <v>43680</v>
      </c>
      <c r="X106" s="720">
        <f t="shared" si="18"/>
        <v>39160</v>
      </c>
      <c r="Y106" s="718">
        <f t="shared" si="16"/>
        <v>40270</v>
      </c>
      <c r="Z106" s="222">
        <f t="shared" si="20"/>
        <v>41380</v>
      </c>
      <c r="AA106" s="222">
        <f t="shared" si="20"/>
        <v>42490</v>
      </c>
      <c r="AB106" s="222">
        <f t="shared" si="17"/>
        <v>20110</v>
      </c>
      <c r="AL106" s="231"/>
      <c r="AM106" s="231"/>
      <c r="AN106" s="231"/>
      <c r="AO106" s="231"/>
      <c r="AP106" s="231"/>
      <c r="AQ106" s="231"/>
      <c r="AR106" s="231"/>
      <c r="AS106" s="231"/>
      <c r="AT106" s="231"/>
      <c r="AU106" s="231"/>
      <c r="AV106" s="231"/>
      <c r="AW106" s="231"/>
      <c r="AX106" s="231"/>
      <c r="AY106" s="231"/>
      <c r="AZ106" s="231"/>
      <c r="BA106" s="231"/>
      <c r="BB106" s="231"/>
      <c r="BC106" s="231"/>
      <c r="BD106" s="231"/>
      <c r="BE106" s="231"/>
      <c r="BF106" s="231"/>
      <c r="BG106" s="231"/>
      <c r="BH106" s="231"/>
      <c r="BI106" s="231"/>
      <c r="BJ106" s="231"/>
      <c r="BK106" s="231"/>
      <c r="BL106" s="231"/>
      <c r="BM106" s="231"/>
      <c r="BN106" s="231"/>
      <c r="BO106" s="231"/>
      <c r="BP106" s="231"/>
      <c r="BQ106" s="231"/>
      <c r="BR106" s="231"/>
      <c r="BS106" s="231"/>
      <c r="BT106" s="231"/>
      <c r="BU106" s="231"/>
      <c r="BV106" s="222">
        <f t="shared" si="19"/>
        <v>2003</v>
      </c>
      <c r="BW106" s="231"/>
      <c r="BX106" s="231"/>
      <c r="BY106" s="231"/>
      <c r="BZ106" s="231"/>
      <c r="CA106" s="231"/>
      <c r="CB106" s="231"/>
      <c r="CC106" s="231"/>
      <c r="CD106" s="231"/>
      <c r="CE106" s="231"/>
      <c r="CF106" s="231"/>
      <c r="CG106" s="231"/>
      <c r="CH106" s="231"/>
      <c r="CI106" s="231"/>
      <c r="CJ106" s="231"/>
      <c r="CK106" s="231"/>
      <c r="CL106" s="231"/>
      <c r="CM106" s="231"/>
      <c r="CN106" s="231"/>
      <c r="CO106" s="231"/>
      <c r="CP106" s="231"/>
      <c r="CQ106" s="231"/>
      <c r="CR106" s="231"/>
      <c r="CS106" s="231"/>
      <c r="CT106" s="231"/>
      <c r="CU106" s="231"/>
      <c r="CV106" s="231"/>
      <c r="CW106" s="231"/>
      <c r="CX106" s="231"/>
      <c r="CY106" s="231"/>
      <c r="CZ106" s="231"/>
      <c r="DA106" s="231"/>
      <c r="DB106" s="231"/>
      <c r="DC106" s="231"/>
      <c r="DD106" s="231"/>
      <c r="DE106" s="231"/>
      <c r="DF106" s="231"/>
      <c r="DG106" s="231"/>
      <c r="DH106" s="231"/>
      <c r="DI106" s="231"/>
      <c r="DJ106" s="231"/>
      <c r="DK106" s="231"/>
      <c r="DL106" s="231"/>
      <c r="DM106" s="231"/>
      <c r="DN106" s="231"/>
      <c r="DO106" s="231"/>
      <c r="DP106" s="231"/>
      <c r="DQ106" s="231"/>
      <c r="DR106" s="231"/>
      <c r="DS106" s="231"/>
      <c r="DT106" s="231"/>
      <c r="DU106" s="231"/>
      <c r="DV106" s="231"/>
      <c r="DW106" s="231"/>
      <c r="YS106" s="38" t="e">
        <f>RIGHT(CONCATENATE(0,#REF!),7)</f>
        <v>#REF!</v>
      </c>
    </row>
    <row r="107" spans="2:669" hidden="1">
      <c r="B107" s="38" t="s">
        <v>1711</v>
      </c>
      <c r="I107" s="57"/>
      <c r="J107" s="57"/>
      <c r="K107" s="57"/>
      <c r="L107" s="57"/>
      <c r="S107" s="270">
        <v>21250</v>
      </c>
      <c r="T107" s="270">
        <v>21820</v>
      </c>
      <c r="U107" s="270">
        <v>22430</v>
      </c>
      <c r="V107" s="270">
        <v>23040</v>
      </c>
      <c r="W107" s="222">
        <f t="shared" si="14"/>
        <v>44870</v>
      </c>
      <c r="X107" s="720">
        <f t="shared" si="18"/>
        <v>40270</v>
      </c>
      <c r="Y107" s="718">
        <f t="shared" si="16"/>
        <v>41380</v>
      </c>
      <c r="Z107" s="222">
        <f t="shared" si="20"/>
        <v>42490</v>
      </c>
      <c r="AA107" s="222">
        <f t="shared" si="20"/>
        <v>43680</v>
      </c>
      <c r="AB107" s="222">
        <f t="shared" si="17"/>
        <v>20680</v>
      </c>
      <c r="AL107" s="231"/>
      <c r="AM107" s="231"/>
      <c r="AN107" s="231"/>
      <c r="AO107" s="231"/>
      <c r="AP107" s="231"/>
      <c r="AQ107" s="231"/>
      <c r="AR107" s="231"/>
      <c r="AS107" s="231"/>
      <c r="AT107" s="231"/>
      <c r="AU107" s="231"/>
      <c r="AV107" s="231"/>
      <c r="AW107" s="231"/>
      <c r="AX107" s="231"/>
      <c r="AY107" s="231"/>
      <c r="AZ107" s="231"/>
      <c r="BA107" s="231"/>
      <c r="BB107" s="231"/>
      <c r="BC107" s="231"/>
      <c r="BD107" s="231"/>
      <c r="BE107" s="231"/>
      <c r="BF107" s="231"/>
      <c r="BG107" s="231"/>
      <c r="BH107" s="231"/>
      <c r="BI107" s="231"/>
      <c r="BJ107" s="231"/>
      <c r="BK107" s="231"/>
      <c r="BL107" s="231"/>
      <c r="BM107" s="231"/>
      <c r="BN107" s="231"/>
      <c r="BO107" s="231"/>
      <c r="BP107" s="231"/>
      <c r="BQ107" s="231"/>
      <c r="BR107" s="231"/>
      <c r="BS107" s="231"/>
      <c r="BT107" s="231"/>
      <c r="BU107" s="231"/>
      <c r="BV107" s="222">
        <f t="shared" si="19"/>
        <v>2004</v>
      </c>
      <c r="BW107" s="231"/>
      <c r="BX107" s="231"/>
      <c r="BY107" s="231"/>
      <c r="BZ107" s="231"/>
      <c r="CA107" s="231"/>
      <c r="CB107" s="231"/>
      <c r="CC107" s="231"/>
      <c r="CD107" s="231"/>
      <c r="CE107" s="231"/>
      <c r="CF107" s="231"/>
      <c r="CG107" s="231"/>
      <c r="CH107" s="231"/>
      <c r="CI107" s="231"/>
      <c r="CJ107" s="231"/>
      <c r="CK107" s="231"/>
      <c r="CL107" s="231"/>
      <c r="CM107" s="231"/>
      <c r="CN107" s="231"/>
      <c r="CO107" s="231"/>
      <c r="CP107" s="231"/>
      <c r="CQ107" s="231"/>
      <c r="CR107" s="231"/>
      <c r="CS107" s="231"/>
      <c r="CT107" s="231"/>
      <c r="CU107" s="231"/>
      <c r="CV107" s="231"/>
      <c r="CW107" s="231"/>
      <c r="CX107" s="231"/>
      <c r="CY107" s="231"/>
      <c r="CZ107" s="231"/>
      <c r="DA107" s="231"/>
      <c r="DB107" s="231"/>
      <c r="DC107" s="231"/>
      <c r="DD107" s="231"/>
      <c r="DE107" s="231"/>
      <c r="DF107" s="231"/>
      <c r="DG107" s="231"/>
      <c r="DH107" s="231"/>
      <c r="DI107" s="231"/>
      <c r="DJ107" s="231"/>
      <c r="DK107" s="231"/>
      <c r="DL107" s="231"/>
      <c r="DM107" s="231"/>
      <c r="DN107" s="231"/>
      <c r="DO107" s="231"/>
      <c r="DP107" s="231"/>
      <c r="DQ107" s="231"/>
      <c r="DR107" s="231"/>
      <c r="DS107" s="231"/>
      <c r="DT107" s="231"/>
      <c r="DU107" s="231"/>
      <c r="DV107" s="231"/>
      <c r="DW107" s="231"/>
      <c r="YS107" s="38" t="e">
        <f>RIGHT(CONCATENATE(0,#REF!),7)</f>
        <v>#REF!</v>
      </c>
    </row>
    <row r="108" spans="2:669" hidden="1">
      <c r="B108" s="38" t="s">
        <v>1712</v>
      </c>
      <c r="I108" s="57"/>
      <c r="J108" s="57"/>
      <c r="K108" s="57"/>
      <c r="L108" s="57"/>
      <c r="S108" s="270">
        <v>21820</v>
      </c>
      <c r="T108" s="270">
        <v>22430</v>
      </c>
      <c r="U108" s="270">
        <v>23040</v>
      </c>
      <c r="V108" s="270">
        <v>23650</v>
      </c>
      <c r="W108" s="222">
        <f t="shared" si="14"/>
        <v>46060</v>
      </c>
      <c r="X108" s="720">
        <f t="shared" si="18"/>
        <v>41380</v>
      </c>
      <c r="Y108" s="718">
        <f t="shared" si="16"/>
        <v>42490</v>
      </c>
      <c r="Z108" s="222">
        <f t="shared" si="20"/>
        <v>43680</v>
      </c>
      <c r="AA108" s="222">
        <f t="shared" si="20"/>
        <v>44870</v>
      </c>
      <c r="AB108" s="222">
        <f t="shared" si="17"/>
        <v>21250</v>
      </c>
      <c r="AL108" s="231"/>
      <c r="AM108" s="231"/>
      <c r="AN108" s="231"/>
      <c r="AO108" s="231"/>
      <c r="AP108" s="231"/>
      <c r="AQ108" s="231"/>
      <c r="AR108" s="231"/>
      <c r="AS108" s="231"/>
      <c r="AT108" s="231"/>
      <c r="AU108" s="231"/>
      <c r="AV108" s="231"/>
      <c r="AW108" s="231"/>
      <c r="AX108" s="231"/>
      <c r="AY108" s="231"/>
      <c r="AZ108" s="231"/>
      <c r="BA108" s="231"/>
      <c r="BB108" s="231"/>
      <c r="BC108" s="231"/>
      <c r="BD108" s="231"/>
      <c r="BE108" s="231"/>
      <c r="BF108" s="231"/>
      <c r="BG108" s="231"/>
      <c r="BH108" s="231"/>
      <c r="BI108" s="231"/>
      <c r="BJ108" s="231"/>
      <c r="BK108" s="231"/>
      <c r="BL108" s="231"/>
      <c r="BM108" s="231"/>
      <c r="BN108" s="231"/>
      <c r="BO108" s="231"/>
      <c r="BP108" s="231"/>
      <c r="BQ108" s="231"/>
      <c r="BR108" s="231"/>
      <c r="BS108" s="231"/>
      <c r="BT108" s="231"/>
      <c r="BU108" s="231"/>
      <c r="BV108" s="222">
        <f t="shared" si="19"/>
        <v>2005</v>
      </c>
      <c r="BW108" s="231"/>
      <c r="BX108" s="231"/>
      <c r="BY108" s="231"/>
      <c r="BZ108" s="231"/>
      <c r="CA108" s="231"/>
      <c r="CB108" s="231"/>
      <c r="CC108" s="231"/>
      <c r="CD108" s="231"/>
      <c r="CE108" s="231"/>
      <c r="CF108" s="231"/>
      <c r="CG108" s="231"/>
      <c r="CH108" s="231"/>
      <c r="CI108" s="231"/>
      <c r="CJ108" s="231"/>
      <c r="CK108" s="231"/>
      <c r="CL108" s="231"/>
      <c r="CM108" s="231"/>
      <c r="CN108" s="231"/>
      <c r="CO108" s="231"/>
      <c r="CP108" s="231"/>
      <c r="CQ108" s="231"/>
      <c r="CR108" s="231"/>
      <c r="CS108" s="231"/>
      <c r="CT108" s="231"/>
      <c r="CU108" s="231"/>
      <c r="CV108" s="231"/>
      <c r="CW108" s="231"/>
      <c r="CX108" s="231"/>
      <c r="CY108" s="231"/>
      <c r="CZ108" s="231"/>
      <c r="DA108" s="231"/>
      <c r="DB108" s="231"/>
      <c r="DC108" s="231"/>
      <c r="DD108" s="231"/>
      <c r="DE108" s="231"/>
      <c r="DF108" s="231"/>
      <c r="DG108" s="231"/>
      <c r="DH108" s="231"/>
      <c r="DI108" s="231"/>
      <c r="DJ108" s="231"/>
      <c r="DK108" s="231"/>
      <c r="DL108" s="231"/>
      <c r="DM108" s="231"/>
      <c r="DN108" s="231"/>
      <c r="DO108" s="231"/>
      <c r="DP108" s="231"/>
      <c r="DQ108" s="231"/>
      <c r="DR108" s="231"/>
      <c r="DS108" s="231"/>
      <c r="DT108" s="231"/>
      <c r="DU108" s="231"/>
      <c r="DV108" s="231"/>
      <c r="DW108" s="231"/>
      <c r="YS108" s="38" t="e">
        <f>RIGHT(CONCATENATE(0,#REF!),7)</f>
        <v>#REF!</v>
      </c>
    </row>
    <row r="109" spans="2:669" hidden="1">
      <c r="I109" s="57"/>
      <c r="J109" s="57"/>
      <c r="K109" s="57"/>
      <c r="L109" s="57"/>
      <c r="S109" s="270">
        <v>22430</v>
      </c>
      <c r="T109" s="270">
        <v>23040</v>
      </c>
      <c r="U109" s="270">
        <v>23650</v>
      </c>
      <c r="V109" s="270">
        <v>24300</v>
      </c>
      <c r="W109" s="222">
        <f t="shared" si="14"/>
        <v>47330</v>
      </c>
      <c r="X109" s="720">
        <f t="shared" si="18"/>
        <v>42490</v>
      </c>
      <c r="Y109" s="718">
        <f t="shared" si="16"/>
        <v>43680</v>
      </c>
      <c r="Z109" s="222">
        <f t="shared" si="20"/>
        <v>44870</v>
      </c>
      <c r="AA109" s="222">
        <f t="shared" si="20"/>
        <v>46060</v>
      </c>
      <c r="AB109" s="222">
        <f t="shared" si="17"/>
        <v>21820</v>
      </c>
      <c r="AL109" s="231"/>
      <c r="AM109" s="231"/>
      <c r="AN109" s="231"/>
      <c r="AO109" s="231"/>
      <c r="AP109" s="231"/>
      <c r="AQ109" s="231"/>
      <c r="AR109" s="231"/>
      <c r="AS109" s="231"/>
      <c r="AT109" s="231"/>
      <c r="AU109" s="231"/>
      <c r="AV109" s="231"/>
      <c r="AW109" s="231"/>
      <c r="AX109" s="231"/>
      <c r="AY109" s="231"/>
      <c r="AZ109" s="231"/>
      <c r="BA109" s="231"/>
      <c r="BB109" s="231"/>
      <c r="BC109" s="231"/>
      <c r="BD109" s="231"/>
      <c r="BE109" s="231"/>
      <c r="BF109" s="231"/>
      <c r="BG109" s="231"/>
      <c r="BH109" s="231"/>
      <c r="BI109" s="231"/>
      <c r="BJ109" s="231"/>
      <c r="BK109" s="231"/>
      <c r="BL109" s="231"/>
      <c r="BM109" s="231"/>
      <c r="BN109" s="231"/>
      <c r="BO109" s="231"/>
      <c r="BP109" s="231"/>
      <c r="BQ109" s="231"/>
      <c r="BR109" s="231"/>
      <c r="BS109" s="231"/>
      <c r="BT109" s="231"/>
      <c r="BU109" s="231"/>
      <c r="BV109" s="222">
        <f t="shared" si="19"/>
        <v>2006</v>
      </c>
      <c r="BW109" s="231"/>
      <c r="BX109" s="231"/>
      <c r="BY109" s="231"/>
      <c r="BZ109" s="231"/>
      <c r="CA109" s="231"/>
      <c r="CB109" s="231"/>
      <c r="CC109" s="231"/>
      <c r="CD109" s="231"/>
      <c r="CE109" s="231"/>
      <c r="CF109" s="231"/>
      <c r="CG109" s="231"/>
      <c r="CH109" s="231"/>
      <c r="CI109" s="231"/>
      <c r="CJ109" s="231"/>
      <c r="CK109" s="231"/>
      <c r="CL109" s="231"/>
      <c r="CM109" s="231"/>
      <c r="CN109" s="231"/>
      <c r="CO109" s="231"/>
      <c r="CP109" s="231"/>
      <c r="CQ109" s="231"/>
      <c r="CR109" s="231"/>
      <c r="CS109" s="231"/>
      <c r="CT109" s="231"/>
      <c r="CU109" s="231"/>
      <c r="CV109" s="231"/>
      <c r="CW109" s="231"/>
      <c r="CX109" s="231"/>
      <c r="CY109" s="231"/>
      <c r="CZ109" s="231"/>
      <c r="DA109" s="231"/>
      <c r="DB109" s="231"/>
      <c r="DC109" s="231"/>
      <c r="DD109" s="231"/>
      <c r="DE109" s="231"/>
      <c r="DF109" s="231"/>
      <c r="DG109" s="231"/>
      <c r="DH109" s="231"/>
      <c r="DI109" s="231"/>
      <c r="DJ109" s="231"/>
      <c r="DK109" s="231"/>
      <c r="DL109" s="231"/>
      <c r="DM109" s="231"/>
      <c r="DN109" s="231"/>
      <c r="DO109" s="231"/>
      <c r="DP109" s="231"/>
      <c r="DQ109" s="231"/>
      <c r="DR109" s="231"/>
      <c r="DS109" s="231"/>
      <c r="DT109" s="231"/>
      <c r="DU109" s="231"/>
      <c r="DV109" s="231"/>
      <c r="DW109" s="231"/>
      <c r="YS109" s="38" t="e">
        <f>RIGHT(CONCATENATE(0,#REF!),7)</f>
        <v>#REF!</v>
      </c>
    </row>
    <row r="110" spans="2:669" hidden="1">
      <c r="I110" s="57"/>
      <c r="J110" s="57"/>
      <c r="K110" s="57"/>
      <c r="L110" s="57"/>
      <c r="S110" s="270">
        <v>23040</v>
      </c>
      <c r="T110" s="270">
        <v>23650</v>
      </c>
      <c r="U110" s="270">
        <v>24300</v>
      </c>
      <c r="V110" s="270">
        <v>24950</v>
      </c>
      <c r="W110" s="222">
        <f t="shared" si="14"/>
        <v>48600</v>
      </c>
      <c r="X110" s="720">
        <f t="shared" si="18"/>
        <v>43680</v>
      </c>
      <c r="Y110" s="718">
        <f t="shared" si="16"/>
        <v>44870</v>
      </c>
      <c r="Z110" s="222">
        <f t="shared" si="20"/>
        <v>46060</v>
      </c>
      <c r="AA110" s="222">
        <f t="shared" si="20"/>
        <v>47330</v>
      </c>
      <c r="AB110" s="222">
        <f t="shared" si="17"/>
        <v>22430</v>
      </c>
      <c r="AL110" s="231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1"/>
      <c r="BS110" s="231"/>
      <c r="BT110" s="231"/>
      <c r="BU110" s="231"/>
      <c r="BV110" s="222">
        <f t="shared" si="19"/>
        <v>2007</v>
      </c>
      <c r="BW110" s="231"/>
      <c r="BX110" s="231"/>
      <c r="BY110" s="231"/>
      <c r="BZ110" s="231"/>
      <c r="CA110" s="231"/>
      <c r="CB110" s="231"/>
      <c r="CC110" s="231"/>
      <c r="CD110" s="231"/>
      <c r="CE110" s="231"/>
      <c r="CF110" s="231"/>
      <c r="CG110" s="231"/>
      <c r="CH110" s="231"/>
      <c r="CI110" s="231"/>
      <c r="CJ110" s="231"/>
      <c r="CK110" s="231"/>
      <c r="CL110" s="231"/>
      <c r="CM110" s="231"/>
      <c r="CN110" s="231"/>
      <c r="CO110" s="231"/>
      <c r="CP110" s="231"/>
      <c r="CQ110" s="231"/>
      <c r="CR110" s="231"/>
      <c r="CS110" s="231"/>
      <c r="CT110" s="231"/>
      <c r="CU110" s="231"/>
      <c r="CV110" s="231"/>
      <c r="CW110" s="231"/>
      <c r="CX110" s="231"/>
      <c r="CY110" s="231"/>
      <c r="CZ110" s="231"/>
      <c r="DA110" s="231"/>
      <c r="DB110" s="231"/>
      <c r="DC110" s="231"/>
      <c r="DD110" s="231"/>
      <c r="DE110" s="231"/>
      <c r="DF110" s="231"/>
      <c r="DG110" s="231"/>
      <c r="DH110" s="231"/>
      <c r="DI110" s="231"/>
      <c r="DJ110" s="231"/>
      <c r="DK110" s="231"/>
      <c r="DL110" s="231"/>
      <c r="DM110" s="231"/>
      <c r="DN110" s="231"/>
      <c r="DO110" s="231"/>
      <c r="DP110" s="231"/>
      <c r="DQ110" s="231"/>
      <c r="DR110" s="231"/>
      <c r="DS110" s="231"/>
      <c r="DT110" s="231"/>
      <c r="DU110" s="231"/>
      <c r="DV110" s="231"/>
      <c r="DW110" s="231"/>
      <c r="YS110" s="38" t="e">
        <f>RIGHT(CONCATENATE(0,#REF!),7)</f>
        <v>#REF!</v>
      </c>
    </row>
    <row r="111" spans="2:669" hidden="1">
      <c r="I111" s="57"/>
      <c r="J111" s="57"/>
      <c r="K111" s="57"/>
      <c r="L111" s="57"/>
      <c r="S111" s="270">
        <v>23650</v>
      </c>
      <c r="T111" s="270">
        <v>24300</v>
      </c>
      <c r="U111" s="270">
        <v>24950</v>
      </c>
      <c r="V111" s="270">
        <v>25600</v>
      </c>
      <c r="W111" s="222">
        <f t="shared" si="14"/>
        <v>49870</v>
      </c>
      <c r="X111" s="720">
        <f t="shared" si="18"/>
        <v>44870</v>
      </c>
      <c r="Y111" s="718">
        <f t="shared" si="16"/>
        <v>46060</v>
      </c>
      <c r="Z111" s="222">
        <f t="shared" si="20"/>
        <v>47330</v>
      </c>
      <c r="AA111" s="222">
        <f t="shared" si="20"/>
        <v>48600</v>
      </c>
      <c r="AB111" s="222">
        <f t="shared" si="17"/>
        <v>23040</v>
      </c>
      <c r="AL111" s="231"/>
      <c r="AM111" s="231"/>
      <c r="AN111" s="231"/>
      <c r="AO111" s="231"/>
      <c r="AP111" s="231"/>
      <c r="AQ111" s="231"/>
      <c r="AR111" s="231"/>
      <c r="AS111" s="231"/>
      <c r="AT111" s="231"/>
      <c r="AU111" s="231"/>
      <c r="AV111" s="231"/>
      <c r="AW111" s="231"/>
      <c r="AX111" s="231"/>
      <c r="AY111" s="231"/>
      <c r="AZ111" s="231"/>
      <c r="BA111" s="231"/>
      <c r="BB111" s="231"/>
      <c r="BC111" s="231"/>
      <c r="BD111" s="231"/>
      <c r="BE111" s="231"/>
      <c r="BF111" s="231"/>
      <c r="BG111" s="231"/>
      <c r="BH111" s="231"/>
      <c r="BI111" s="231"/>
      <c r="BJ111" s="231"/>
      <c r="BK111" s="231"/>
      <c r="BL111" s="231"/>
      <c r="BM111" s="231"/>
      <c r="BN111" s="231"/>
      <c r="BO111" s="231"/>
      <c r="BP111" s="231"/>
      <c r="BQ111" s="231"/>
      <c r="BR111" s="231"/>
      <c r="BS111" s="231"/>
      <c r="BT111" s="231"/>
      <c r="BU111" s="231"/>
      <c r="BV111" s="222">
        <f t="shared" si="19"/>
        <v>2008</v>
      </c>
      <c r="BW111" s="231"/>
      <c r="BX111" s="231"/>
      <c r="BY111" s="231"/>
      <c r="BZ111" s="231"/>
      <c r="CA111" s="231"/>
      <c r="CB111" s="231"/>
      <c r="CC111" s="231"/>
      <c r="CD111" s="231"/>
      <c r="CE111" s="231"/>
      <c r="CF111" s="231"/>
      <c r="CG111" s="231"/>
      <c r="CH111" s="231"/>
      <c r="CI111" s="231"/>
      <c r="CJ111" s="231"/>
      <c r="CK111" s="231"/>
      <c r="CL111" s="231"/>
      <c r="CM111" s="231"/>
      <c r="CN111" s="231"/>
      <c r="CO111" s="231"/>
      <c r="CP111" s="231"/>
      <c r="CQ111" s="231"/>
      <c r="CR111" s="231"/>
      <c r="CS111" s="231"/>
      <c r="CT111" s="231"/>
      <c r="CU111" s="231"/>
      <c r="CV111" s="231"/>
      <c r="CW111" s="231"/>
      <c r="CX111" s="231"/>
      <c r="CY111" s="231"/>
      <c r="CZ111" s="231"/>
      <c r="DA111" s="231"/>
      <c r="DB111" s="231"/>
      <c r="DC111" s="231"/>
      <c r="DD111" s="231"/>
      <c r="DE111" s="231"/>
      <c r="DF111" s="231"/>
      <c r="DG111" s="231"/>
      <c r="DH111" s="231"/>
      <c r="DI111" s="231"/>
      <c r="DJ111" s="231"/>
      <c r="DK111" s="231"/>
      <c r="DL111" s="231"/>
      <c r="DM111" s="231"/>
      <c r="DN111" s="231"/>
      <c r="DO111" s="231"/>
      <c r="DP111" s="231"/>
      <c r="DQ111" s="231"/>
      <c r="DR111" s="231"/>
      <c r="DS111" s="231"/>
      <c r="DT111" s="231"/>
      <c r="DU111" s="231"/>
      <c r="DV111" s="231"/>
      <c r="DW111" s="231"/>
      <c r="YS111" s="38" t="e">
        <f>RIGHT(CONCATENATE(0,#REF!),7)</f>
        <v>#REF!</v>
      </c>
    </row>
    <row r="112" spans="2:669" ht="18" hidden="1">
      <c r="B112" s="66" t="s">
        <v>35</v>
      </c>
      <c r="C112" s="67" t="s">
        <v>1392</v>
      </c>
      <c r="D112" s="68" t="s">
        <v>32</v>
      </c>
      <c r="E112" s="69"/>
      <c r="H112" s="60"/>
      <c r="I112" s="96" t="s">
        <v>1678</v>
      </c>
      <c r="J112" s="57"/>
      <c r="K112" s="57"/>
      <c r="L112" s="57"/>
      <c r="S112" s="270">
        <v>24300</v>
      </c>
      <c r="T112" s="270">
        <v>24950</v>
      </c>
      <c r="U112" s="270">
        <v>25600</v>
      </c>
      <c r="V112" s="270">
        <v>26300</v>
      </c>
      <c r="W112" s="222">
        <f t="shared" si="14"/>
        <v>51230</v>
      </c>
      <c r="X112" s="720">
        <f t="shared" si="18"/>
        <v>46060</v>
      </c>
      <c r="Y112" s="718">
        <f t="shared" si="16"/>
        <v>47330</v>
      </c>
      <c r="Z112" s="222">
        <f t="shared" si="20"/>
        <v>48600</v>
      </c>
      <c r="AA112" s="222">
        <f t="shared" si="20"/>
        <v>49870</v>
      </c>
      <c r="AB112" s="222">
        <f t="shared" si="17"/>
        <v>23650</v>
      </c>
      <c r="AL112" s="231"/>
      <c r="AM112" s="231"/>
      <c r="AN112" s="231"/>
      <c r="AO112" s="231"/>
      <c r="AP112" s="231"/>
      <c r="AQ112" s="231"/>
      <c r="AR112" s="231"/>
      <c r="AS112" s="231"/>
      <c r="AT112" s="231"/>
      <c r="AU112" s="231"/>
      <c r="AV112" s="231"/>
      <c r="AW112" s="231"/>
      <c r="AX112" s="231"/>
      <c r="AY112" s="231"/>
      <c r="AZ112" s="231"/>
      <c r="BA112" s="231"/>
      <c r="BB112" s="231"/>
      <c r="BC112" s="231"/>
      <c r="BD112" s="231"/>
      <c r="BE112" s="231"/>
      <c r="BF112" s="231"/>
      <c r="BG112" s="231"/>
      <c r="BH112" s="231"/>
      <c r="BI112" s="231"/>
      <c r="BJ112" s="231"/>
      <c r="BK112" s="231"/>
      <c r="BL112" s="231"/>
      <c r="BM112" s="231"/>
      <c r="BN112" s="231"/>
      <c r="BO112" s="231"/>
      <c r="BP112" s="231"/>
      <c r="BQ112" s="231"/>
      <c r="BR112" s="231"/>
      <c r="BS112" s="231"/>
      <c r="BT112" s="231"/>
      <c r="BU112" s="231"/>
      <c r="BV112" s="222">
        <f t="shared" si="19"/>
        <v>2009</v>
      </c>
      <c r="BW112" s="231"/>
      <c r="BX112" s="231"/>
      <c r="BY112" s="231"/>
      <c r="BZ112" s="231"/>
      <c r="CA112" s="231"/>
      <c r="CB112" s="231"/>
      <c r="CC112" s="231"/>
      <c r="CD112" s="231"/>
      <c r="CE112" s="231"/>
      <c r="CF112" s="231"/>
      <c r="CG112" s="231"/>
      <c r="CH112" s="231"/>
      <c r="CI112" s="231"/>
      <c r="CJ112" s="231"/>
      <c r="CK112" s="231"/>
      <c r="CL112" s="231"/>
      <c r="CM112" s="231"/>
      <c r="CN112" s="231"/>
      <c r="CO112" s="231"/>
      <c r="CP112" s="231"/>
      <c r="CQ112" s="231"/>
      <c r="CR112" s="231"/>
      <c r="CS112" s="231"/>
      <c r="CT112" s="231"/>
      <c r="CU112" s="231"/>
      <c r="CV112" s="231"/>
      <c r="CW112" s="231"/>
      <c r="CX112" s="231"/>
      <c r="CY112" s="231"/>
      <c r="CZ112" s="231"/>
      <c r="DA112" s="231"/>
      <c r="DB112" s="231"/>
      <c r="DC112" s="231"/>
      <c r="DD112" s="231"/>
      <c r="DE112" s="231"/>
      <c r="DF112" s="231"/>
      <c r="DG112" s="231"/>
      <c r="DH112" s="231"/>
      <c r="DI112" s="231"/>
      <c r="DJ112" s="231"/>
      <c r="DK112" s="231"/>
      <c r="DL112" s="231"/>
      <c r="DM112" s="231"/>
      <c r="DN112" s="231"/>
      <c r="DO112" s="231"/>
      <c r="DP112" s="231"/>
      <c r="DQ112" s="231"/>
      <c r="DR112" s="231"/>
      <c r="DS112" s="231"/>
      <c r="DT112" s="231"/>
      <c r="DU112" s="231"/>
      <c r="DV112" s="231"/>
      <c r="DW112" s="231"/>
      <c r="YS112" s="38" t="e">
        <f>RIGHT(CONCATENATE(0,#REF!),7)</f>
        <v>#REF!</v>
      </c>
    </row>
    <row r="113" spans="2:669" hidden="1">
      <c r="E113" s="69"/>
      <c r="H113" s="60"/>
      <c r="I113" s="57"/>
      <c r="J113" s="57"/>
      <c r="K113" s="57"/>
      <c r="L113" s="57"/>
      <c r="S113" s="270">
        <v>24950</v>
      </c>
      <c r="T113" s="270">
        <v>25600</v>
      </c>
      <c r="U113" s="270">
        <v>26300</v>
      </c>
      <c r="V113" s="270">
        <v>27000</v>
      </c>
      <c r="W113" s="222">
        <f t="shared" si="14"/>
        <v>52590</v>
      </c>
      <c r="X113" s="720">
        <f t="shared" si="18"/>
        <v>47330</v>
      </c>
      <c r="Y113" s="718">
        <f t="shared" si="16"/>
        <v>48600</v>
      </c>
      <c r="Z113" s="222">
        <f t="shared" si="20"/>
        <v>49870</v>
      </c>
      <c r="AA113" s="222">
        <f t="shared" si="20"/>
        <v>51230</v>
      </c>
      <c r="AB113" s="222">
        <f t="shared" si="17"/>
        <v>24300</v>
      </c>
      <c r="AL113" s="231"/>
      <c r="AM113" s="231"/>
      <c r="AN113" s="231"/>
      <c r="AO113" s="231"/>
      <c r="AP113" s="231"/>
      <c r="AQ113" s="231"/>
      <c r="AR113" s="231"/>
      <c r="AS113" s="231"/>
      <c r="AT113" s="231"/>
      <c r="AU113" s="231"/>
      <c r="AV113" s="231"/>
      <c r="AW113" s="231"/>
      <c r="AX113" s="231"/>
      <c r="AY113" s="231"/>
      <c r="AZ113" s="231"/>
      <c r="BA113" s="231"/>
      <c r="BB113" s="231"/>
      <c r="BC113" s="231"/>
      <c r="BD113" s="231"/>
      <c r="BE113" s="231"/>
      <c r="BF113" s="231"/>
      <c r="BG113" s="231"/>
      <c r="BH113" s="231"/>
      <c r="BI113" s="231"/>
      <c r="BJ113" s="231"/>
      <c r="BK113" s="231"/>
      <c r="BL113" s="231"/>
      <c r="BM113" s="231"/>
      <c r="BN113" s="231"/>
      <c r="BO113" s="231"/>
      <c r="BP113" s="231"/>
      <c r="BQ113" s="231"/>
      <c r="BR113" s="231"/>
      <c r="BS113" s="231"/>
      <c r="BT113" s="231"/>
      <c r="BU113" s="231"/>
      <c r="BV113" s="222">
        <f t="shared" si="19"/>
        <v>2010</v>
      </c>
      <c r="BW113" s="231"/>
      <c r="BX113" s="231"/>
      <c r="BY113" s="231"/>
      <c r="BZ113" s="231"/>
      <c r="CA113" s="231"/>
      <c r="CB113" s="231"/>
      <c r="CC113" s="231"/>
      <c r="CD113" s="231"/>
      <c r="CE113" s="231"/>
      <c r="CF113" s="231"/>
      <c r="CG113" s="231"/>
      <c r="CH113" s="231"/>
      <c r="CI113" s="231"/>
      <c r="CJ113" s="231"/>
      <c r="CK113" s="231"/>
      <c r="CL113" s="231"/>
      <c r="CM113" s="231"/>
      <c r="CN113" s="231"/>
      <c r="CO113" s="231"/>
      <c r="CP113" s="231"/>
      <c r="CQ113" s="231"/>
      <c r="CR113" s="231"/>
      <c r="CS113" s="231"/>
      <c r="CT113" s="231"/>
      <c r="CU113" s="231"/>
      <c r="CV113" s="231"/>
      <c r="CW113" s="231"/>
      <c r="CX113" s="231"/>
      <c r="CY113" s="231"/>
      <c r="CZ113" s="231"/>
      <c r="DA113" s="231"/>
      <c r="DB113" s="231"/>
      <c r="DC113" s="231"/>
      <c r="DD113" s="231"/>
      <c r="DE113" s="231"/>
      <c r="DF113" s="231"/>
      <c r="DG113" s="231"/>
      <c r="DH113" s="231"/>
      <c r="DI113" s="231"/>
      <c r="DJ113" s="231"/>
      <c r="DK113" s="231"/>
      <c r="DL113" s="231"/>
      <c r="DM113" s="231"/>
      <c r="DN113" s="231"/>
      <c r="DO113" s="231"/>
      <c r="DP113" s="231"/>
      <c r="DQ113" s="231"/>
      <c r="DR113" s="231"/>
      <c r="DS113" s="231"/>
      <c r="DT113" s="231"/>
      <c r="DU113" s="231"/>
      <c r="DV113" s="231"/>
      <c r="DW113" s="231"/>
      <c r="YS113" s="38" t="e">
        <f>RIGHT(CONCATENATE(0,#REF!),7)</f>
        <v>#REF!</v>
      </c>
    </row>
    <row r="114" spans="2:669" hidden="1">
      <c r="E114" s="69"/>
      <c r="H114" s="60"/>
      <c r="I114" s="57"/>
      <c r="J114" s="57"/>
      <c r="K114" s="57"/>
      <c r="L114" s="57"/>
      <c r="S114" s="270">
        <v>25600</v>
      </c>
      <c r="T114" s="270">
        <v>26300</v>
      </c>
      <c r="U114" s="270">
        <v>27000</v>
      </c>
      <c r="V114" s="270">
        <v>27700</v>
      </c>
      <c r="W114" s="222">
        <f t="shared" si="14"/>
        <v>53950</v>
      </c>
      <c r="X114" s="720">
        <f t="shared" si="18"/>
        <v>48600</v>
      </c>
      <c r="Y114" s="718">
        <f t="shared" si="16"/>
        <v>49870</v>
      </c>
      <c r="Z114" s="222">
        <f t="shared" si="20"/>
        <v>51230</v>
      </c>
      <c r="AA114" s="222">
        <f t="shared" si="20"/>
        <v>52590</v>
      </c>
      <c r="AB114" s="222">
        <f t="shared" si="17"/>
        <v>24950</v>
      </c>
      <c r="AL114" s="231"/>
      <c r="AM114" s="231"/>
      <c r="AN114" s="231"/>
      <c r="AO114" s="231"/>
      <c r="AP114" s="231"/>
      <c r="AQ114" s="231"/>
      <c r="AR114" s="231"/>
      <c r="AS114" s="231"/>
      <c r="AT114" s="231"/>
      <c r="AU114" s="231"/>
      <c r="AV114" s="231"/>
      <c r="AW114" s="231"/>
      <c r="AX114" s="231"/>
      <c r="AY114" s="231"/>
      <c r="AZ114" s="231"/>
      <c r="BA114" s="231"/>
      <c r="BB114" s="231"/>
      <c r="BC114" s="231"/>
      <c r="BD114" s="231"/>
      <c r="BE114" s="231"/>
      <c r="BF114" s="231"/>
      <c r="BG114" s="231"/>
      <c r="BH114" s="231"/>
      <c r="BI114" s="231"/>
      <c r="BJ114" s="231"/>
      <c r="BK114" s="231"/>
      <c r="BL114" s="231"/>
      <c r="BM114" s="231"/>
      <c r="BN114" s="231"/>
      <c r="BO114" s="231"/>
      <c r="BP114" s="231"/>
      <c r="BQ114" s="231"/>
      <c r="BR114" s="231"/>
      <c r="BS114" s="231"/>
      <c r="BT114" s="231"/>
      <c r="BU114" s="231"/>
      <c r="BV114" s="222">
        <f t="shared" si="19"/>
        <v>2011</v>
      </c>
      <c r="BW114" s="231"/>
      <c r="BX114" s="231"/>
      <c r="BY114" s="231"/>
      <c r="BZ114" s="231"/>
      <c r="CA114" s="231"/>
      <c r="CB114" s="231"/>
      <c r="CC114" s="231"/>
      <c r="CD114" s="231"/>
      <c r="CE114" s="231"/>
      <c r="CF114" s="231"/>
      <c r="CG114" s="231"/>
      <c r="CH114" s="231"/>
      <c r="CI114" s="231"/>
      <c r="CJ114" s="231"/>
      <c r="CK114" s="231"/>
      <c r="CL114" s="231"/>
      <c r="CM114" s="231"/>
      <c r="CN114" s="231"/>
      <c r="CO114" s="231"/>
      <c r="CP114" s="231"/>
      <c r="CQ114" s="231"/>
      <c r="CR114" s="231"/>
      <c r="CS114" s="231"/>
      <c r="CT114" s="231"/>
      <c r="CU114" s="231"/>
      <c r="CV114" s="231"/>
      <c r="CW114" s="231"/>
      <c r="CX114" s="231"/>
      <c r="CY114" s="231"/>
      <c r="CZ114" s="231"/>
      <c r="DA114" s="231"/>
      <c r="DB114" s="231"/>
      <c r="DC114" s="231"/>
      <c r="DD114" s="231"/>
      <c r="DE114" s="231"/>
      <c r="DF114" s="231"/>
      <c r="DG114" s="231"/>
      <c r="DH114" s="231"/>
      <c r="DI114" s="231"/>
      <c r="DJ114" s="231"/>
      <c r="DK114" s="231"/>
      <c r="DL114" s="231"/>
      <c r="DM114" s="231"/>
      <c r="DN114" s="231"/>
      <c r="DO114" s="231"/>
      <c r="DP114" s="231"/>
      <c r="DQ114" s="231"/>
      <c r="DR114" s="231"/>
      <c r="DS114" s="231"/>
      <c r="DT114" s="231"/>
      <c r="DU114" s="231"/>
      <c r="DV114" s="231"/>
      <c r="DW114" s="231"/>
      <c r="YS114" s="38" t="e">
        <f>RIGHT(CONCATENATE(0,#REF!),7)</f>
        <v>#REF!</v>
      </c>
    </row>
    <row r="115" spans="2:669" hidden="1">
      <c r="B115" s="70" t="s">
        <v>1393</v>
      </c>
      <c r="C115" s="71">
        <v>150000</v>
      </c>
      <c r="D115" s="72" t="s">
        <v>1394</v>
      </c>
      <c r="E115" s="69"/>
      <c r="G115" s="310" t="s">
        <v>1679</v>
      </c>
      <c r="H115" s="311"/>
      <c r="I115" s="312"/>
      <c r="J115" s="1003">
        <v>15000</v>
      </c>
      <c r="K115" s="1004"/>
      <c r="L115" s="978" t="s">
        <v>1687</v>
      </c>
      <c r="M115" s="978"/>
      <c r="N115" s="38" t="str">
        <f>IF(H12&gt;0,CONCATENATE(F12," U/S ",VLOOKUP(F12,$G$115:$M$122,6,FALSE)),"")</f>
        <v/>
      </c>
      <c r="O115" s="38">
        <f>IF(H12=0,0,MIN(H12,VLOOKUP(F12,$G$115:$M$122,4,FALSE)))</f>
        <v>0</v>
      </c>
      <c r="Q115" s="222" t="str">
        <f>VLOOKUP(F12,$G$115:$M$122,6,FALSE)</f>
        <v>17(2)(viii)</v>
      </c>
      <c r="S115" s="270">
        <v>26300</v>
      </c>
      <c r="T115" s="270">
        <v>27000</v>
      </c>
      <c r="U115" s="270">
        <v>27700</v>
      </c>
      <c r="V115" s="270">
        <v>28450</v>
      </c>
      <c r="W115" s="222">
        <f t="shared" si="14"/>
        <v>55410</v>
      </c>
      <c r="X115" s="720">
        <f t="shared" si="18"/>
        <v>49870</v>
      </c>
      <c r="Y115" s="718">
        <f t="shared" si="16"/>
        <v>51230</v>
      </c>
      <c r="Z115" s="222">
        <f t="shared" si="20"/>
        <v>52590</v>
      </c>
      <c r="AA115" s="222">
        <f t="shared" si="20"/>
        <v>53950</v>
      </c>
      <c r="AB115" s="222">
        <f t="shared" si="17"/>
        <v>25600</v>
      </c>
      <c r="AL115" s="231"/>
      <c r="AM115" s="231"/>
      <c r="AN115" s="231"/>
      <c r="AO115" s="231"/>
      <c r="AP115" s="231"/>
      <c r="AQ115" s="231"/>
      <c r="AR115" s="231"/>
      <c r="AS115" s="231"/>
      <c r="AT115" s="231"/>
      <c r="AU115" s="231"/>
      <c r="AV115" s="231"/>
      <c r="AW115" s="231"/>
      <c r="AX115" s="231"/>
      <c r="AY115" s="231"/>
      <c r="AZ115" s="231"/>
      <c r="BA115" s="231"/>
      <c r="BB115" s="231"/>
      <c r="BC115" s="231"/>
      <c r="BD115" s="231"/>
      <c r="BE115" s="231"/>
      <c r="BF115" s="231"/>
      <c r="BG115" s="231"/>
      <c r="BH115" s="231"/>
      <c r="BI115" s="231"/>
      <c r="BJ115" s="231"/>
      <c r="BK115" s="231"/>
      <c r="BL115" s="231"/>
      <c r="BM115" s="231"/>
      <c r="BN115" s="231"/>
      <c r="BO115" s="231"/>
      <c r="BP115" s="231"/>
      <c r="BQ115" s="231"/>
      <c r="BR115" s="231"/>
      <c r="BS115" s="231"/>
      <c r="BT115" s="231"/>
      <c r="BU115" s="231"/>
      <c r="BV115" s="222">
        <f t="shared" si="19"/>
        <v>2012</v>
      </c>
      <c r="BW115" s="231"/>
      <c r="BX115" s="231"/>
      <c r="BY115" s="231"/>
      <c r="BZ115" s="231"/>
      <c r="CA115" s="231"/>
      <c r="CB115" s="231"/>
      <c r="CC115" s="231"/>
      <c r="CD115" s="231"/>
      <c r="CE115" s="231"/>
      <c r="CF115" s="231"/>
      <c r="CG115" s="231"/>
      <c r="CH115" s="231"/>
      <c r="CI115" s="231"/>
      <c r="CJ115" s="231"/>
      <c r="CK115" s="231"/>
      <c r="CL115" s="231"/>
      <c r="CM115" s="231"/>
      <c r="CN115" s="231"/>
      <c r="CO115" s="231"/>
      <c r="CP115" s="231"/>
      <c r="CQ115" s="231"/>
      <c r="CR115" s="231"/>
      <c r="CS115" s="231"/>
      <c r="CT115" s="231"/>
      <c r="CU115" s="231"/>
      <c r="CV115" s="231"/>
      <c r="CW115" s="231"/>
      <c r="CX115" s="231"/>
      <c r="CY115" s="231"/>
      <c r="CZ115" s="231"/>
      <c r="DA115" s="231"/>
      <c r="DB115" s="231"/>
      <c r="DC115" s="231"/>
      <c r="DD115" s="231"/>
      <c r="DE115" s="231"/>
      <c r="DF115" s="231"/>
      <c r="DG115" s="231"/>
      <c r="DH115" s="231"/>
      <c r="DI115" s="231"/>
      <c r="DJ115" s="231"/>
      <c r="DK115" s="231"/>
      <c r="DL115" s="231"/>
      <c r="DM115" s="231"/>
      <c r="DN115" s="231"/>
      <c r="DO115" s="231"/>
      <c r="DP115" s="231"/>
      <c r="DQ115" s="231"/>
      <c r="DR115" s="231"/>
      <c r="DS115" s="231"/>
      <c r="DT115" s="231"/>
      <c r="DU115" s="231"/>
      <c r="DV115" s="231"/>
      <c r="DW115" s="231"/>
      <c r="YS115" s="38" t="e">
        <f>RIGHT(CONCATENATE(0,#REF!),7)</f>
        <v>#REF!</v>
      </c>
    </row>
    <row r="116" spans="2:669" hidden="1">
      <c r="B116" s="70" t="s">
        <v>1395</v>
      </c>
      <c r="C116" s="71">
        <v>150000</v>
      </c>
      <c r="D116" s="72" t="s">
        <v>1394</v>
      </c>
      <c r="E116" s="69"/>
      <c r="G116" s="310" t="s">
        <v>1680</v>
      </c>
      <c r="H116" s="311"/>
      <c r="I116" s="312"/>
      <c r="J116" s="1005">
        <v>1000000</v>
      </c>
      <c r="K116" s="1006"/>
      <c r="L116" s="978" t="s">
        <v>1688</v>
      </c>
      <c r="M116" s="978"/>
      <c r="N116" s="38" t="str">
        <f>IF(H13&gt;0,CONCATENATE(F13," U/S ",VLOOKUP(F13,$G$115:$M$122,6,FALSE)),"")</f>
        <v/>
      </c>
      <c r="O116" s="38">
        <f>IF(H13=0,0,MIN(H13,VLOOKUP(F13,$G$115:$M$122,4,FALSE)))</f>
        <v>0</v>
      </c>
      <c r="Q116" s="222" t="str">
        <f>VLOOKUP(F13,$G$115:$M$122,6,FALSE)</f>
        <v>17(2)(v)</v>
      </c>
      <c r="S116" s="270">
        <v>27000</v>
      </c>
      <c r="T116" s="270">
        <v>27700</v>
      </c>
      <c r="U116" s="270">
        <v>28450</v>
      </c>
      <c r="V116" s="270">
        <v>29200</v>
      </c>
      <c r="W116" s="222">
        <f t="shared" si="14"/>
        <v>56870</v>
      </c>
      <c r="X116" s="720">
        <f t="shared" si="18"/>
        <v>51230</v>
      </c>
      <c r="Y116" s="718">
        <f t="shared" si="16"/>
        <v>52590</v>
      </c>
      <c r="Z116" s="222">
        <f t="shared" si="20"/>
        <v>53950</v>
      </c>
      <c r="AA116" s="222">
        <f t="shared" si="20"/>
        <v>55410</v>
      </c>
      <c r="AB116" s="222">
        <f t="shared" si="17"/>
        <v>26300</v>
      </c>
      <c r="AL116" s="231"/>
      <c r="AM116" s="231"/>
      <c r="AN116" s="231"/>
      <c r="AO116" s="231"/>
      <c r="AP116" s="231"/>
      <c r="AQ116" s="231"/>
      <c r="AR116" s="231"/>
      <c r="AS116" s="231"/>
      <c r="AT116" s="231"/>
      <c r="AU116" s="231"/>
      <c r="AV116" s="231"/>
      <c r="AW116" s="231"/>
      <c r="AX116" s="231"/>
      <c r="AY116" s="231"/>
      <c r="AZ116" s="231"/>
      <c r="BA116" s="231"/>
      <c r="BB116" s="231"/>
      <c r="BC116" s="231"/>
      <c r="BD116" s="231"/>
      <c r="BE116" s="231"/>
      <c r="BF116" s="231"/>
      <c r="BG116" s="231"/>
      <c r="BH116" s="231"/>
      <c r="BI116" s="231"/>
      <c r="BJ116" s="231"/>
      <c r="BK116" s="231"/>
      <c r="BL116" s="231"/>
      <c r="BM116" s="231"/>
      <c r="BN116" s="231"/>
      <c r="BO116" s="231"/>
      <c r="BP116" s="231"/>
      <c r="BQ116" s="231"/>
      <c r="BR116" s="231"/>
      <c r="BS116" s="231"/>
      <c r="BT116" s="231"/>
      <c r="BU116" s="231"/>
      <c r="BV116" s="222">
        <f t="shared" si="19"/>
        <v>2013</v>
      </c>
      <c r="BW116" s="231"/>
      <c r="BX116" s="231"/>
      <c r="BY116" s="231"/>
      <c r="BZ116" s="231"/>
      <c r="CA116" s="231"/>
      <c r="CB116" s="231"/>
      <c r="CC116" s="231"/>
      <c r="CD116" s="231"/>
      <c r="CE116" s="231"/>
      <c r="CF116" s="231"/>
      <c r="CG116" s="231"/>
      <c r="CH116" s="231"/>
      <c r="CI116" s="231"/>
      <c r="CJ116" s="231"/>
      <c r="CK116" s="231"/>
      <c r="CL116" s="231"/>
      <c r="CM116" s="231"/>
      <c r="CN116" s="231"/>
      <c r="CO116" s="231"/>
      <c r="CP116" s="231"/>
      <c r="CQ116" s="231"/>
      <c r="CR116" s="231"/>
      <c r="CS116" s="231"/>
      <c r="CT116" s="231"/>
      <c r="CU116" s="231"/>
      <c r="CV116" s="231"/>
      <c r="CW116" s="231"/>
      <c r="CX116" s="231"/>
      <c r="CY116" s="231"/>
      <c r="CZ116" s="231"/>
      <c r="DA116" s="231"/>
      <c r="DB116" s="231"/>
      <c r="DC116" s="231"/>
      <c r="DD116" s="231"/>
      <c r="DE116" s="231"/>
      <c r="DF116" s="231"/>
      <c r="DG116" s="231"/>
      <c r="DH116" s="231"/>
      <c r="DI116" s="231"/>
      <c r="DJ116" s="231"/>
      <c r="DK116" s="231"/>
      <c r="DL116" s="231"/>
      <c r="DM116" s="231"/>
      <c r="DN116" s="231"/>
      <c r="DO116" s="231"/>
      <c r="DP116" s="231"/>
      <c r="DQ116" s="231"/>
      <c r="DR116" s="231"/>
      <c r="DS116" s="231"/>
      <c r="DT116" s="231"/>
      <c r="DU116" s="231"/>
      <c r="DV116" s="231"/>
      <c r="DW116" s="231"/>
      <c r="YS116" s="38" t="e">
        <f>RIGHT(CONCATENATE(0,#REF!),7)</f>
        <v>#REF!</v>
      </c>
    </row>
    <row r="117" spans="2:669" hidden="1">
      <c r="B117" s="70" t="s">
        <v>1396</v>
      </c>
      <c r="C117" s="71">
        <v>150000</v>
      </c>
      <c r="D117" s="72" t="s">
        <v>1394</v>
      </c>
      <c r="E117" s="69"/>
      <c r="G117" s="307" t="s">
        <v>1681</v>
      </c>
      <c r="H117" s="308"/>
      <c r="I117" s="309"/>
      <c r="J117" s="976">
        <v>5000000</v>
      </c>
      <c r="K117" s="977"/>
      <c r="L117" s="978" t="s">
        <v>1689</v>
      </c>
      <c r="M117" s="978"/>
      <c r="N117" s="38" t="str">
        <f>IF(L12&gt;0,CONCATENATE(J12," U/S ",VLOOKUP(J12,$G$115:$M$122,6,FALSE)),"")</f>
        <v/>
      </c>
      <c r="O117" s="38">
        <f>IF(L12=0,0,MIN(L12,VLOOKUP(J12,$G$115:$M$122,4,FALSE)))</f>
        <v>0</v>
      </c>
      <c r="Q117" s="222" t="str">
        <f>VLOOKUP(J12,$G$115:$M$122,6,FALSE)</f>
        <v>10(10).</v>
      </c>
      <c r="S117" s="270">
        <v>27700</v>
      </c>
      <c r="T117" s="270">
        <v>28450</v>
      </c>
      <c r="U117" s="270">
        <v>29200</v>
      </c>
      <c r="V117" s="270">
        <v>29950</v>
      </c>
      <c r="W117" s="222">
        <f t="shared" si="14"/>
        <v>58330</v>
      </c>
      <c r="X117" s="720">
        <f t="shared" si="18"/>
        <v>52590</v>
      </c>
      <c r="Y117" s="718">
        <f t="shared" si="16"/>
        <v>53950</v>
      </c>
      <c r="Z117" s="222">
        <f t="shared" si="20"/>
        <v>55410</v>
      </c>
      <c r="AA117" s="222">
        <f t="shared" si="20"/>
        <v>56870</v>
      </c>
      <c r="AB117" s="222">
        <f t="shared" si="17"/>
        <v>27000</v>
      </c>
      <c r="AL117" s="231"/>
      <c r="AM117" s="231"/>
      <c r="AN117" s="231"/>
      <c r="AO117" s="231"/>
      <c r="AP117" s="231"/>
      <c r="AQ117" s="231"/>
      <c r="AR117" s="231"/>
      <c r="AS117" s="231"/>
      <c r="AT117" s="231"/>
      <c r="AU117" s="231"/>
      <c r="AV117" s="231"/>
      <c r="AW117" s="231"/>
      <c r="AX117" s="231"/>
      <c r="AY117" s="231"/>
      <c r="AZ117" s="231"/>
      <c r="BA117" s="231"/>
      <c r="BB117" s="231"/>
      <c r="BC117" s="231"/>
      <c r="BD117" s="231"/>
      <c r="BE117" s="231"/>
      <c r="BF117" s="231"/>
      <c r="BG117" s="231"/>
      <c r="BH117" s="231"/>
      <c r="BI117" s="231"/>
      <c r="BJ117" s="231"/>
      <c r="BK117" s="231"/>
      <c r="BL117" s="231"/>
      <c r="BM117" s="231"/>
      <c r="BN117" s="231"/>
      <c r="BO117" s="231"/>
      <c r="BP117" s="231"/>
      <c r="BQ117" s="231"/>
      <c r="BR117" s="231"/>
      <c r="BS117" s="231"/>
      <c r="BT117" s="231"/>
      <c r="BU117" s="231"/>
      <c r="BV117" s="222">
        <f t="shared" si="19"/>
        <v>2014</v>
      </c>
      <c r="BW117" s="231"/>
      <c r="BX117" s="231"/>
      <c r="BY117" s="231"/>
      <c r="BZ117" s="231"/>
      <c r="CA117" s="231"/>
      <c r="CB117" s="231"/>
      <c r="CC117" s="231"/>
      <c r="CD117" s="231"/>
      <c r="CE117" s="231"/>
      <c r="CF117" s="231"/>
      <c r="CG117" s="231"/>
      <c r="CH117" s="231"/>
      <c r="CI117" s="231"/>
      <c r="CJ117" s="231"/>
      <c r="CK117" s="231"/>
      <c r="CL117" s="231"/>
      <c r="CM117" s="231"/>
      <c r="CN117" s="231"/>
      <c r="CO117" s="231"/>
      <c r="CP117" s="231"/>
      <c r="CQ117" s="231"/>
      <c r="CR117" s="231"/>
      <c r="CS117" s="231"/>
      <c r="CT117" s="231"/>
      <c r="CU117" s="231"/>
      <c r="CV117" s="231"/>
      <c r="CW117" s="231"/>
      <c r="CX117" s="231"/>
      <c r="CY117" s="231"/>
      <c r="CZ117" s="231"/>
      <c r="DA117" s="231"/>
      <c r="DB117" s="231"/>
      <c r="DC117" s="231"/>
      <c r="DD117" s="231"/>
      <c r="DE117" s="231"/>
      <c r="DF117" s="231"/>
      <c r="DG117" s="231"/>
      <c r="DH117" s="231"/>
      <c r="DI117" s="231"/>
      <c r="DJ117" s="231"/>
      <c r="DK117" s="231"/>
      <c r="DL117" s="231"/>
      <c r="DM117" s="231"/>
      <c r="DN117" s="231"/>
      <c r="DO117" s="231"/>
      <c r="DP117" s="231"/>
      <c r="DQ117" s="231"/>
      <c r="DR117" s="231"/>
      <c r="DS117" s="231"/>
      <c r="DT117" s="231"/>
      <c r="DU117" s="231"/>
      <c r="DV117" s="231"/>
      <c r="DW117" s="231"/>
      <c r="YS117" s="38" t="e">
        <f>RIGHT(CONCATENATE(0,#REF!),7)</f>
        <v>#REF!</v>
      </c>
    </row>
    <row r="118" spans="2:669" hidden="1">
      <c r="B118" s="70" t="s">
        <v>1397</v>
      </c>
      <c r="C118" s="71">
        <v>150000</v>
      </c>
      <c r="D118" s="72" t="s">
        <v>1394</v>
      </c>
      <c r="E118" s="69"/>
      <c r="G118" s="307" t="s">
        <v>1682</v>
      </c>
      <c r="H118" s="308"/>
      <c r="I118" s="309"/>
      <c r="J118" s="976">
        <v>300000</v>
      </c>
      <c r="K118" s="977"/>
      <c r="L118" s="978" t="s">
        <v>1690</v>
      </c>
      <c r="M118" s="978"/>
      <c r="N118" s="38" t="str">
        <f>IF(L13&gt;0,CONCATENATE(J13," U/S ",VLOOKUP(J13,$G$115:$M$122,6,FALSE)),"")</f>
        <v/>
      </c>
      <c r="O118" s="38">
        <f>IF(L13=0,0,MIN(L13,VLOOKUP(J13,$G$115:$M$122,4,FALSE)))</f>
        <v>0</v>
      </c>
      <c r="Q118" s="222" t="str">
        <f>VLOOKUP(J13,$G$115:$M$122,6,FALSE)</f>
        <v>10(10AA)(i)</v>
      </c>
      <c r="S118" s="270">
        <v>28450</v>
      </c>
      <c r="T118" s="270">
        <v>29200</v>
      </c>
      <c r="U118" s="270">
        <v>29950</v>
      </c>
      <c r="V118" s="270">
        <v>30750</v>
      </c>
      <c r="W118" s="222">
        <f t="shared" si="14"/>
        <v>59890</v>
      </c>
      <c r="X118" s="720">
        <f t="shared" si="18"/>
        <v>53950</v>
      </c>
      <c r="Y118" s="718">
        <f t="shared" si="16"/>
        <v>55410</v>
      </c>
      <c r="Z118" s="222">
        <f t="shared" si="20"/>
        <v>56870</v>
      </c>
      <c r="AA118" s="222">
        <f t="shared" si="20"/>
        <v>58330</v>
      </c>
      <c r="AB118" s="222">
        <f t="shared" si="17"/>
        <v>27700</v>
      </c>
      <c r="AL118" s="231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1"/>
      <c r="BS118" s="231"/>
      <c r="BT118" s="231"/>
      <c r="BU118" s="231"/>
      <c r="BV118" s="222">
        <f t="shared" si="19"/>
        <v>2015</v>
      </c>
      <c r="BW118" s="231"/>
      <c r="BX118" s="231"/>
      <c r="BY118" s="231"/>
      <c r="BZ118" s="231"/>
      <c r="CA118" s="231"/>
      <c r="CB118" s="231"/>
      <c r="CC118" s="231"/>
      <c r="CD118" s="231"/>
      <c r="CE118" s="231"/>
      <c r="CF118" s="231"/>
      <c r="CG118" s="231"/>
      <c r="CH118" s="231"/>
      <c r="CI118" s="231"/>
      <c r="CJ118" s="231"/>
      <c r="CK118" s="231"/>
      <c r="CL118" s="231"/>
      <c r="CM118" s="231"/>
      <c r="CN118" s="231"/>
      <c r="CO118" s="231"/>
      <c r="CP118" s="231"/>
      <c r="CQ118" s="231"/>
      <c r="CR118" s="231"/>
      <c r="CS118" s="231"/>
      <c r="CT118" s="231"/>
      <c r="CU118" s="231"/>
      <c r="CV118" s="231"/>
      <c r="CW118" s="231"/>
      <c r="CX118" s="231"/>
      <c r="CY118" s="231"/>
      <c r="CZ118" s="231"/>
      <c r="DA118" s="231"/>
      <c r="DB118" s="231"/>
      <c r="DC118" s="231"/>
      <c r="DD118" s="231"/>
      <c r="DE118" s="231"/>
      <c r="DF118" s="231"/>
      <c r="DG118" s="231"/>
      <c r="DH118" s="231"/>
      <c r="DI118" s="231"/>
      <c r="DJ118" s="231"/>
      <c r="DK118" s="231"/>
      <c r="DL118" s="231"/>
      <c r="DM118" s="231"/>
      <c r="DN118" s="231"/>
      <c r="DO118" s="231"/>
      <c r="DP118" s="231"/>
      <c r="DQ118" s="231"/>
      <c r="DR118" s="231"/>
      <c r="DS118" s="231"/>
      <c r="DT118" s="231"/>
      <c r="DU118" s="231"/>
      <c r="DV118" s="231"/>
      <c r="DW118" s="231"/>
      <c r="YS118" s="38" t="e">
        <f>RIGHT(CONCATENATE(0,#REF!),7)</f>
        <v>#REF!</v>
      </c>
    </row>
    <row r="119" spans="2:669" hidden="1">
      <c r="B119" s="70" t="s">
        <v>1398</v>
      </c>
      <c r="C119" s="71">
        <v>150000</v>
      </c>
      <c r="D119" s="72" t="s">
        <v>1394</v>
      </c>
      <c r="E119" s="69"/>
      <c r="G119" s="307" t="s">
        <v>1683</v>
      </c>
      <c r="H119" s="308"/>
      <c r="I119" s="309"/>
      <c r="J119" s="976">
        <v>5000000</v>
      </c>
      <c r="K119" s="977"/>
      <c r="L119" s="978" t="s">
        <v>1691</v>
      </c>
      <c r="M119" s="1007"/>
      <c r="S119" s="270">
        <v>29200</v>
      </c>
      <c r="T119" s="270">
        <v>29950</v>
      </c>
      <c r="U119" s="270">
        <v>30750</v>
      </c>
      <c r="V119" s="270">
        <v>31550</v>
      </c>
      <c r="W119" s="222">
        <f t="shared" si="14"/>
        <v>61450</v>
      </c>
      <c r="X119" s="720">
        <f t="shared" si="18"/>
        <v>55410</v>
      </c>
      <c r="Y119" s="718">
        <f t="shared" si="16"/>
        <v>56870</v>
      </c>
      <c r="Z119" s="222">
        <f t="shared" si="20"/>
        <v>58330</v>
      </c>
      <c r="AA119" s="222">
        <f t="shared" si="20"/>
        <v>59890</v>
      </c>
      <c r="AB119" s="222">
        <f t="shared" si="17"/>
        <v>28450</v>
      </c>
      <c r="AL119" s="231"/>
      <c r="AM119" s="231"/>
      <c r="AN119" s="231"/>
      <c r="AO119" s="231"/>
      <c r="AP119" s="231"/>
      <c r="AQ119" s="231"/>
      <c r="AR119" s="231"/>
      <c r="AS119" s="231"/>
      <c r="AT119" s="231"/>
      <c r="AU119" s="231"/>
      <c r="AV119" s="231"/>
      <c r="AW119" s="231"/>
      <c r="AX119" s="231"/>
      <c r="AY119" s="231"/>
      <c r="AZ119" s="231"/>
      <c r="BA119" s="231"/>
      <c r="BB119" s="231"/>
      <c r="BC119" s="231"/>
      <c r="BD119" s="231"/>
      <c r="BE119" s="231"/>
      <c r="BF119" s="231"/>
      <c r="BG119" s="231"/>
      <c r="BH119" s="231"/>
      <c r="BI119" s="231"/>
      <c r="BJ119" s="231"/>
      <c r="BK119" s="231"/>
      <c r="BL119" s="231"/>
      <c r="BM119" s="231"/>
      <c r="BN119" s="231"/>
      <c r="BO119" s="231"/>
      <c r="BP119" s="231"/>
      <c r="BQ119" s="231"/>
      <c r="BR119" s="231"/>
      <c r="BS119" s="231"/>
      <c r="BT119" s="231"/>
      <c r="BU119" s="231"/>
      <c r="BV119" s="222">
        <f t="shared" si="19"/>
        <v>2016</v>
      </c>
      <c r="BW119" s="231"/>
      <c r="BX119" s="231"/>
      <c r="BY119" s="231"/>
      <c r="BZ119" s="231"/>
      <c r="CA119" s="231"/>
      <c r="CB119" s="231"/>
      <c r="CC119" s="231"/>
      <c r="CD119" s="231"/>
      <c r="CE119" s="231"/>
      <c r="CF119" s="231"/>
      <c r="CG119" s="231"/>
      <c r="CH119" s="231"/>
      <c r="CI119" s="231"/>
      <c r="CJ119" s="231"/>
      <c r="CK119" s="231"/>
      <c r="CL119" s="231"/>
      <c r="CM119" s="231"/>
      <c r="CN119" s="231"/>
      <c r="CO119" s="231"/>
      <c r="CP119" s="231"/>
      <c r="CQ119" s="231"/>
      <c r="CR119" s="231"/>
      <c r="CS119" s="231"/>
      <c r="CT119" s="231"/>
      <c r="CU119" s="231"/>
      <c r="CV119" s="231"/>
      <c r="CW119" s="231"/>
      <c r="CX119" s="231"/>
      <c r="CY119" s="231"/>
      <c r="CZ119" s="231"/>
      <c r="DA119" s="231"/>
      <c r="DB119" s="231"/>
      <c r="DC119" s="231"/>
      <c r="DD119" s="231"/>
      <c r="DE119" s="231"/>
      <c r="DF119" s="231"/>
      <c r="DG119" s="231"/>
      <c r="DH119" s="231"/>
      <c r="DI119" s="231"/>
      <c r="DJ119" s="231"/>
      <c r="DK119" s="231"/>
      <c r="DL119" s="231"/>
      <c r="DM119" s="231"/>
      <c r="DN119" s="231"/>
      <c r="DO119" s="231"/>
      <c r="DP119" s="231"/>
      <c r="DQ119" s="231"/>
      <c r="DR119" s="231"/>
      <c r="DS119" s="231"/>
      <c r="DT119" s="231"/>
      <c r="DU119" s="231"/>
      <c r="DV119" s="231"/>
      <c r="DW119" s="231"/>
      <c r="YS119" s="38" t="e">
        <f>RIGHT(CONCATENATE(0,#REF!),7)</f>
        <v>#REF!</v>
      </c>
    </row>
    <row r="120" spans="2:669" hidden="1">
      <c r="B120" s="70" t="s">
        <v>1399</v>
      </c>
      <c r="C120" s="71">
        <v>150000</v>
      </c>
      <c r="D120" s="72" t="s">
        <v>1394</v>
      </c>
      <c r="E120" s="69"/>
      <c r="G120" s="307" t="s">
        <v>1685</v>
      </c>
      <c r="H120" s="308"/>
      <c r="I120" s="309"/>
      <c r="J120" s="976">
        <v>100000</v>
      </c>
      <c r="K120" s="977"/>
      <c r="L120" s="978" t="s">
        <v>1692</v>
      </c>
      <c r="M120" s="1007"/>
      <c r="S120" s="270">
        <v>29950</v>
      </c>
      <c r="T120" s="270">
        <v>30750</v>
      </c>
      <c r="U120" s="270">
        <v>31550</v>
      </c>
      <c r="V120" s="270">
        <v>32350</v>
      </c>
      <c r="W120" s="222">
        <f t="shared" si="14"/>
        <v>63010</v>
      </c>
      <c r="X120" s="720">
        <f t="shared" si="18"/>
        <v>56870</v>
      </c>
      <c r="Y120" s="718">
        <f t="shared" si="16"/>
        <v>58330</v>
      </c>
      <c r="Z120" s="222">
        <f t="shared" si="20"/>
        <v>59890</v>
      </c>
      <c r="AA120" s="222">
        <f t="shared" si="20"/>
        <v>61450</v>
      </c>
      <c r="AB120" s="222">
        <f t="shared" si="17"/>
        <v>29200</v>
      </c>
      <c r="AL120" s="231"/>
      <c r="AM120" s="231"/>
      <c r="AN120" s="231"/>
      <c r="AO120" s="231"/>
      <c r="AP120" s="231"/>
      <c r="AQ120" s="231"/>
      <c r="AR120" s="231"/>
      <c r="AS120" s="231"/>
      <c r="AT120" s="231"/>
      <c r="AU120" s="231"/>
      <c r="AV120" s="231"/>
      <c r="AW120" s="231"/>
      <c r="AX120" s="231"/>
      <c r="AY120" s="231"/>
      <c r="AZ120" s="231"/>
      <c r="BA120" s="231"/>
      <c r="BB120" s="231"/>
      <c r="BC120" s="231"/>
      <c r="BD120" s="231"/>
      <c r="BE120" s="231"/>
      <c r="BF120" s="231"/>
      <c r="BG120" s="231"/>
      <c r="BH120" s="231"/>
      <c r="BI120" s="231"/>
      <c r="BJ120" s="231"/>
      <c r="BK120" s="231"/>
      <c r="BL120" s="231"/>
      <c r="BM120" s="231"/>
      <c r="BN120" s="231"/>
      <c r="BO120" s="231"/>
      <c r="BP120" s="231"/>
      <c r="BQ120" s="231"/>
      <c r="BR120" s="231"/>
      <c r="BS120" s="231"/>
      <c r="BT120" s="231"/>
      <c r="BU120" s="231"/>
      <c r="BV120" s="222">
        <f t="shared" si="19"/>
        <v>2017</v>
      </c>
      <c r="BW120" s="231"/>
      <c r="BX120" s="231"/>
      <c r="BY120" s="231"/>
      <c r="BZ120" s="231"/>
      <c r="CA120" s="231"/>
      <c r="CB120" s="231"/>
      <c r="CC120" s="231"/>
      <c r="CD120" s="231"/>
      <c r="CE120" s="231"/>
      <c r="CF120" s="231"/>
      <c r="CG120" s="231"/>
      <c r="CH120" s="231"/>
      <c r="CI120" s="231"/>
      <c r="CJ120" s="231"/>
      <c r="CK120" s="231"/>
      <c r="CL120" s="231"/>
      <c r="CM120" s="231"/>
      <c r="CN120" s="231"/>
      <c r="CO120" s="231"/>
      <c r="CP120" s="231"/>
      <c r="CQ120" s="231"/>
      <c r="CR120" s="231"/>
      <c r="CS120" s="231"/>
      <c r="CT120" s="231"/>
      <c r="CU120" s="231"/>
      <c r="CV120" s="231"/>
      <c r="CW120" s="231"/>
      <c r="CX120" s="231"/>
      <c r="CY120" s="231"/>
      <c r="CZ120" s="231"/>
      <c r="DA120" s="231"/>
      <c r="DB120" s="231"/>
      <c r="DC120" s="231"/>
      <c r="DD120" s="231"/>
      <c r="DE120" s="231"/>
      <c r="DF120" s="231"/>
      <c r="DG120" s="231"/>
      <c r="DH120" s="231"/>
      <c r="DI120" s="231"/>
      <c r="DJ120" s="231"/>
      <c r="DK120" s="231"/>
      <c r="DL120" s="231"/>
      <c r="DM120" s="231"/>
      <c r="DN120" s="231"/>
      <c r="DO120" s="231"/>
      <c r="DP120" s="231"/>
      <c r="DQ120" s="231"/>
      <c r="DR120" s="231"/>
      <c r="DS120" s="231"/>
      <c r="DT120" s="231"/>
      <c r="DU120" s="231"/>
      <c r="DV120" s="231"/>
      <c r="DW120" s="231"/>
      <c r="YS120" s="38" t="e">
        <f>RIGHT(CONCATENATE(0,#REF!),7)</f>
        <v>#REF!</v>
      </c>
    </row>
    <row r="121" spans="2:669" hidden="1">
      <c r="B121" s="70" t="s">
        <v>1400</v>
      </c>
      <c r="C121" s="71">
        <v>150000</v>
      </c>
      <c r="D121" s="72" t="s">
        <v>1394</v>
      </c>
      <c r="E121" s="69"/>
      <c r="G121" s="307" t="s">
        <v>1684</v>
      </c>
      <c r="H121" s="308"/>
      <c r="I121" s="309"/>
      <c r="J121" s="976">
        <v>2000</v>
      </c>
      <c r="K121" s="977"/>
      <c r="L121" s="1008" t="s">
        <v>1686</v>
      </c>
      <c r="M121" s="1009"/>
      <c r="S121" s="270">
        <v>30750</v>
      </c>
      <c r="T121" s="270">
        <v>31550</v>
      </c>
      <c r="U121" s="270">
        <v>32350</v>
      </c>
      <c r="V121" s="270">
        <v>33200</v>
      </c>
      <c r="W121" s="222">
        <f t="shared" si="14"/>
        <v>64670</v>
      </c>
      <c r="X121" s="720">
        <f t="shared" si="18"/>
        <v>58330</v>
      </c>
      <c r="Y121" s="718">
        <f t="shared" si="16"/>
        <v>59890</v>
      </c>
      <c r="Z121" s="222">
        <f t="shared" si="20"/>
        <v>61450</v>
      </c>
      <c r="AA121" s="222">
        <f t="shared" si="20"/>
        <v>63010</v>
      </c>
      <c r="AB121" s="222">
        <f t="shared" si="17"/>
        <v>29950</v>
      </c>
      <c r="AL121" s="231"/>
      <c r="AM121" s="231"/>
      <c r="AN121" s="231"/>
      <c r="AO121" s="231"/>
      <c r="AP121" s="231"/>
      <c r="AQ121" s="231"/>
      <c r="AR121" s="231"/>
      <c r="AS121" s="231"/>
      <c r="AT121" s="231"/>
      <c r="AU121" s="231"/>
      <c r="AV121" s="231"/>
      <c r="AW121" s="231"/>
      <c r="AX121" s="231"/>
      <c r="AY121" s="231"/>
      <c r="AZ121" s="231"/>
      <c r="BA121" s="231"/>
      <c r="BB121" s="231"/>
      <c r="BC121" s="231"/>
      <c r="BD121" s="231"/>
      <c r="BE121" s="231"/>
      <c r="BF121" s="231"/>
      <c r="BG121" s="231"/>
      <c r="BH121" s="231"/>
      <c r="BI121" s="231"/>
      <c r="BJ121" s="231"/>
      <c r="BK121" s="231"/>
      <c r="BL121" s="231"/>
      <c r="BM121" s="231"/>
      <c r="BN121" s="231"/>
      <c r="BO121" s="231"/>
      <c r="BP121" s="231"/>
      <c r="BQ121" s="231"/>
      <c r="BR121" s="231"/>
      <c r="BS121" s="231"/>
      <c r="BT121" s="231"/>
      <c r="BU121" s="231"/>
      <c r="BV121" s="222">
        <f t="shared" si="19"/>
        <v>2018</v>
      </c>
      <c r="BW121" s="231"/>
      <c r="BX121" s="231"/>
      <c r="BY121" s="231"/>
      <c r="BZ121" s="231"/>
      <c r="CA121" s="231"/>
      <c r="CB121" s="231"/>
      <c r="CC121" s="231"/>
      <c r="CD121" s="231"/>
      <c r="CE121" s="231"/>
      <c r="CF121" s="231"/>
      <c r="CG121" s="231"/>
      <c r="CH121" s="231"/>
      <c r="CI121" s="231"/>
      <c r="CJ121" s="231"/>
      <c r="CK121" s="231"/>
      <c r="CL121" s="231"/>
      <c r="CM121" s="231"/>
      <c r="CN121" s="231"/>
      <c r="CO121" s="231"/>
      <c r="CP121" s="231"/>
      <c r="CQ121" s="231"/>
      <c r="CR121" s="231"/>
      <c r="CS121" s="231"/>
      <c r="CT121" s="231"/>
      <c r="CU121" s="231"/>
      <c r="CV121" s="231"/>
      <c r="CW121" s="231"/>
      <c r="CX121" s="231"/>
      <c r="CY121" s="231"/>
      <c r="CZ121" s="231"/>
      <c r="DA121" s="231"/>
      <c r="DB121" s="231"/>
      <c r="DC121" s="231"/>
      <c r="DD121" s="231"/>
      <c r="DE121" s="231"/>
      <c r="DF121" s="231"/>
      <c r="DG121" s="231"/>
      <c r="DH121" s="231"/>
      <c r="DI121" s="231"/>
      <c r="DJ121" s="231"/>
      <c r="DK121" s="231"/>
      <c r="DL121" s="231"/>
      <c r="DM121" s="231"/>
      <c r="DN121" s="231"/>
      <c r="DO121" s="231"/>
      <c r="DP121" s="231"/>
      <c r="DQ121" s="231"/>
      <c r="DR121" s="231"/>
      <c r="DS121" s="231"/>
      <c r="DT121" s="231"/>
      <c r="DU121" s="231"/>
      <c r="DV121" s="231"/>
      <c r="DW121" s="231"/>
      <c r="YS121" s="38" t="e">
        <f>RIGHT(CONCATENATE(0,#REF!),7)</f>
        <v>#REF!</v>
      </c>
    </row>
    <row r="122" spans="2:669" hidden="1">
      <c r="B122" s="70" t="s">
        <v>37</v>
      </c>
      <c r="C122" s="71">
        <v>150000</v>
      </c>
      <c r="D122" s="72" t="s">
        <v>1394</v>
      </c>
      <c r="E122" s="69"/>
      <c r="G122" s="696" t="s">
        <v>1873</v>
      </c>
      <c r="H122" s="308"/>
      <c r="I122" s="309"/>
      <c r="J122" s="976">
        <f>1600*12</f>
        <v>19200</v>
      </c>
      <c r="K122" s="977"/>
      <c r="L122" s="1008" t="s">
        <v>1693</v>
      </c>
      <c r="M122" s="1010"/>
      <c r="N122" s="38" t="str">
        <f>CONCATENATE(G122," U/S ",L122)</f>
        <v>PHCA  U/S 10(14 )(i)(ii)</v>
      </c>
      <c r="O122" s="38">
        <f>MIN(SUM(Statement!I28,Statement!J28,Statement!M28),Main!J122)</f>
        <v>16360</v>
      </c>
      <c r="P122" s="38">
        <f>SUM(Statement!I28,Statement!J28,Statement!M28)</f>
        <v>16360</v>
      </c>
      <c r="Q122" s="222" t="str">
        <f>L122</f>
        <v>10(14 )(i)(ii)</v>
      </c>
      <c r="S122" s="270">
        <v>31550</v>
      </c>
      <c r="T122" s="270">
        <v>32350</v>
      </c>
      <c r="U122" s="270">
        <v>33200</v>
      </c>
      <c r="V122" s="270">
        <v>34050</v>
      </c>
      <c r="W122" s="222">
        <f t="shared" si="14"/>
        <v>66330</v>
      </c>
      <c r="X122" s="720">
        <f t="shared" si="18"/>
        <v>59890</v>
      </c>
      <c r="Y122" s="718">
        <f t="shared" si="16"/>
        <v>61450</v>
      </c>
      <c r="Z122" s="222">
        <f t="shared" si="20"/>
        <v>63010</v>
      </c>
      <c r="AA122" s="222">
        <f t="shared" si="20"/>
        <v>64670</v>
      </c>
      <c r="AB122" s="222">
        <f t="shared" si="17"/>
        <v>30750</v>
      </c>
      <c r="AL122" s="231"/>
      <c r="AM122" s="231"/>
      <c r="AN122" s="231"/>
      <c r="AO122" s="231"/>
      <c r="AP122" s="231"/>
      <c r="AQ122" s="231"/>
      <c r="AR122" s="231"/>
      <c r="AS122" s="231"/>
      <c r="AT122" s="231"/>
      <c r="AU122" s="231"/>
      <c r="AV122" s="231"/>
      <c r="AW122" s="231"/>
      <c r="AX122" s="231"/>
      <c r="AY122" s="231"/>
      <c r="AZ122" s="231"/>
      <c r="BA122" s="231"/>
      <c r="BB122" s="231"/>
      <c r="BC122" s="231"/>
      <c r="BD122" s="231"/>
      <c r="BE122" s="231"/>
      <c r="BF122" s="231"/>
      <c r="BG122" s="231"/>
      <c r="BH122" s="231"/>
      <c r="BI122" s="231"/>
      <c r="BJ122" s="231"/>
      <c r="BK122" s="231"/>
      <c r="BL122" s="231"/>
      <c r="BM122" s="231"/>
      <c r="BN122" s="231"/>
      <c r="BO122" s="231"/>
      <c r="BP122" s="231"/>
      <c r="BQ122" s="231"/>
      <c r="BR122" s="231"/>
      <c r="BS122" s="231"/>
      <c r="BT122" s="231"/>
      <c r="BU122" s="231"/>
      <c r="BV122" s="222">
        <f t="shared" si="19"/>
        <v>2019</v>
      </c>
      <c r="BW122" s="231"/>
      <c r="BX122" s="231"/>
      <c r="BY122" s="231"/>
      <c r="BZ122" s="231"/>
      <c r="CA122" s="231"/>
      <c r="CB122" s="231"/>
      <c r="CC122" s="231"/>
      <c r="CD122" s="231"/>
      <c r="CE122" s="231"/>
      <c r="CF122" s="231"/>
      <c r="CG122" s="231"/>
      <c r="CH122" s="231"/>
      <c r="CI122" s="231"/>
      <c r="CJ122" s="231"/>
      <c r="CK122" s="231"/>
      <c r="CL122" s="231"/>
      <c r="CM122" s="231"/>
      <c r="CN122" s="231"/>
      <c r="CO122" s="231"/>
      <c r="CP122" s="231"/>
      <c r="CQ122" s="231"/>
      <c r="CR122" s="231"/>
      <c r="CS122" s="231"/>
      <c r="CT122" s="231"/>
      <c r="CU122" s="231"/>
      <c r="CV122" s="231"/>
      <c r="CW122" s="231"/>
      <c r="CX122" s="231"/>
      <c r="CY122" s="231"/>
      <c r="CZ122" s="231"/>
      <c r="DA122" s="231"/>
      <c r="DB122" s="231"/>
      <c r="DC122" s="231"/>
      <c r="DD122" s="231"/>
      <c r="DE122" s="231"/>
      <c r="DF122" s="231"/>
      <c r="DG122" s="231"/>
      <c r="DH122" s="231"/>
      <c r="DI122" s="231"/>
      <c r="DJ122" s="231"/>
      <c r="DK122" s="231"/>
      <c r="DL122" s="231"/>
      <c r="DM122" s="231"/>
      <c r="DN122" s="231"/>
      <c r="DO122" s="231"/>
      <c r="DP122" s="231"/>
      <c r="DQ122" s="231"/>
      <c r="DR122" s="231"/>
      <c r="DS122" s="231"/>
      <c r="DT122" s="231"/>
      <c r="DU122" s="231"/>
      <c r="DV122" s="231"/>
      <c r="DW122" s="231"/>
      <c r="YS122" s="38" t="e">
        <f>RIGHT(CONCATENATE(0,#REF!),7)</f>
        <v>#REF!</v>
      </c>
    </row>
    <row r="123" spans="2:669" hidden="1">
      <c r="B123" s="70" t="s">
        <v>1401</v>
      </c>
      <c r="C123" s="71">
        <v>150000</v>
      </c>
      <c r="D123" s="72" t="s">
        <v>1394</v>
      </c>
      <c r="E123" s="69"/>
      <c r="G123" s="997"/>
      <c r="H123" s="998"/>
      <c r="I123" s="999"/>
      <c r="J123" s="976"/>
      <c r="K123" s="977"/>
      <c r="L123" s="1011"/>
      <c r="M123" s="1012"/>
      <c r="S123" s="270">
        <v>32350</v>
      </c>
      <c r="T123" s="270">
        <v>33200</v>
      </c>
      <c r="U123" s="270">
        <v>34050</v>
      </c>
      <c r="V123" s="270">
        <v>34900</v>
      </c>
      <c r="W123" s="222">
        <f t="shared" si="14"/>
        <v>67990</v>
      </c>
      <c r="X123" s="720">
        <f t="shared" si="18"/>
        <v>61450</v>
      </c>
      <c r="Y123" s="718">
        <f t="shared" si="16"/>
        <v>63010</v>
      </c>
      <c r="Z123" s="222">
        <f t="shared" si="20"/>
        <v>64670</v>
      </c>
      <c r="AA123" s="222">
        <f t="shared" si="20"/>
        <v>66330</v>
      </c>
      <c r="AB123" s="222">
        <f t="shared" si="17"/>
        <v>31550</v>
      </c>
      <c r="AL123" s="231"/>
      <c r="AM123" s="231"/>
      <c r="AN123" s="231"/>
      <c r="AO123" s="231"/>
      <c r="AP123" s="231"/>
      <c r="AQ123" s="231"/>
      <c r="AR123" s="231"/>
      <c r="AS123" s="231"/>
      <c r="AT123" s="231"/>
      <c r="AU123" s="231"/>
      <c r="AV123" s="231"/>
      <c r="AW123" s="231"/>
      <c r="AX123" s="231"/>
      <c r="AY123" s="231"/>
      <c r="AZ123" s="231"/>
      <c r="BA123" s="231"/>
      <c r="BB123" s="231"/>
      <c r="BC123" s="231"/>
      <c r="BD123" s="231"/>
      <c r="BE123" s="231"/>
      <c r="BF123" s="231"/>
      <c r="BG123" s="231"/>
      <c r="BH123" s="231"/>
      <c r="BI123" s="231"/>
      <c r="BJ123" s="231"/>
      <c r="BK123" s="231"/>
      <c r="BL123" s="231"/>
      <c r="BM123" s="231"/>
      <c r="BN123" s="231"/>
      <c r="BO123" s="231"/>
      <c r="BP123" s="231"/>
      <c r="BQ123" s="231"/>
      <c r="BR123" s="231"/>
      <c r="BS123" s="231"/>
      <c r="BT123" s="231"/>
      <c r="BU123" s="231"/>
      <c r="BV123" s="222">
        <f t="shared" si="19"/>
        <v>2020</v>
      </c>
      <c r="BW123" s="231"/>
      <c r="BX123" s="231"/>
      <c r="BY123" s="231"/>
      <c r="BZ123" s="231"/>
      <c r="CA123" s="231"/>
      <c r="CB123" s="231"/>
      <c r="CC123" s="231"/>
      <c r="CD123" s="231"/>
      <c r="CE123" s="231"/>
      <c r="CF123" s="231"/>
      <c r="CG123" s="231"/>
      <c r="CH123" s="231"/>
      <c r="CI123" s="231"/>
      <c r="CJ123" s="231"/>
      <c r="CK123" s="231"/>
      <c r="CL123" s="231"/>
      <c r="CM123" s="231"/>
      <c r="CN123" s="231"/>
      <c r="CO123" s="231"/>
      <c r="CP123" s="231"/>
      <c r="CQ123" s="231"/>
      <c r="CR123" s="231"/>
      <c r="CS123" s="231"/>
      <c r="CT123" s="231"/>
      <c r="CU123" s="231"/>
      <c r="CV123" s="231"/>
      <c r="CW123" s="231"/>
      <c r="CX123" s="231"/>
      <c r="CY123" s="231"/>
      <c r="CZ123" s="231"/>
      <c r="DA123" s="231"/>
      <c r="DB123" s="231"/>
      <c r="DC123" s="231"/>
      <c r="DD123" s="231"/>
      <c r="DE123" s="231"/>
      <c r="DF123" s="231"/>
      <c r="DG123" s="231"/>
      <c r="DH123" s="231"/>
      <c r="DI123" s="231"/>
      <c r="DJ123" s="231"/>
      <c r="DK123" s="231"/>
      <c r="DL123" s="231"/>
      <c r="DM123" s="231"/>
      <c r="DN123" s="231"/>
      <c r="DO123" s="231"/>
      <c r="DP123" s="231"/>
      <c r="DQ123" s="231"/>
      <c r="DR123" s="231"/>
      <c r="DS123" s="231"/>
      <c r="DT123" s="231"/>
      <c r="DU123" s="231"/>
      <c r="DV123" s="231"/>
      <c r="DW123" s="231"/>
      <c r="YS123" s="38" t="e">
        <f>RIGHT(CONCATENATE(0,#REF!),7)</f>
        <v>#REF!</v>
      </c>
    </row>
    <row r="124" spans="2:669" hidden="1">
      <c r="B124" s="70" t="s">
        <v>1402</v>
      </c>
      <c r="C124" s="71">
        <v>150000</v>
      </c>
      <c r="D124" s="72" t="s">
        <v>1394</v>
      </c>
      <c r="E124" s="69"/>
      <c r="F124" s="38" t="s">
        <v>1497</v>
      </c>
      <c r="G124" s="997"/>
      <c r="H124" s="998"/>
      <c r="I124" s="999"/>
      <c r="J124" s="976"/>
      <c r="K124" s="977"/>
      <c r="L124" s="976"/>
      <c r="M124" s="977"/>
      <c r="S124" s="270">
        <v>33200</v>
      </c>
      <c r="T124" s="270">
        <v>34050</v>
      </c>
      <c r="U124" s="270">
        <v>34900</v>
      </c>
      <c r="V124" s="270">
        <v>35800</v>
      </c>
      <c r="W124" s="222">
        <f t="shared" si="14"/>
        <v>69750</v>
      </c>
      <c r="X124" s="720">
        <f t="shared" si="18"/>
        <v>63010</v>
      </c>
      <c r="Y124" s="718">
        <f t="shared" si="16"/>
        <v>64670</v>
      </c>
      <c r="Z124" s="222">
        <f t="shared" si="20"/>
        <v>66330</v>
      </c>
      <c r="AA124" s="222">
        <f t="shared" si="20"/>
        <v>67990</v>
      </c>
      <c r="AB124" s="222">
        <f t="shared" si="17"/>
        <v>32350</v>
      </c>
      <c r="AL124" s="231"/>
      <c r="AM124" s="231"/>
      <c r="AN124" s="231"/>
      <c r="AO124" s="231"/>
      <c r="AP124" s="231"/>
      <c r="AQ124" s="231"/>
      <c r="AR124" s="231"/>
      <c r="AS124" s="231"/>
      <c r="AT124" s="231"/>
      <c r="AU124" s="231"/>
      <c r="AV124" s="231"/>
      <c r="AW124" s="231"/>
      <c r="AX124" s="231"/>
      <c r="AY124" s="231"/>
      <c r="AZ124" s="231"/>
      <c r="BA124" s="231"/>
      <c r="BB124" s="231"/>
      <c r="BC124" s="231"/>
      <c r="BD124" s="231"/>
      <c r="BE124" s="231"/>
      <c r="BF124" s="231"/>
      <c r="BG124" s="231"/>
      <c r="BH124" s="231"/>
      <c r="BI124" s="231"/>
      <c r="BJ124" s="231"/>
      <c r="BK124" s="231"/>
      <c r="BL124" s="231"/>
      <c r="BM124" s="231"/>
      <c r="BN124" s="231"/>
      <c r="BO124" s="231"/>
      <c r="BP124" s="231"/>
      <c r="BQ124" s="231"/>
      <c r="BR124" s="231"/>
      <c r="BS124" s="231"/>
      <c r="BT124" s="231"/>
      <c r="BU124" s="231"/>
      <c r="BV124" s="222">
        <f t="shared" si="19"/>
        <v>2021</v>
      </c>
      <c r="BW124" s="231"/>
      <c r="BX124" s="231"/>
      <c r="BY124" s="231"/>
      <c r="BZ124" s="231"/>
      <c r="CA124" s="231"/>
      <c r="CB124" s="231"/>
      <c r="CC124" s="231"/>
      <c r="CD124" s="231"/>
      <c r="CE124" s="231"/>
      <c r="CF124" s="231"/>
      <c r="CG124" s="231"/>
      <c r="CH124" s="231"/>
      <c r="CI124" s="231"/>
      <c r="CJ124" s="231"/>
      <c r="CK124" s="231"/>
      <c r="CL124" s="231"/>
      <c r="CM124" s="231"/>
      <c r="CN124" s="231"/>
      <c r="CO124" s="231"/>
      <c r="CP124" s="231"/>
      <c r="CQ124" s="231"/>
      <c r="CR124" s="231"/>
      <c r="CS124" s="231"/>
      <c r="CT124" s="231"/>
      <c r="CU124" s="231"/>
      <c r="CV124" s="231"/>
      <c r="CW124" s="231"/>
      <c r="CX124" s="231"/>
      <c r="CY124" s="231"/>
      <c r="CZ124" s="231"/>
      <c r="DA124" s="231"/>
      <c r="DB124" s="231"/>
      <c r="DC124" s="231"/>
      <c r="DD124" s="231"/>
      <c r="DE124" s="231"/>
      <c r="DF124" s="231"/>
      <c r="DG124" s="231"/>
      <c r="DH124" s="231"/>
      <c r="DI124" s="231"/>
      <c r="DJ124" s="231"/>
      <c r="DK124" s="231"/>
      <c r="DL124" s="231"/>
      <c r="DM124" s="231"/>
      <c r="DN124" s="231"/>
      <c r="DO124" s="231"/>
      <c r="DP124" s="231"/>
      <c r="DQ124" s="231"/>
      <c r="DR124" s="231"/>
      <c r="DS124" s="231"/>
      <c r="DT124" s="231"/>
      <c r="DU124" s="231"/>
      <c r="DV124" s="231"/>
      <c r="DW124" s="231"/>
      <c r="YS124" s="38" t="e">
        <f>RIGHT(CONCATENATE(0,#REF!),7)</f>
        <v>#REF!</v>
      </c>
    </row>
    <row r="125" spans="2:669" hidden="1">
      <c r="B125" s="70" t="s">
        <v>1403</v>
      </c>
      <c r="C125" s="71">
        <v>20000</v>
      </c>
      <c r="D125" s="72" t="s">
        <v>1404</v>
      </c>
      <c r="G125" s="997"/>
      <c r="H125" s="998"/>
      <c r="I125" s="999"/>
      <c r="J125" s="976"/>
      <c r="K125" s="977"/>
      <c r="L125" s="976"/>
      <c r="M125" s="977"/>
      <c r="S125" s="270">
        <v>34050</v>
      </c>
      <c r="T125" s="270">
        <v>34900</v>
      </c>
      <c r="U125" s="270">
        <v>35800</v>
      </c>
      <c r="V125" s="270">
        <v>36700</v>
      </c>
      <c r="W125" s="222">
        <f t="shared" si="14"/>
        <v>71510</v>
      </c>
      <c r="X125" s="720">
        <f t="shared" si="18"/>
        <v>64670</v>
      </c>
      <c r="Y125" s="718">
        <f t="shared" si="16"/>
        <v>66330</v>
      </c>
      <c r="Z125" s="222">
        <f t="shared" si="20"/>
        <v>67990</v>
      </c>
      <c r="AA125" s="222">
        <f t="shared" si="20"/>
        <v>69750</v>
      </c>
      <c r="AB125" s="222">
        <f t="shared" si="17"/>
        <v>33200</v>
      </c>
      <c r="AL125" s="231"/>
      <c r="AM125" s="231"/>
      <c r="AN125" s="231"/>
      <c r="AO125" s="231"/>
      <c r="AP125" s="231"/>
      <c r="AQ125" s="231"/>
      <c r="AR125" s="231"/>
      <c r="AS125" s="231"/>
      <c r="AT125" s="231"/>
      <c r="AU125" s="231"/>
      <c r="AV125" s="231"/>
      <c r="AW125" s="231"/>
      <c r="AX125" s="231"/>
      <c r="AY125" s="231"/>
      <c r="AZ125" s="231"/>
      <c r="BA125" s="231"/>
      <c r="BB125" s="231"/>
      <c r="BC125" s="231"/>
      <c r="BD125" s="231"/>
      <c r="BE125" s="231"/>
      <c r="BF125" s="231"/>
      <c r="BG125" s="231"/>
      <c r="BH125" s="231"/>
      <c r="BI125" s="231"/>
      <c r="BJ125" s="231"/>
      <c r="BK125" s="231"/>
      <c r="BL125" s="231"/>
      <c r="BM125" s="231"/>
      <c r="BN125" s="231"/>
      <c r="BO125" s="231"/>
      <c r="BP125" s="231"/>
      <c r="BQ125" s="231"/>
      <c r="BR125" s="231"/>
      <c r="BS125" s="231"/>
      <c r="BT125" s="231"/>
      <c r="BU125" s="231"/>
      <c r="BV125" s="222">
        <f t="shared" si="19"/>
        <v>2022</v>
      </c>
      <c r="BW125" s="231"/>
      <c r="BX125" s="231"/>
      <c r="BY125" s="231"/>
      <c r="BZ125" s="231"/>
      <c r="CA125" s="231"/>
      <c r="CB125" s="231"/>
      <c r="CC125" s="231"/>
      <c r="CD125" s="231"/>
      <c r="CE125" s="231"/>
      <c r="CF125" s="231"/>
      <c r="CG125" s="231"/>
      <c r="CH125" s="231"/>
      <c r="CI125" s="231"/>
      <c r="CJ125" s="231"/>
      <c r="CK125" s="231"/>
      <c r="CL125" s="231"/>
      <c r="CM125" s="231"/>
      <c r="CN125" s="231"/>
      <c r="CO125" s="231"/>
      <c r="CP125" s="231"/>
      <c r="CQ125" s="231"/>
      <c r="CR125" s="231"/>
      <c r="CS125" s="231"/>
      <c r="CT125" s="231"/>
      <c r="CU125" s="231"/>
      <c r="CV125" s="231"/>
      <c r="CW125" s="231"/>
      <c r="CX125" s="231"/>
      <c r="CY125" s="231"/>
      <c r="CZ125" s="231"/>
      <c r="DA125" s="231"/>
      <c r="DB125" s="231"/>
      <c r="DC125" s="231"/>
      <c r="DD125" s="231"/>
      <c r="DE125" s="231"/>
      <c r="DF125" s="231"/>
      <c r="DG125" s="231"/>
      <c r="DH125" s="231"/>
      <c r="DI125" s="231"/>
      <c r="DJ125" s="231"/>
      <c r="DK125" s="231"/>
      <c r="DL125" s="231"/>
      <c r="DM125" s="231"/>
      <c r="DN125" s="231"/>
      <c r="DO125" s="231"/>
      <c r="DP125" s="231"/>
      <c r="DQ125" s="231"/>
      <c r="DR125" s="231"/>
      <c r="DS125" s="231"/>
      <c r="DT125" s="231"/>
      <c r="DU125" s="231"/>
      <c r="DV125" s="231"/>
      <c r="DW125" s="231"/>
      <c r="YS125" s="38" t="e">
        <f>RIGHT(CONCATENATE(0,#REF!),7)</f>
        <v>#REF!</v>
      </c>
    </row>
    <row r="126" spans="2:669" hidden="1">
      <c r="B126" s="70" t="s">
        <v>1405</v>
      </c>
      <c r="C126" s="73">
        <v>150000</v>
      </c>
      <c r="D126" s="72" t="s">
        <v>55</v>
      </c>
      <c r="I126" s="57"/>
      <c r="J126" s="57"/>
      <c r="K126" s="57"/>
      <c r="L126" s="57"/>
      <c r="S126" s="270">
        <v>34900</v>
      </c>
      <c r="T126" s="270">
        <v>35800</v>
      </c>
      <c r="U126" s="270">
        <v>36700</v>
      </c>
      <c r="V126" s="270">
        <v>37600</v>
      </c>
      <c r="W126" s="222">
        <f t="shared" si="14"/>
        <v>73270</v>
      </c>
      <c r="X126" s="720">
        <f t="shared" si="18"/>
        <v>66330</v>
      </c>
      <c r="Y126" s="718">
        <f t="shared" si="16"/>
        <v>67990</v>
      </c>
      <c r="Z126" s="222">
        <f t="shared" si="20"/>
        <v>69750</v>
      </c>
      <c r="AA126" s="222">
        <f t="shared" si="20"/>
        <v>71510</v>
      </c>
      <c r="AB126" s="222">
        <f t="shared" si="17"/>
        <v>34050</v>
      </c>
      <c r="AL126" s="231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1"/>
      <c r="BS126" s="231"/>
      <c r="BT126" s="231"/>
      <c r="BU126" s="231"/>
      <c r="BV126" s="222">
        <f t="shared" si="19"/>
        <v>2023</v>
      </c>
      <c r="BW126" s="231"/>
      <c r="BX126" s="231"/>
      <c r="BY126" s="231"/>
      <c r="BZ126" s="231"/>
      <c r="CA126" s="231"/>
      <c r="CB126" s="231"/>
      <c r="CC126" s="231"/>
      <c r="CD126" s="231"/>
      <c r="CE126" s="231"/>
      <c r="CF126" s="231"/>
      <c r="CG126" s="231"/>
      <c r="CH126" s="231"/>
      <c r="CI126" s="231"/>
      <c r="CJ126" s="231"/>
      <c r="CK126" s="231"/>
      <c r="CL126" s="231"/>
      <c r="CM126" s="231"/>
      <c r="CN126" s="231"/>
      <c r="CO126" s="231"/>
      <c r="CP126" s="231"/>
      <c r="CQ126" s="231"/>
      <c r="CR126" s="231"/>
      <c r="CS126" s="231"/>
      <c r="CT126" s="231"/>
      <c r="CU126" s="231"/>
      <c r="CV126" s="231"/>
      <c r="CW126" s="231"/>
      <c r="CX126" s="231"/>
      <c r="CY126" s="231"/>
      <c r="CZ126" s="231"/>
      <c r="DA126" s="231"/>
      <c r="DB126" s="231"/>
      <c r="DC126" s="231"/>
      <c r="DD126" s="231"/>
      <c r="DE126" s="231"/>
      <c r="DF126" s="231"/>
      <c r="DG126" s="231"/>
      <c r="DH126" s="231"/>
      <c r="DI126" s="231"/>
      <c r="DJ126" s="231"/>
      <c r="DK126" s="231"/>
      <c r="DL126" s="231"/>
      <c r="DM126" s="231"/>
      <c r="DN126" s="231"/>
      <c r="DO126" s="231"/>
      <c r="DP126" s="231"/>
      <c r="DQ126" s="231"/>
      <c r="DR126" s="231"/>
      <c r="DS126" s="231"/>
      <c r="DT126" s="231"/>
      <c r="DU126" s="231"/>
      <c r="DV126" s="231"/>
      <c r="DW126" s="231"/>
      <c r="YS126" s="38" t="e">
        <f>RIGHT(CONCATENATE(0,#REF!),7)</f>
        <v>#REF!</v>
      </c>
    </row>
    <row r="127" spans="2:669" ht="18" hidden="1">
      <c r="B127" s="75" t="s">
        <v>1406</v>
      </c>
      <c r="C127" s="76" t="s">
        <v>1392</v>
      </c>
      <c r="D127" s="68" t="s">
        <v>32</v>
      </c>
      <c r="I127" s="57"/>
      <c r="J127" s="57"/>
      <c r="K127" s="57"/>
      <c r="L127" s="57"/>
      <c r="S127" s="270">
        <v>35800</v>
      </c>
      <c r="T127" s="270">
        <v>36700</v>
      </c>
      <c r="U127" s="270">
        <v>37600</v>
      </c>
      <c r="V127" s="270">
        <v>38570</v>
      </c>
      <c r="W127" s="222">
        <f t="shared" si="14"/>
        <v>75150</v>
      </c>
      <c r="X127" s="720">
        <f t="shared" si="18"/>
        <v>67990</v>
      </c>
      <c r="Y127" s="718">
        <f t="shared" si="16"/>
        <v>69750</v>
      </c>
      <c r="Z127" s="222">
        <f t="shared" si="20"/>
        <v>71510</v>
      </c>
      <c r="AA127" s="222">
        <f t="shared" si="20"/>
        <v>73270</v>
      </c>
      <c r="AB127" s="222">
        <f t="shared" si="17"/>
        <v>34900</v>
      </c>
      <c r="AL127" s="231"/>
      <c r="AM127" s="231"/>
      <c r="AN127" s="231"/>
      <c r="AO127" s="231"/>
      <c r="AP127" s="231"/>
      <c r="AQ127" s="231"/>
      <c r="AR127" s="231"/>
      <c r="AS127" s="231"/>
      <c r="AT127" s="231"/>
      <c r="AU127" s="231"/>
      <c r="AV127" s="231"/>
      <c r="AW127" s="231"/>
      <c r="AX127" s="231"/>
      <c r="AY127" s="231"/>
      <c r="AZ127" s="231"/>
      <c r="BA127" s="231"/>
      <c r="BB127" s="231"/>
      <c r="BC127" s="231"/>
      <c r="BD127" s="231"/>
      <c r="BE127" s="231"/>
      <c r="BF127" s="231"/>
      <c r="BG127" s="231"/>
      <c r="BH127" s="231"/>
      <c r="BI127" s="231"/>
      <c r="BJ127" s="231"/>
      <c r="BK127" s="231"/>
      <c r="BL127" s="231"/>
      <c r="BM127" s="231"/>
      <c r="BN127" s="231"/>
      <c r="BO127" s="231"/>
      <c r="BP127" s="231"/>
      <c r="BQ127" s="231"/>
      <c r="BR127" s="231"/>
      <c r="BS127" s="231"/>
      <c r="BT127" s="231"/>
      <c r="BU127" s="231"/>
      <c r="BV127" s="222">
        <f t="shared" si="19"/>
        <v>2024</v>
      </c>
      <c r="BW127" s="231"/>
      <c r="BX127" s="231"/>
      <c r="BY127" s="231"/>
      <c r="BZ127" s="231"/>
      <c r="CA127" s="231"/>
      <c r="CB127" s="231"/>
      <c r="CC127" s="231"/>
      <c r="CD127" s="231"/>
      <c r="CE127" s="231"/>
      <c r="CF127" s="231"/>
      <c r="CG127" s="231"/>
      <c r="CH127" s="231"/>
      <c r="CI127" s="231"/>
      <c r="CJ127" s="231"/>
      <c r="CK127" s="231"/>
      <c r="CL127" s="231"/>
      <c r="CM127" s="231"/>
      <c r="CN127" s="231"/>
      <c r="CO127" s="231"/>
      <c r="CP127" s="231"/>
      <c r="CQ127" s="231"/>
      <c r="CR127" s="231"/>
      <c r="CS127" s="231"/>
      <c r="CT127" s="231"/>
      <c r="CU127" s="231"/>
      <c r="CV127" s="231"/>
      <c r="CW127" s="231"/>
      <c r="CX127" s="231"/>
      <c r="CY127" s="231"/>
      <c r="CZ127" s="231"/>
      <c r="DA127" s="231"/>
      <c r="DB127" s="231"/>
      <c r="DC127" s="231"/>
      <c r="DD127" s="231"/>
      <c r="DE127" s="231"/>
      <c r="DF127" s="231"/>
      <c r="DG127" s="231"/>
      <c r="DH127" s="231"/>
      <c r="DI127" s="231"/>
      <c r="DJ127" s="231"/>
      <c r="DK127" s="231"/>
      <c r="DL127" s="231"/>
      <c r="DM127" s="231"/>
      <c r="DN127" s="231"/>
      <c r="DO127" s="231"/>
      <c r="DP127" s="231"/>
      <c r="DQ127" s="231"/>
      <c r="DR127" s="231"/>
      <c r="DS127" s="231"/>
      <c r="DT127" s="231"/>
      <c r="DU127" s="231"/>
      <c r="DV127" s="231"/>
      <c r="DW127" s="231"/>
      <c r="YS127" s="38" t="e">
        <f>RIGHT(CONCATENATE(0,#REF!),7)</f>
        <v>#REF!</v>
      </c>
    </row>
    <row r="128" spans="2:669" hidden="1">
      <c r="B128" s="74" t="s">
        <v>1830</v>
      </c>
      <c r="C128" s="74">
        <v>300000</v>
      </c>
      <c r="D128" s="74" t="s">
        <v>1831</v>
      </c>
      <c r="I128" s="57"/>
      <c r="K128" s="57"/>
      <c r="L128" s="57"/>
      <c r="S128" s="270">
        <v>36700</v>
      </c>
      <c r="T128" s="270">
        <v>37600</v>
      </c>
      <c r="U128" s="270">
        <v>38570</v>
      </c>
      <c r="V128" s="270">
        <v>39540</v>
      </c>
      <c r="W128" s="222">
        <f t="shared" si="14"/>
        <v>77030</v>
      </c>
      <c r="X128" s="720">
        <f t="shared" si="18"/>
        <v>69750</v>
      </c>
      <c r="Y128" s="718">
        <f t="shared" si="16"/>
        <v>71510</v>
      </c>
      <c r="Z128" s="222">
        <f t="shared" si="20"/>
        <v>73270</v>
      </c>
      <c r="AA128" s="222">
        <f t="shared" si="20"/>
        <v>75150</v>
      </c>
      <c r="AB128" s="222">
        <f t="shared" si="17"/>
        <v>35800</v>
      </c>
      <c r="AL128" s="231"/>
      <c r="AM128" s="231"/>
      <c r="AN128" s="231"/>
      <c r="AO128" s="231"/>
      <c r="AP128" s="231"/>
      <c r="AQ128" s="231"/>
      <c r="AR128" s="231"/>
      <c r="AS128" s="231"/>
      <c r="AT128" s="231"/>
      <c r="AU128" s="231"/>
      <c r="AV128" s="231"/>
      <c r="AW128" s="231"/>
      <c r="AX128" s="231"/>
      <c r="AY128" s="231"/>
      <c r="AZ128" s="231"/>
      <c r="BA128" s="231"/>
      <c r="BB128" s="231"/>
      <c r="BC128" s="231"/>
      <c r="BD128" s="231"/>
      <c r="BE128" s="231"/>
      <c r="BF128" s="231"/>
      <c r="BG128" s="231"/>
      <c r="BH128" s="231"/>
      <c r="BI128" s="231"/>
      <c r="BJ128" s="231"/>
      <c r="BK128" s="231"/>
      <c r="BL128" s="231"/>
      <c r="BM128" s="231"/>
      <c r="BN128" s="231"/>
      <c r="BO128" s="231"/>
      <c r="BP128" s="231"/>
      <c r="BQ128" s="231"/>
      <c r="BR128" s="231"/>
      <c r="BS128" s="231"/>
      <c r="BT128" s="231"/>
      <c r="BU128" s="231"/>
      <c r="BV128" s="222">
        <f t="shared" si="19"/>
        <v>2025</v>
      </c>
      <c r="BW128" s="231"/>
      <c r="BX128" s="231"/>
      <c r="BY128" s="231"/>
      <c r="BZ128" s="231"/>
      <c r="CA128" s="231"/>
      <c r="CB128" s="231"/>
      <c r="CC128" s="231"/>
      <c r="CD128" s="231"/>
      <c r="CE128" s="231"/>
      <c r="CF128" s="231"/>
      <c r="CG128" s="231"/>
      <c r="CH128" s="231"/>
      <c r="CI128" s="231"/>
      <c r="CJ128" s="231"/>
      <c r="CK128" s="231"/>
      <c r="CL128" s="231"/>
      <c r="CM128" s="231"/>
      <c r="CN128" s="231"/>
      <c r="CO128" s="231"/>
      <c r="CP128" s="231"/>
      <c r="CQ128" s="231"/>
      <c r="CR128" s="231"/>
      <c r="CS128" s="231"/>
      <c r="CT128" s="231"/>
      <c r="CU128" s="231"/>
      <c r="CV128" s="231"/>
      <c r="CW128" s="231"/>
      <c r="CX128" s="231"/>
      <c r="CY128" s="231"/>
      <c r="CZ128" s="231"/>
      <c r="DA128" s="231"/>
      <c r="DB128" s="231"/>
      <c r="DC128" s="231"/>
      <c r="DD128" s="231"/>
      <c r="DE128" s="231"/>
      <c r="DF128" s="231"/>
      <c r="DG128" s="231"/>
      <c r="DH128" s="231"/>
      <c r="DI128" s="231"/>
      <c r="DJ128" s="231"/>
      <c r="DK128" s="231"/>
      <c r="DL128" s="231"/>
      <c r="DM128" s="231"/>
      <c r="DN128" s="231"/>
      <c r="DO128" s="231"/>
      <c r="DP128" s="231"/>
      <c r="DQ128" s="231"/>
      <c r="DR128" s="231"/>
      <c r="DS128" s="231"/>
      <c r="DT128" s="231"/>
      <c r="DU128" s="231"/>
      <c r="DV128" s="231"/>
      <c r="DW128" s="231"/>
      <c r="YS128" s="38" t="e">
        <f>RIGHT(CONCATENATE(0,#REF!),7)</f>
        <v>#REF!</v>
      </c>
    </row>
    <row r="129" spans="2:669" hidden="1">
      <c r="B129" s="316" t="s">
        <v>1407</v>
      </c>
      <c r="C129" s="792">
        <v>25000</v>
      </c>
      <c r="D129" s="317" t="s">
        <v>56</v>
      </c>
      <c r="F129" s="38" t="str">
        <f>IF(J129=0,"",CONCATENATE(F29," U/S ",K129))</f>
        <v/>
      </c>
      <c r="I129" s="57"/>
      <c r="J129" s="313">
        <f>IF(L29=0,0,MIN(L29,VLOOKUP(F29,$B$128:$D$143,2,FALSE)))</f>
        <v>0</v>
      </c>
      <c r="K129" s="57" t="str">
        <f>VLOOKUP(F29,$B$128:$D$143,3,FALSE)</f>
        <v>80DDB</v>
      </c>
      <c r="L129" s="57"/>
      <c r="S129" s="270">
        <v>37600</v>
      </c>
      <c r="T129" s="270">
        <v>38570</v>
      </c>
      <c r="U129" s="270">
        <v>39540</v>
      </c>
      <c r="V129" s="270">
        <v>40510</v>
      </c>
      <c r="W129" s="222">
        <f t="shared" si="14"/>
        <v>78910</v>
      </c>
      <c r="X129" s="720">
        <f t="shared" si="18"/>
        <v>71510</v>
      </c>
      <c r="Y129" s="718">
        <f t="shared" si="16"/>
        <v>73270</v>
      </c>
      <c r="Z129" s="222">
        <f t="shared" si="20"/>
        <v>75150</v>
      </c>
      <c r="AA129" s="222">
        <f t="shared" si="20"/>
        <v>77030</v>
      </c>
      <c r="AB129" s="222">
        <f t="shared" si="17"/>
        <v>36700</v>
      </c>
      <c r="AL129" s="231"/>
      <c r="AM129" s="231"/>
      <c r="AN129" s="231"/>
      <c r="AO129" s="231"/>
      <c r="AP129" s="231"/>
      <c r="AQ129" s="231"/>
      <c r="AR129" s="231"/>
      <c r="AS129" s="231"/>
      <c r="AT129" s="231"/>
      <c r="AU129" s="231"/>
      <c r="AV129" s="231"/>
      <c r="AW129" s="231"/>
      <c r="AX129" s="231"/>
      <c r="AY129" s="231"/>
      <c r="AZ129" s="231"/>
      <c r="BA129" s="231"/>
      <c r="BB129" s="231"/>
      <c r="BC129" s="231"/>
      <c r="BD129" s="231"/>
      <c r="BE129" s="231"/>
      <c r="BF129" s="231"/>
      <c r="BG129" s="231"/>
      <c r="BH129" s="231"/>
      <c r="BI129" s="231"/>
      <c r="BJ129" s="231"/>
      <c r="BK129" s="231"/>
      <c r="BL129" s="231"/>
      <c r="BM129" s="231"/>
      <c r="BN129" s="231"/>
      <c r="BO129" s="231"/>
      <c r="BP129" s="231"/>
      <c r="BQ129" s="231"/>
      <c r="BR129" s="231"/>
      <c r="BS129" s="231"/>
      <c r="BT129" s="231"/>
      <c r="BU129" s="231"/>
      <c r="BV129" s="222">
        <f t="shared" si="19"/>
        <v>2026</v>
      </c>
      <c r="BW129" s="231"/>
      <c r="BX129" s="231"/>
      <c r="BY129" s="231"/>
      <c r="BZ129" s="231"/>
      <c r="CA129" s="231"/>
      <c r="CB129" s="231"/>
      <c r="CC129" s="231"/>
      <c r="CD129" s="231"/>
      <c r="CE129" s="231"/>
      <c r="CF129" s="231"/>
      <c r="CG129" s="231"/>
      <c r="CH129" s="231"/>
      <c r="CI129" s="231"/>
      <c r="CJ129" s="231"/>
      <c r="CK129" s="231"/>
      <c r="CL129" s="231"/>
      <c r="CM129" s="231"/>
      <c r="CN129" s="231"/>
      <c r="CO129" s="231"/>
      <c r="CP129" s="231"/>
      <c r="CQ129" s="231"/>
      <c r="CR129" s="231"/>
      <c r="CS129" s="231"/>
      <c r="CT129" s="231"/>
      <c r="CU129" s="231"/>
      <c r="CV129" s="231"/>
      <c r="CW129" s="231"/>
      <c r="CX129" s="231"/>
      <c r="CY129" s="231"/>
      <c r="CZ129" s="231"/>
      <c r="DA129" s="231"/>
      <c r="DB129" s="231"/>
      <c r="DC129" s="231"/>
      <c r="DD129" s="231"/>
      <c r="DE129" s="231"/>
      <c r="DF129" s="231"/>
      <c r="DG129" s="231"/>
      <c r="DH129" s="231"/>
      <c r="DI129" s="231"/>
      <c r="DJ129" s="231"/>
      <c r="DK129" s="231"/>
      <c r="DL129" s="231"/>
      <c r="DM129" s="231"/>
      <c r="DN129" s="231"/>
      <c r="DO129" s="231"/>
      <c r="DP129" s="231"/>
      <c r="DQ129" s="231"/>
      <c r="DR129" s="231"/>
      <c r="DS129" s="231"/>
      <c r="DT129" s="231"/>
      <c r="DU129" s="231"/>
      <c r="DV129" s="231"/>
      <c r="DW129" s="231"/>
      <c r="YS129" s="38" t="e">
        <f>RIGHT(CONCATENATE(0,#REF!),7)</f>
        <v>#REF!</v>
      </c>
    </row>
    <row r="130" spans="2:669" hidden="1">
      <c r="B130" s="318" t="s">
        <v>1672</v>
      </c>
      <c r="C130" s="793">
        <v>30000</v>
      </c>
      <c r="D130" s="319" t="s">
        <v>56</v>
      </c>
      <c r="F130" s="38" t="str">
        <f>IF(J130=0,"",CONCATENATE(F30," U/S ",K130))</f>
        <v/>
      </c>
      <c r="I130" s="57"/>
      <c r="J130" s="313">
        <f>IF(L30=0,0,MIN(L30,VLOOKUP(F30,$B$129:$D$143,2,FALSE)))</f>
        <v>0</v>
      </c>
      <c r="K130" s="57" t="str">
        <f>VLOOKUP(F30,$B$129:$D$143,3,FALSE)</f>
        <v>80E</v>
      </c>
      <c r="L130" s="57"/>
      <c r="S130" s="270">
        <v>38570</v>
      </c>
      <c r="T130" s="270">
        <v>39540</v>
      </c>
      <c r="U130" s="270">
        <v>40510</v>
      </c>
      <c r="V130" s="270">
        <v>41550</v>
      </c>
      <c r="W130" s="222">
        <f t="shared" si="14"/>
        <v>80930</v>
      </c>
      <c r="X130" s="720">
        <f t="shared" si="18"/>
        <v>73270</v>
      </c>
      <c r="Y130" s="718">
        <f t="shared" si="16"/>
        <v>75150</v>
      </c>
      <c r="Z130" s="222">
        <f t="shared" si="20"/>
        <v>77030</v>
      </c>
      <c r="AA130" s="222">
        <f t="shared" si="20"/>
        <v>78910</v>
      </c>
      <c r="AB130" s="222">
        <f t="shared" si="17"/>
        <v>37600</v>
      </c>
      <c r="AL130" s="231"/>
      <c r="AM130" s="231"/>
      <c r="AN130" s="231"/>
      <c r="AO130" s="231"/>
      <c r="AP130" s="231"/>
      <c r="AQ130" s="231"/>
      <c r="AR130" s="231"/>
      <c r="AS130" s="231"/>
      <c r="AT130" s="231"/>
      <c r="AU130" s="231"/>
      <c r="AV130" s="231"/>
      <c r="AW130" s="231"/>
      <c r="AX130" s="231"/>
      <c r="AY130" s="231"/>
      <c r="AZ130" s="231"/>
      <c r="BA130" s="231"/>
      <c r="BB130" s="231"/>
      <c r="BC130" s="231"/>
      <c r="BD130" s="231"/>
      <c r="BE130" s="231"/>
      <c r="BF130" s="231"/>
      <c r="BG130" s="231"/>
      <c r="BH130" s="231"/>
      <c r="BI130" s="231"/>
      <c r="BJ130" s="231"/>
      <c r="BK130" s="231"/>
      <c r="BL130" s="231"/>
      <c r="BM130" s="231"/>
      <c r="BN130" s="231"/>
      <c r="BO130" s="231"/>
      <c r="BP130" s="231"/>
      <c r="BQ130" s="231"/>
      <c r="BR130" s="231"/>
      <c r="BS130" s="231"/>
      <c r="BT130" s="231"/>
      <c r="BU130" s="231"/>
      <c r="BV130" s="222">
        <f t="shared" si="19"/>
        <v>2027</v>
      </c>
      <c r="BW130" s="231"/>
      <c r="BX130" s="231"/>
      <c r="BY130" s="231"/>
      <c r="BZ130" s="231"/>
      <c r="CA130" s="231"/>
      <c r="CB130" s="231"/>
      <c r="CC130" s="231"/>
      <c r="CD130" s="231"/>
      <c r="CE130" s="231"/>
      <c r="CF130" s="231"/>
      <c r="CG130" s="231"/>
      <c r="CH130" s="231"/>
      <c r="CI130" s="231"/>
      <c r="CJ130" s="231"/>
      <c r="CK130" s="231"/>
      <c r="CL130" s="231"/>
      <c r="CM130" s="231"/>
      <c r="CN130" s="231"/>
      <c r="CO130" s="231"/>
      <c r="CP130" s="231"/>
      <c r="CQ130" s="231"/>
      <c r="CR130" s="231"/>
      <c r="CS130" s="231"/>
      <c r="CT130" s="231"/>
      <c r="CU130" s="231"/>
      <c r="CV130" s="231"/>
      <c r="CW130" s="231"/>
      <c r="CX130" s="231"/>
      <c r="CY130" s="231"/>
      <c r="CZ130" s="231"/>
      <c r="DA130" s="231"/>
      <c r="DB130" s="231"/>
      <c r="DC130" s="231"/>
      <c r="DD130" s="231"/>
      <c r="DE130" s="231"/>
      <c r="DF130" s="231"/>
      <c r="DG130" s="231"/>
      <c r="DH130" s="231"/>
      <c r="DI130" s="231"/>
      <c r="DJ130" s="231"/>
      <c r="DK130" s="231"/>
      <c r="DL130" s="231"/>
      <c r="DM130" s="231"/>
      <c r="DN130" s="231"/>
      <c r="DO130" s="231"/>
      <c r="DP130" s="231"/>
      <c r="DQ130" s="231"/>
      <c r="DR130" s="231"/>
      <c r="DS130" s="231"/>
      <c r="DT130" s="231"/>
      <c r="DU130" s="231"/>
      <c r="DV130" s="231"/>
      <c r="DW130" s="231"/>
      <c r="YS130" s="38" t="e">
        <f>RIGHT(CONCATENATE(0,#REF!),7)</f>
        <v>#REF!</v>
      </c>
    </row>
    <row r="131" spans="2:669" hidden="1">
      <c r="B131" s="316" t="s">
        <v>1408</v>
      </c>
      <c r="C131" s="792">
        <v>40000</v>
      </c>
      <c r="D131" s="317" t="s">
        <v>1420</v>
      </c>
      <c r="F131" s="38" t="str">
        <f>IF(J131=0,"",CONCATENATE(F31," U/S ",K131))</f>
        <v/>
      </c>
      <c r="I131" s="57"/>
      <c r="J131" s="313">
        <f>IF(L31=0,0,MIN(L31,VLOOKUP(F31,$B$129:$D$143,2,FALSE)))</f>
        <v>0</v>
      </c>
      <c r="K131" s="57" t="str">
        <f>VLOOKUP(F31,$B$129:$D$143,3,FALSE)</f>
        <v>80TTA</v>
      </c>
      <c r="L131" s="57"/>
      <c r="S131" s="270">
        <v>39540</v>
      </c>
      <c r="T131" s="270">
        <v>40510</v>
      </c>
      <c r="U131" s="270">
        <v>41550</v>
      </c>
      <c r="V131" s="270">
        <v>42590</v>
      </c>
      <c r="W131" s="222">
        <f t="shared" ref="W131:W147" si="21">VLOOKUP(ROUND(SUM(S131,S131*63.344%,S131*43%),0),$X$67:$Y$152,2,TRUE)</f>
        <v>82950</v>
      </c>
      <c r="X131" s="720">
        <f t="shared" si="18"/>
        <v>75150</v>
      </c>
      <c r="Y131" s="718">
        <f t="shared" si="16"/>
        <v>77030</v>
      </c>
      <c r="Z131" s="222">
        <f t="shared" ref="Z131:AA150" si="22">Y132</f>
        <v>78910</v>
      </c>
      <c r="AA131" s="222">
        <f t="shared" si="22"/>
        <v>80930</v>
      </c>
      <c r="AB131" s="222">
        <f t="shared" si="17"/>
        <v>38570</v>
      </c>
      <c r="AL131" s="231"/>
      <c r="AM131" s="231"/>
      <c r="AN131" s="231"/>
      <c r="AO131" s="231"/>
      <c r="AP131" s="231"/>
      <c r="AQ131" s="231"/>
      <c r="AR131" s="231"/>
      <c r="AS131" s="231"/>
      <c r="AT131" s="231"/>
      <c r="AU131" s="231"/>
      <c r="AV131" s="231"/>
      <c r="AW131" s="231"/>
      <c r="AX131" s="231"/>
      <c r="AY131" s="231"/>
      <c r="AZ131" s="231"/>
      <c r="BA131" s="231"/>
      <c r="BB131" s="231"/>
      <c r="BC131" s="231"/>
      <c r="BD131" s="231"/>
      <c r="BE131" s="231"/>
      <c r="BF131" s="231"/>
      <c r="BG131" s="231"/>
      <c r="BH131" s="231"/>
      <c r="BI131" s="231"/>
      <c r="BJ131" s="231"/>
      <c r="BK131" s="231"/>
      <c r="BL131" s="231"/>
      <c r="BM131" s="231"/>
      <c r="BN131" s="231"/>
      <c r="BO131" s="231"/>
      <c r="BP131" s="231"/>
      <c r="BQ131" s="231"/>
      <c r="BR131" s="231"/>
      <c r="BS131" s="231"/>
      <c r="BT131" s="231"/>
      <c r="BU131" s="231"/>
      <c r="BV131" s="222">
        <f t="shared" si="19"/>
        <v>2028</v>
      </c>
      <c r="BW131" s="231"/>
      <c r="BX131" s="231"/>
      <c r="BY131" s="231"/>
      <c r="BZ131" s="231"/>
      <c r="CA131" s="231"/>
      <c r="CB131" s="231"/>
      <c r="CC131" s="231"/>
      <c r="CD131" s="231"/>
      <c r="CE131" s="231"/>
      <c r="CF131" s="231"/>
      <c r="CG131" s="231"/>
      <c r="CH131" s="231"/>
      <c r="CI131" s="231"/>
      <c r="CJ131" s="231"/>
      <c r="CK131" s="231"/>
      <c r="CL131" s="231"/>
      <c r="CM131" s="231"/>
      <c r="CN131" s="231"/>
      <c r="CO131" s="231"/>
      <c r="CP131" s="231"/>
      <c r="CQ131" s="231"/>
      <c r="CR131" s="231"/>
      <c r="CS131" s="231"/>
      <c r="CT131" s="231"/>
      <c r="CU131" s="231"/>
      <c r="CV131" s="231"/>
      <c r="CW131" s="231"/>
      <c r="CX131" s="231"/>
      <c r="CY131" s="231"/>
      <c r="CZ131" s="231"/>
      <c r="DA131" s="231"/>
      <c r="DB131" s="231"/>
      <c r="DC131" s="231"/>
      <c r="DD131" s="231"/>
      <c r="DE131" s="231"/>
      <c r="DF131" s="231"/>
      <c r="DG131" s="231"/>
      <c r="DH131" s="231"/>
      <c r="DI131" s="231"/>
      <c r="DJ131" s="231"/>
      <c r="DK131" s="231"/>
      <c r="DL131" s="231"/>
      <c r="DM131" s="231"/>
      <c r="DN131" s="231"/>
      <c r="DO131" s="231"/>
      <c r="DP131" s="231"/>
      <c r="DQ131" s="231"/>
      <c r="DR131" s="231"/>
      <c r="DS131" s="231"/>
      <c r="DT131" s="231"/>
      <c r="DU131" s="231"/>
      <c r="DV131" s="231"/>
      <c r="DW131" s="231"/>
      <c r="YS131" s="38" t="e">
        <f>RIGHT(CONCATENATE(0,#REF!),7)</f>
        <v>#REF!</v>
      </c>
    </row>
    <row r="132" spans="2:669" hidden="1">
      <c r="B132" s="794" t="s">
        <v>1673</v>
      </c>
      <c r="C132" s="795">
        <v>60000</v>
      </c>
      <c r="D132" s="317" t="s">
        <v>1420</v>
      </c>
      <c r="F132" s="38" t="str">
        <f>IF(J132=0,"",CONCATENATE(F32," U/S ",K132))</f>
        <v/>
      </c>
      <c r="I132" s="57"/>
      <c r="J132" s="313">
        <f>IF(L32=0,0,MIN(L32,VLOOKUP(F32,$B$129:$D$144,2,FALSE)))</f>
        <v>0</v>
      </c>
      <c r="K132" s="57" t="str">
        <f>VLOOKUP(F32,$B$129:$D$144,3,FALSE)</f>
        <v>80G</v>
      </c>
      <c r="L132" s="314">
        <f>MIN(IF(F32=B144,ROUND(J132/2,0),J132),ROUND(SB!K40*10%,0))</f>
        <v>0</v>
      </c>
      <c r="S132" s="270">
        <v>40510</v>
      </c>
      <c r="T132" s="270">
        <v>41550</v>
      </c>
      <c r="U132" s="270">
        <v>42590</v>
      </c>
      <c r="V132" s="270">
        <v>43630</v>
      </c>
      <c r="W132" s="222">
        <f t="shared" si="21"/>
        <v>84970</v>
      </c>
      <c r="X132" s="720">
        <f t="shared" si="18"/>
        <v>77030</v>
      </c>
      <c r="Y132" s="718">
        <f t="shared" ref="Y132:Y151" si="23">X133</f>
        <v>78910</v>
      </c>
      <c r="Z132" s="222">
        <f t="shared" si="22"/>
        <v>80930</v>
      </c>
      <c r="AA132" s="222">
        <f t="shared" si="22"/>
        <v>82950</v>
      </c>
      <c r="AB132" s="222">
        <f t="shared" ref="AB132:AB149" si="24">S131</f>
        <v>39540</v>
      </c>
      <c r="AL132" s="231"/>
      <c r="AM132" s="231"/>
      <c r="AN132" s="231"/>
      <c r="AO132" s="231"/>
      <c r="AP132" s="231"/>
      <c r="AQ132" s="231"/>
      <c r="AR132" s="231"/>
      <c r="AS132" s="231"/>
      <c r="AT132" s="231"/>
      <c r="AU132" s="231"/>
      <c r="AV132" s="231"/>
      <c r="AW132" s="231"/>
      <c r="AX132" s="231"/>
      <c r="AY132" s="231"/>
      <c r="AZ132" s="231"/>
      <c r="BA132" s="231"/>
      <c r="BB132" s="231"/>
      <c r="BC132" s="231"/>
      <c r="BD132" s="231"/>
      <c r="BE132" s="231"/>
      <c r="BF132" s="231"/>
      <c r="BG132" s="231"/>
      <c r="BH132" s="231"/>
      <c r="BI132" s="231"/>
      <c r="BJ132" s="231"/>
      <c r="BK132" s="231"/>
      <c r="BL132" s="231"/>
      <c r="BM132" s="231"/>
      <c r="BN132" s="231"/>
      <c r="BO132" s="231"/>
      <c r="BP132" s="231"/>
      <c r="BQ132" s="231"/>
      <c r="BR132" s="231"/>
      <c r="BS132" s="231"/>
      <c r="BT132" s="231"/>
      <c r="BU132" s="231"/>
      <c r="BV132" s="222">
        <f t="shared" si="19"/>
        <v>2029</v>
      </c>
      <c r="BW132" s="231"/>
      <c r="BX132" s="231"/>
      <c r="BY132" s="231"/>
      <c r="BZ132" s="231"/>
      <c r="CA132" s="231"/>
      <c r="CB132" s="231"/>
      <c r="CC132" s="231"/>
      <c r="CD132" s="231"/>
      <c r="CE132" s="231"/>
      <c r="CF132" s="231"/>
      <c r="CG132" s="231"/>
      <c r="CH132" s="231"/>
      <c r="CI132" s="231"/>
      <c r="CJ132" s="231"/>
      <c r="CK132" s="231"/>
      <c r="CL132" s="231"/>
      <c r="CM132" s="231"/>
      <c r="CN132" s="231"/>
      <c r="CO132" s="231"/>
      <c r="CP132" s="231"/>
      <c r="CQ132" s="231"/>
      <c r="CR132" s="231"/>
      <c r="CS132" s="231"/>
      <c r="CT132" s="231"/>
      <c r="CU132" s="231"/>
      <c r="CV132" s="231"/>
      <c r="CW132" s="231"/>
      <c r="CX132" s="231"/>
      <c r="CY132" s="231"/>
      <c r="CZ132" s="231"/>
      <c r="DA132" s="231"/>
      <c r="DB132" s="231"/>
      <c r="DC132" s="231"/>
      <c r="DD132" s="231"/>
      <c r="DE132" s="231"/>
      <c r="DF132" s="231"/>
      <c r="DG132" s="231"/>
      <c r="DH132" s="231"/>
      <c r="DI132" s="231"/>
      <c r="DJ132" s="231"/>
      <c r="DK132" s="231"/>
      <c r="DL132" s="231"/>
      <c r="DM132" s="231"/>
      <c r="DN132" s="231"/>
      <c r="DO132" s="231"/>
      <c r="DP132" s="231"/>
      <c r="DQ132" s="231"/>
      <c r="DR132" s="231"/>
      <c r="DS132" s="231"/>
      <c r="DT132" s="231"/>
      <c r="DU132" s="231"/>
      <c r="DV132" s="231"/>
      <c r="DW132" s="231"/>
      <c r="YS132" s="38" t="e">
        <f>RIGHT(CONCATENATE(0,#REF!),7)</f>
        <v>#REF!</v>
      </c>
    </row>
    <row r="133" spans="2:669" hidden="1">
      <c r="B133" s="796" t="s">
        <v>1953</v>
      </c>
      <c r="C133" s="797">
        <v>80000</v>
      </c>
      <c r="D133" s="317" t="s">
        <v>1420</v>
      </c>
      <c r="F133" s="38" t="s">
        <v>1820</v>
      </c>
      <c r="G133" s="38" t="s">
        <v>1819</v>
      </c>
      <c r="I133" s="57"/>
      <c r="J133" s="313">
        <f>Statement!S28</f>
        <v>1080</v>
      </c>
      <c r="K133" s="96" t="s">
        <v>56</v>
      </c>
      <c r="L133" s="57"/>
      <c r="S133" s="270">
        <v>41550</v>
      </c>
      <c r="T133" s="270">
        <v>42590</v>
      </c>
      <c r="U133" s="270">
        <v>43630</v>
      </c>
      <c r="V133" s="270">
        <v>44740</v>
      </c>
      <c r="W133" s="222">
        <f t="shared" si="21"/>
        <v>87130</v>
      </c>
      <c r="X133" s="720">
        <f t="shared" ref="X133:X153" si="25">IF(X132&gt;=SUM(110850,5*2520),"",IF(X132&gt;=100770,X132+2520,IF(X132&gt;=91450,X132+2330,IF(X132&gt;=84970,X132+2160,IF(X132&gt;=78910,X132+2020,IF(X132&gt;=73270,X132+1880,IF(X132&gt;=67990,X132+1760,IF(X132&gt;=63010,X132+1660,IF(X132&gt;=58330,X132+1560,IF(X132&gt;=53950,X132+1460,IF(X132&gt;=49870,X132+1360,IF(X132&gt;=46060,X132+1270,IF(X132&gt;=42490,X132+1190,IF(X132&gt;=39160,X132+1110,IF(X132&gt;=36070,X132+1030,IF(X132&gt;=33220,X132+950,IF(X132&gt;=30580,X132+880,IF(X132&gt;=28120,X132+820,IF(X132&gt;=25840,X132+760,IF(X132&gt;=23740,X132+700,IF(X132&gt;=21820,X132+640,IF(X132&gt;=20050,X132+590,IF(X132&gt;=18400,X132+550,IF(X132&gt;=16870,X132+510,IF(X132&gt;=15460,X132+470,IF(X132&gt;=14170,X132+430,IF(X132&gt;=13000,X132+390,0)))))))))))))))))))))))))))</f>
        <v>78910</v>
      </c>
      <c r="Y133" s="718">
        <f t="shared" si="23"/>
        <v>80930</v>
      </c>
      <c r="Z133" s="222">
        <f t="shared" si="22"/>
        <v>82950</v>
      </c>
      <c r="AA133" s="222">
        <f t="shared" si="22"/>
        <v>84970</v>
      </c>
      <c r="AB133" s="222">
        <f t="shared" si="24"/>
        <v>40510</v>
      </c>
      <c r="AL133" s="231"/>
      <c r="AM133" s="231"/>
      <c r="AN133" s="231"/>
      <c r="AO133" s="231"/>
      <c r="AP133" s="231"/>
      <c r="AQ133" s="231"/>
      <c r="AR133" s="231"/>
      <c r="AS133" s="231"/>
      <c r="AT133" s="231"/>
      <c r="AU133" s="231"/>
      <c r="AV133" s="231"/>
      <c r="AW133" s="231"/>
      <c r="AX133" s="231"/>
      <c r="AY133" s="231"/>
      <c r="AZ133" s="231"/>
      <c r="BA133" s="231"/>
      <c r="BB133" s="231"/>
      <c r="BC133" s="231"/>
      <c r="BD133" s="231"/>
      <c r="BE133" s="231"/>
      <c r="BF133" s="231"/>
      <c r="BG133" s="231"/>
      <c r="BH133" s="231"/>
      <c r="BI133" s="231"/>
      <c r="BJ133" s="231"/>
      <c r="BK133" s="231"/>
      <c r="BL133" s="231"/>
      <c r="BM133" s="231"/>
      <c r="BN133" s="231"/>
      <c r="BO133" s="231"/>
      <c r="BP133" s="231"/>
      <c r="BQ133" s="231"/>
      <c r="BR133" s="231"/>
      <c r="BS133" s="231"/>
      <c r="BT133" s="231"/>
      <c r="BU133" s="231"/>
      <c r="BV133" s="222">
        <f t="shared" si="19"/>
        <v>2030</v>
      </c>
      <c r="BW133" s="231"/>
      <c r="BX133" s="231"/>
      <c r="BY133" s="231"/>
      <c r="BZ133" s="231"/>
      <c r="CA133" s="231"/>
      <c r="CB133" s="231"/>
      <c r="CC133" s="231"/>
      <c r="CD133" s="231"/>
      <c r="CE133" s="231"/>
      <c r="CF133" s="231"/>
      <c r="CG133" s="231"/>
      <c r="CH133" s="231"/>
      <c r="CI133" s="231"/>
      <c r="CJ133" s="231"/>
      <c r="CK133" s="231"/>
      <c r="CL133" s="231"/>
      <c r="CM133" s="231"/>
      <c r="CN133" s="231"/>
      <c r="CO133" s="231"/>
      <c r="CP133" s="231"/>
      <c r="CQ133" s="231"/>
      <c r="CR133" s="231"/>
      <c r="CS133" s="231"/>
      <c r="CT133" s="231"/>
      <c r="CU133" s="231"/>
      <c r="CV133" s="231"/>
      <c r="CW133" s="231"/>
      <c r="CX133" s="231"/>
      <c r="CY133" s="231"/>
      <c r="CZ133" s="231"/>
      <c r="DA133" s="231"/>
      <c r="DB133" s="231"/>
      <c r="DC133" s="231"/>
      <c r="DD133" s="231"/>
      <c r="DE133" s="231"/>
      <c r="DF133" s="231"/>
      <c r="DG133" s="231"/>
      <c r="DH133" s="231"/>
      <c r="DI133" s="231"/>
      <c r="DJ133" s="231"/>
      <c r="DK133" s="231"/>
      <c r="DL133" s="231"/>
      <c r="DM133" s="231"/>
      <c r="DN133" s="231"/>
      <c r="DO133" s="231"/>
      <c r="DP133" s="231"/>
      <c r="DQ133" s="231"/>
      <c r="DR133" s="231"/>
      <c r="DS133" s="231"/>
      <c r="DT133" s="231"/>
      <c r="DU133" s="231"/>
      <c r="DV133" s="231"/>
      <c r="DW133" s="231"/>
      <c r="YS133" s="38" t="e">
        <f>RIGHT(CONCATENATE(0,#REF!),7)</f>
        <v>#REF!</v>
      </c>
    </row>
    <row r="134" spans="2:669" hidden="1">
      <c r="B134" s="320" t="s">
        <v>1416</v>
      </c>
      <c r="C134" s="321">
        <v>75000</v>
      </c>
      <c r="D134" s="322" t="s">
        <v>1409</v>
      </c>
      <c r="I134" s="57"/>
      <c r="J134" s="313"/>
      <c r="K134" s="57"/>
      <c r="L134" s="57"/>
      <c r="S134" s="270">
        <v>42590</v>
      </c>
      <c r="T134" s="270">
        <v>43630</v>
      </c>
      <c r="U134" s="270">
        <v>44740</v>
      </c>
      <c r="V134" s="270">
        <v>45850</v>
      </c>
      <c r="W134" s="222">
        <f t="shared" si="21"/>
        <v>89290</v>
      </c>
      <c r="X134" s="720">
        <f t="shared" si="25"/>
        <v>80930</v>
      </c>
      <c r="Y134" s="718">
        <f t="shared" si="23"/>
        <v>82950</v>
      </c>
      <c r="Z134" s="222">
        <f t="shared" si="22"/>
        <v>84970</v>
      </c>
      <c r="AA134" s="222">
        <f t="shared" si="22"/>
        <v>87130</v>
      </c>
      <c r="AB134" s="222">
        <f t="shared" si="24"/>
        <v>41550</v>
      </c>
      <c r="AL134" s="231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1"/>
      <c r="BS134" s="231"/>
      <c r="BT134" s="231"/>
      <c r="BU134" s="231"/>
      <c r="BV134" s="222">
        <f t="shared" ref="BV134:BV157" si="26">BV133+1</f>
        <v>2031</v>
      </c>
      <c r="BW134" s="231"/>
      <c r="BX134" s="231"/>
      <c r="BY134" s="231"/>
      <c r="BZ134" s="231"/>
      <c r="CA134" s="231"/>
      <c r="CB134" s="231"/>
      <c r="CC134" s="231"/>
      <c r="CD134" s="231"/>
      <c r="CE134" s="231"/>
      <c r="CF134" s="231"/>
      <c r="CG134" s="231"/>
      <c r="CH134" s="231"/>
      <c r="CI134" s="231"/>
      <c r="CJ134" s="231"/>
      <c r="CK134" s="231"/>
      <c r="CL134" s="231"/>
      <c r="CM134" s="231"/>
      <c r="CN134" s="231"/>
      <c r="CO134" s="231"/>
      <c r="CP134" s="231"/>
      <c r="CQ134" s="231"/>
      <c r="CR134" s="231"/>
      <c r="CS134" s="231"/>
      <c r="CT134" s="231"/>
      <c r="CU134" s="231"/>
      <c r="CV134" s="231"/>
      <c r="CW134" s="231"/>
      <c r="CX134" s="231"/>
      <c r="CY134" s="231"/>
      <c r="CZ134" s="231"/>
      <c r="DA134" s="231"/>
      <c r="DB134" s="231"/>
      <c r="DC134" s="231"/>
      <c r="DD134" s="231"/>
      <c r="DE134" s="231"/>
      <c r="DF134" s="231"/>
      <c r="DG134" s="231"/>
      <c r="DH134" s="231"/>
      <c r="DI134" s="231"/>
      <c r="DJ134" s="231"/>
      <c r="DK134" s="231"/>
      <c r="DL134" s="231"/>
      <c r="DM134" s="231"/>
      <c r="DN134" s="231"/>
      <c r="DO134" s="231"/>
      <c r="DP134" s="231"/>
      <c r="DQ134" s="231"/>
      <c r="DR134" s="231"/>
      <c r="DS134" s="231"/>
      <c r="DT134" s="231"/>
      <c r="DU134" s="231"/>
      <c r="DV134" s="231"/>
      <c r="DW134" s="231"/>
      <c r="YS134" s="38" t="e">
        <f>RIGHT(CONCATENATE(0,#REF!),7)</f>
        <v>#REF!</v>
      </c>
    </row>
    <row r="135" spans="2:669" hidden="1">
      <c r="B135" s="320" t="s">
        <v>1417</v>
      </c>
      <c r="C135" s="323">
        <v>125000</v>
      </c>
      <c r="D135" s="324" t="s">
        <v>1409</v>
      </c>
      <c r="F135" s="38" t="s">
        <v>1705</v>
      </c>
      <c r="I135" s="315">
        <f>L36</f>
        <v>0</v>
      </c>
      <c r="J135" s="57" t="str">
        <f>IF($I$139=0,"",CONCATENATE(F135," =  Rs:",I135))</f>
        <v/>
      </c>
      <c r="K135" s="57"/>
      <c r="L135" s="57"/>
      <c r="S135" s="270">
        <v>43630</v>
      </c>
      <c r="T135" s="270">
        <v>44740</v>
      </c>
      <c r="U135" s="270">
        <v>45850</v>
      </c>
      <c r="V135" s="270">
        <v>46960</v>
      </c>
      <c r="W135" s="222">
        <f t="shared" si="21"/>
        <v>91450</v>
      </c>
      <c r="X135" s="720">
        <f t="shared" si="25"/>
        <v>82950</v>
      </c>
      <c r="Y135" s="718">
        <f t="shared" si="23"/>
        <v>84970</v>
      </c>
      <c r="Z135" s="222">
        <f t="shared" si="22"/>
        <v>87130</v>
      </c>
      <c r="AA135" s="222">
        <f t="shared" si="22"/>
        <v>89290</v>
      </c>
      <c r="AB135" s="222">
        <f t="shared" si="24"/>
        <v>42590</v>
      </c>
      <c r="AL135" s="231"/>
      <c r="AM135" s="231"/>
      <c r="AN135" s="231"/>
      <c r="AO135" s="231"/>
      <c r="AP135" s="231"/>
      <c r="AQ135" s="231"/>
      <c r="AR135" s="231"/>
      <c r="AS135" s="231"/>
      <c r="AT135" s="231"/>
      <c r="AU135" s="231"/>
      <c r="AV135" s="231"/>
      <c r="AW135" s="231"/>
      <c r="AX135" s="231"/>
      <c r="AY135" s="231"/>
      <c r="AZ135" s="231"/>
      <c r="BA135" s="231"/>
      <c r="BB135" s="231"/>
      <c r="BC135" s="231"/>
      <c r="BD135" s="231"/>
      <c r="BE135" s="231"/>
      <c r="BF135" s="231"/>
      <c r="BG135" s="231"/>
      <c r="BH135" s="231"/>
      <c r="BI135" s="231"/>
      <c r="BJ135" s="231"/>
      <c r="BK135" s="231"/>
      <c r="BL135" s="231"/>
      <c r="BM135" s="231"/>
      <c r="BN135" s="231"/>
      <c r="BO135" s="231"/>
      <c r="BP135" s="231"/>
      <c r="BQ135" s="231"/>
      <c r="BR135" s="231"/>
      <c r="BS135" s="231"/>
      <c r="BT135" s="231"/>
      <c r="BU135" s="231"/>
      <c r="BV135" s="222">
        <f t="shared" si="26"/>
        <v>2032</v>
      </c>
      <c r="BW135" s="231"/>
      <c r="BX135" s="231"/>
      <c r="BY135" s="231"/>
      <c r="BZ135" s="231"/>
      <c r="CA135" s="231"/>
      <c r="CB135" s="231"/>
      <c r="CC135" s="231"/>
      <c r="CD135" s="231"/>
      <c r="CE135" s="231"/>
      <c r="CF135" s="231"/>
      <c r="CG135" s="231"/>
      <c r="CH135" s="231"/>
      <c r="CI135" s="231"/>
      <c r="CJ135" s="231"/>
      <c r="CK135" s="231"/>
      <c r="CL135" s="231"/>
      <c r="CM135" s="231"/>
      <c r="CN135" s="231"/>
      <c r="CO135" s="231"/>
      <c r="CP135" s="231"/>
      <c r="CQ135" s="231"/>
      <c r="CR135" s="231"/>
      <c r="CS135" s="231"/>
      <c r="CT135" s="231"/>
      <c r="CU135" s="231"/>
      <c r="CV135" s="231"/>
      <c r="CW135" s="231"/>
      <c r="CX135" s="231"/>
      <c r="CY135" s="231"/>
      <c r="CZ135" s="231"/>
      <c r="DA135" s="231"/>
      <c r="DB135" s="231"/>
      <c r="DC135" s="231"/>
      <c r="DD135" s="231"/>
      <c r="DE135" s="231"/>
      <c r="DF135" s="231"/>
      <c r="DG135" s="231"/>
      <c r="DH135" s="231"/>
      <c r="DI135" s="231"/>
      <c r="DJ135" s="231"/>
      <c r="DK135" s="231"/>
      <c r="DL135" s="231"/>
      <c r="DM135" s="231"/>
      <c r="DN135" s="231"/>
      <c r="DO135" s="231"/>
      <c r="DP135" s="231"/>
      <c r="DQ135" s="231"/>
      <c r="DR135" s="231"/>
      <c r="DS135" s="231"/>
      <c r="DT135" s="231"/>
      <c r="DU135" s="231"/>
      <c r="DV135" s="231"/>
      <c r="DW135" s="231"/>
      <c r="YS135" s="38" t="e">
        <f>RIGHT(CONCATENATE(0,#REF!),7)</f>
        <v>#REF!</v>
      </c>
    </row>
    <row r="136" spans="2:669" hidden="1">
      <c r="B136" s="325" t="s">
        <v>1418</v>
      </c>
      <c r="C136" s="326">
        <v>75000</v>
      </c>
      <c r="D136" s="327" t="s">
        <v>1412</v>
      </c>
      <c r="F136" s="38" t="s">
        <v>1703</v>
      </c>
      <c r="I136" s="315">
        <f>IF(I135&gt;0,L37,0)</f>
        <v>0</v>
      </c>
      <c r="J136" s="367">
        <f>IF($I$139=0,0,CONCATENATE(F136," =  Rs:",I136))</f>
        <v>0</v>
      </c>
      <c r="K136" s="57"/>
      <c r="L136" s="57"/>
      <c r="S136" s="270">
        <v>44740</v>
      </c>
      <c r="T136" s="270">
        <v>45850</v>
      </c>
      <c r="U136" s="270">
        <v>46960</v>
      </c>
      <c r="V136" s="270">
        <v>48160</v>
      </c>
      <c r="W136" s="222">
        <f t="shared" si="21"/>
        <v>93780</v>
      </c>
      <c r="X136" s="720">
        <f t="shared" si="25"/>
        <v>84970</v>
      </c>
      <c r="Y136" s="718">
        <f t="shared" si="23"/>
        <v>87130</v>
      </c>
      <c r="Z136" s="222">
        <f t="shared" si="22"/>
        <v>89290</v>
      </c>
      <c r="AA136" s="222">
        <f t="shared" si="22"/>
        <v>91450</v>
      </c>
      <c r="AB136" s="222">
        <f t="shared" si="24"/>
        <v>43630</v>
      </c>
      <c r="AL136" s="231"/>
      <c r="AM136" s="231"/>
      <c r="AN136" s="231"/>
      <c r="AO136" s="231"/>
      <c r="AP136" s="231"/>
      <c r="AQ136" s="231"/>
      <c r="AR136" s="231"/>
      <c r="AS136" s="231"/>
      <c r="AT136" s="231"/>
      <c r="AU136" s="231"/>
      <c r="AV136" s="231"/>
      <c r="AW136" s="231"/>
      <c r="AX136" s="231"/>
      <c r="AY136" s="231"/>
      <c r="AZ136" s="231"/>
      <c r="BA136" s="231"/>
      <c r="BB136" s="231"/>
      <c r="BC136" s="231"/>
      <c r="BD136" s="231"/>
      <c r="BE136" s="231"/>
      <c r="BF136" s="231"/>
      <c r="BG136" s="231"/>
      <c r="BH136" s="231"/>
      <c r="BI136" s="231"/>
      <c r="BJ136" s="231"/>
      <c r="BK136" s="231"/>
      <c r="BL136" s="231"/>
      <c r="BM136" s="231"/>
      <c r="BN136" s="231"/>
      <c r="BO136" s="231"/>
      <c r="BP136" s="231"/>
      <c r="BQ136" s="231"/>
      <c r="BR136" s="231"/>
      <c r="BS136" s="231"/>
      <c r="BT136" s="231"/>
      <c r="BU136" s="231"/>
      <c r="BV136" s="222">
        <f t="shared" si="26"/>
        <v>2033</v>
      </c>
      <c r="BW136" s="231"/>
      <c r="BX136" s="231"/>
      <c r="BY136" s="231"/>
      <c r="BZ136" s="231"/>
      <c r="CA136" s="231"/>
      <c r="CB136" s="231"/>
      <c r="CC136" s="231"/>
      <c r="CD136" s="231"/>
      <c r="CE136" s="231"/>
      <c r="CF136" s="231"/>
      <c r="CG136" s="231"/>
      <c r="CH136" s="231"/>
      <c r="CI136" s="231"/>
      <c r="CJ136" s="231"/>
      <c r="CK136" s="231"/>
      <c r="CL136" s="231"/>
      <c r="CM136" s="231"/>
      <c r="CN136" s="231"/>
      <c r="CO136" s="231"/>
      <c r="CP136" s="231"/>
      <c r="CQ136" s="231"/>
      <c r="CR136" s="231"/>
      <c r="CS136" s="231"/>
      <c r="CT136" s="231"/>
      <c r="CU136" s="231"/>
      <c r="CV136" s="231"/>
      <c r="CW136" s="231"/>
      <c r="CX136" s="231"/>
      <c r="CY136" s="231"/>
      <c r="CZ136" s="231"/>
      <c r="DA136" s="231"/>
      <c r="DB136" s="231"/>
      <c r="DC136" s="231"/>
      <c r="DD136" s="231"/>
      <c r="DE136" s="231"/>
      <c r="DF136" s="231"/>
      <c r="DG136" s="231"/>
      <c r="DH136" s="231"/>
      <c r="DI136" s="231"/>
      <c r="DJ136" s="231"/>
      <c r="DK136" s="231"/>
      <c r="DL136" s="231"/>
      <c r="DM136" s="231"/>
      <c r="DN136" s="231"/>
      <c r="DO136" s="231"/>
      <c r="DP136" s="231"/>
      <c r="DQ136" s="231"/>
      <c r="DR136" s="231"/>
      <c r="DS136" s="231"/>
      <c r="DT136" s="231"/>
      <c r="DU136" s="231"/>
      <c r="DV136" s="231"/>
      <c r="DW136" s="231"/>
      <c r="YS136" s="38" t="e">
        <f>RIGHT(CONCATENATE(0,#REF!),7)</f>
        <v>#REF!</v>
      </c>
    </row>
    <row r="137" spans="2:669" hidden="1">
      <c r="B137" s="325" t="s">
        <v>1419</v>
      </c>
      <c r="C137" s="323">
        <v>125000</v>
      </c>
      <c r="D137" s="328" t="s">
        <v>1412</v>
      </c>
      <c r="F137" s="38" t="s">
        <v>1704</v>
      </c>
      <c r="I137" s="57">
        <f>ROUND(I135*30%,0)</f>
        <v>0</v>
      </c>
      <c r="J137" s="57" t="str">
        <f>IF($I$139=0,"",CONCATENATE(F137," =  Rs:",I137))</f>
        <v/>
      </c>
      <c r="K137" s="57"/>
      <c r="L137" s="57"/>
      <c r="S137" s="270">
        <v>45850</v>
      </c>
      <c r="T137" s="270">
        <v>46960</v>
      </c>
      <c r="U137" s="270">
        <v>48160</v>
      </c>
      <c r="V137" s="270">
        <v>49360</v>
      </c>
      <c r="W137" s="222">
        <f t="shared" si="21"/>
        <v>96110</v>
      </c>
      <c r="X137" s="720">
        <f t="shared" si="25"/>
        <v>87130</v>
      </c>
      <c r="Y137" s="718">
        <f t="shared" si="23"/>
        <v>89290</v>
      </c>
      <c r="Z137" s="222">
        <f t="shared" si="22"/>
        <v>91450</v>
      </c>
      <c r="AA137" s="222">
        <f t="shared" si="22"/>
        <v>93780</v>
      </c>
      <c r="AB137" s="222">
        <f t="shared" si="24"/>
        <v>44740</v>
      </c>
      <c r="AL137" s="231"/>
      <c r="AM137" s="231"/>
      <c r="AN137" s="231"/>
      <c r="AO137" s="231"/>
      <c r="AP137" s="231"/>
      <c r="AQ137" s="231"/>
      <c r="AR137" s="231"/>
      <c r="AS137" s="231"/>
      <c r="AT137" s="231"/>
      <c r="AU137" s="231"/>
      <c r="AV137" s="231"/>
      <c r="AW137" s="231"/>
      <c r="AX137" s="231"/>
      <c r="AY137" s="231"/>
      <c r="AZ137" s="231"/>
      <c r="BA137" s="231"/>
      <c r="BB137" s="231"/>
      <c r="BC137" s="231"/>
      <c r="BD137" s="231"/>
      <c r="BE137" s="231"/>
      <c r="BF137" s="231"/>
      <c r="BG137" s="231"/>
      <c r="BH137" s="231"/>
      <c r="BI137" s="231"/>
      <c r="BJ137" s="231"/>
      <c r="BK137" s="231"/>
      <c r="BL137" s="231"/>
      <c r="BM137" s="231"/>
      <c r="BN137" s="231"/>
      <c r="BO137" s="231"/>
      <c r="BP137" s="231"/>
      <c r="BQ137" s="231"/>
      <c r="BR137" s="231"/>
      <c r="BS137" s="231"/>
      <c r="BT137" s="231"/>
      <c r="BU137" s="231"/>
      <c r="BV137" s="222">
        <f t="shared" si="26"/>
        <v>2034</v>
      </c>
      <c r="BW137" s="231"/>
      <c r="BX137" s="231"/>
      <c r="BY137" s="231"/>
      <c r="BZ137" s="231"/>
      <c r="CA137" s="231"/>
      <c r="CB137" s="231"/>
      <c r="CC137" s="231"/>
      <c r="CD137" s="231"/>
      <c r="CE137" s="231"/>
      <c r="CF137" s="231"/>
      <c r="CG137" s="231"/>
      <c r="CH137" s="231"/>
      <c r="CI137" s="231"/>
      <c r="CJ137" s="231"/>
      <c r="CK137" s="231"/>
      <c r="CL137" s="231"/>
      <c r="CM137" s="231"/>
      <c r="CN137" s="231"/>
      <c r="CO137" s="231"/>
      <c r="CP137" s="231"/>
      <c r="CQ137" s="231"/>
      <c r="CR137" s="231"/>
      <c r="CS137" s="231"/>
      <c r="CT137" s="231"/>
      <c r="CU137" s="231"/>
      <c r="CV137" s="231"/>
      <c r="CW137" s="231"/>
      <c r="CX137" s="231"/>
      <c r="CY137" s="231"/>
      <c r="CZ137" s="231"/>
      <c r="DA137" s="231"/>
      <c r="DB137" s="231"/>
      <c r="DC137" s="231"/>
      <c r="DD137" s="231"/>
      <c r="DE137" s="231"/>
      <c r="DF137" s="231"/>
      <c r="DG137" s="231"/>
      <c r="DH137" s="231"/>
      <c r="DI137" s="231"/>
      <c r="DJ137" s="231"/>
      <c r="DK137" s="231"/>
      <c r="DL137" s="231"/>
      <c r="DM137" s="231"/>
      <c r="DN137" s="231"/>
      <c r="DO137" s="231"/>
      <c r="DP137" s="231"/>
      <c r="DQ137" s="231"/>
      <c r="DR137" s="231"/>
      <c r="DS137" s="231"/>
      <c r="DT137" s="231"/>
      <c r="DU137" s="231"/>
      <c r="DV137" s="231"/>
      <c r="DW137" s="231"/>
      <c r="YS137" s="38" t="e">
        <f>RIGHT(CONCATENATE(0,#REF!),7)</f>
        <v>#REF!</v>
      </c>
    </row>
    <row r="138" spans="2:669" hidden="1">
      <c r="B138" s="329" t="s">
        <v>1413</v>
      </c>
      <c r="C138" s="330">
        <v>2000000</v>
      </c>
      <c r="D138" s="331" t="s">
        <v>57</v>
      </c>
      <c r="F138" s="38" t="str">
        <f>IF(B142=F35,B142,"Interest on Housing Loan Property")</f>
        <v>Interest on Housing Loan Property</v>
      </c>
      <c r="I138" s="57">
        <f>IF(L35=0,0,MIN(L35,VLOOKUP(F35,B140:D142,2,FALSE)))</f>
        <v>0</v>
      </c>
      <c r="J138" s="57" t="str">
        <f>IF($I$139=0,"",CONCATENATE(F138," =  Rs:",I138))</f>
        <v/>
      </c>
      <c r="K138" s="57"/>
      <c r="L138" s="57"/>
      <c r="S138" s="270">
        <v>46960</v>
      </c>
      <c r="T138" s="270">
        <v>48160</v>
      </c>
      <c r="U138" s="270">
        <v>49360</v>
      </c>
      <c r="V138" s="270">
        <v>50560</v>
      </c>
      <c r="W138" s="222">
        <f t="shared" si="21"/>
        <v>98440</v>
      </c>
      <c r="X138" s="720">
        <f t="shared" si="25"/>
        <v>89290</v>
      </c>
      <c r="Y138" s="718">
        <f t="shared" si="23"/>
        <v>91450</v>
      </c>
      <c r="Z138" s="222">
        <f t="shared" si="22"/>
        <v>93780</v>
      </c>
      <c r="AA138" s="222">
        <f t="shared" si="22"/>
        <v>96110</v>
      </c>
      <c r="AB138" s="222">
        <f t="shared" si="24"/>
        <v>45850</v>
      </c>
      <c r="AL138" s="231"/>
      <c r="AM138" s="231"/>
      <c r="AN138" s="231"/>
      <c r="AO138" s="231"/>
      <c r="AP138" s="231"/>
      <c r="AQ138" s="231"/>
      <c r="AR138" s="231"/>
      <c r="AS138" s="231"/>
      <c r="AT138" s="231"/>
      <c r="AU138" s="231"/>
      <c r="AV138" s="231"/>
      <c r="AW138" s="231"/>
      <c r="AX138" s="231"/>
      <c r="AY138" s="231"/>
      <c r="AZ138" s="231"/>
      <c r="BA138" s="231"/>
      <c r="BB138" s="231"/>
      <c r="BC138" s="231"/>
      <c r="BD138" s="231"/>
      <c r="BE138" s="231"/>
      <c r="BF138" s="231"/>
      <c r="BG138" s="231"/>
      <c r="BH138" s="231"/>
      <c r="BI138" s="231"/>
      <c r="BJ138" s="231"/>
      <c r="BK138" s="231"/>
      <c r="BL138" s="231"/>
      <c r="BM138" s="231"/>
      <c r="BN138" s="231"/>
      <c r="BO138" s="231"/>
      <c r="BP138" s="231"/>
      <c r="BQ138" s="231"/>
      <c r="BR138" s="231"/>
      <c r="BS138" s="231"/>
      <c r="BT138" s="231"/>
      <c r="BU138" s="231"/>
      <c r="BV138" s="222">
        <f t="shared" si="26"/>
        <v>2035</v>
      </c>
      <c r="BW138" s="231"/>
      <c r="BX138" s="231"/>
      <c r="BY138" s="231"/>
      <c r="BZ138" s="231"/>
      <c r="CA138" s="231"/>
      <c r="CB138" s="231"/>
      <c r="CC138" s="231"/>
      <c r="CD138" s="231"/>
      <c r="CE138" s="231"/>
      <c r="CF138" s="231"/>
      <c r="CG138" s="231"/>
      <c r="CH138" s="231"/>
      <c r="CI138" s="231"/>
      <c r="CJ138" s="231"/>
      <c r="CK138" s="231"/>
      <c r="CL138" s="231"/>
      <c r="CM138" s="231"/>
      <c r="CN138" s="231"/>
      <c r="CO138" s="231"/>
      <c r="CP138" s="231"/>
      <c r="CQ138" s="231"/>
      <c r="CR138" s="231"/>
      <c r="CS138" s="231"/>
      <c r="CT138" s="231"/>
      <c r="CU138" s="231"/>
      <c r="CV138" s="231"/>
      <c r="CW138" s="231"/>
      <c r="CX138" s="231"/>
      <c r="CY138" s="231"/>
      <c r="CZ138" s="231"/>
      <c r="DA138" s="231"/>
      <c r="DB138" s="231"/>
      <c r="DC138" s="231"/>
      <c r="DD138" s="231"/>
      <c r="DE138" s="231"/>
      <c r="DF138" s="231"/>
      <c r="DG138" s="231"/>
      <c r="DH138" s="231"/>
      <c r="DI138" s="231"/>
      <c r="DJ138" s="231"/>
      <c r="DK138" s="231"/>
      <c r="DL138" s="231"/>
      <c r="DM138" s="231"/>
      <c r="DN138" s="231"/>
      <c r="DO138" s="231"/>
      <c r="DP138" s="231"/>
      <c r="DQ138" s="231"/>
      <c r="DR138" s="231"/>
      <c r="DS138" s="231"/>
      <c r="DT138" s="231"/>
      <c r="DU138" s="231"/>
      <c r="DV138" s="231"/>
      <c r="DW138" s="231"/>
      <c r="YS138" s="38" t="e">
        <f>RIGHT(CONCATENATE(0,#REF!),7)</f>
        <v>#REF!</v>
      </c>
    </row>
    <row r="139" spans="2:669" hidden="1">
      <c r="B139" s="329" t="s">
        <v>1709</v>
      </c>
      <c r="C139" s="330">
        <v>10000</v>
      </c>
      <c r="D139" s="331" t="s">
        <v>1710</v>
      </c>
      <c r="F139" s="38" t="s">
        <v>1706</v>
      </c>
      <c r="I139" s="315">
        <f>IHP!G36</f>
        <v>0</v>
      </c>
      <c r="J139" s="57" t="str">
        <f>IF($I$139=0,"",CONCATENATE(F139," =  Rs:",I139))</f>
        <v/>
      </c>
      <c r="K139" s="57"/>
      <c r="L139" s="57"/>
      <c r="S139" s="270">
        <v>48160</v>
      </c>
      <c r="T139" s="270">
        <v>49360</v>
      </c>
      <c r="U139" s="270">
        <v>50560</v>
      </c>
      <c r="V139" s="270">
        <v>51760</v>
      </c>
      <c r="W139" s="222">
        <f t="shared" si="21"/>
        <v>100770</v>
      </c>
      <c r="X139" s="720">
        <f t="shared" si="25"/>
        <v>91450</v>
      </c>
      <c r="Y139" s="718">
        <f t="shared" si="23"/>
        <v>93780</v>
      </c>
      <c r="Z139" s="222">
        <f t="shared" si="22"/>
        <v>96110</v>
      </c>
      <c r="AA139" s="222">
        <f t="shared" si="22"/>
        <v>98440</v>
      </c>
      <c r="AB139" s="222">
        <f t="shared" si="24"/>
        <v>46960</v>
      </c>
      <c r="AL139" s="231"/>
      <c r="AM139" s="231"/>
      <c r="AN139" s="231"/>
      <c r="AO139" s="231"/>
      <c r="AP139" s="231"/>
      <c r="AQ139" s="231"/>
      <c r="AR139" s="231"/>
      <c r="AS139" s="231"/>
      <c r="AT139" s="231"/>
      <c r="AU139" s="231"/>
      <c r="AV139" s="231"/>
      <c r="AW139" s="231"/>
      <c r="AX139" s="231"/>
      <c r="AY139" s="231"/>
      <c r="AZ139" s="231"/>
      <c r="BA139" s="231"/>
      <c r="BB139" s="231"/>
      <c r="BC139" s="231"/>
      <c r="BD139" s="231"/>
      <c r="BE139" s="231"/>
      <c r="BF139" s="231"/>
      <c r="BG139" s="231"/>
      <c r="BH139" s="231"/>
      <c r="BI139" s="231"/>
      <c r="BJ139" s="231"/>
      <c r="BK139" s="231"/>
      <c r="BL139" s="231"/>
      <c r="BM139" s="231"/>
      <c r="BN139" s="231"/>
      <c r="BO139" s="231"/>
      <c r="BP139" s="231"/>
      <c r="BQ139" s="231"/>
      <c r="BR139" s="231"/>
      <c r="BS139" s="231"/>
      <c r="BT139" s="231"/>
      <c r="BU139" s="231"/>
      <c r="BV139" s="222">
        <f t="shared" si="26"/>
        <v>2036</v>
      </c>
      <c r="BW139" s="231"/>
      <c r="BX139" s="231"/>
      <c r="BY139" s="231"/>
      <c r="BZ139" s="231"/>
      <c r="CA139" s="231"/>
      <c r="CB139" s="231"/>
      <c r="CC139" s="231"/>
      <c r="CD139" s="231"/>
      <c r="CE139" s="231"/>
      <c r="CF139" s="231"/>
      <c r="CG139" s="231"/>
      <c r="CH139" s="231"/>
      <c r="CI139" s="231"/>
      <c r="CJ139" s="231"/>
      <c r="CK139" s="231"/>
      <c r="CL139" s="231"/>
      <c r="CM139" s="231"/>
      <c r="CN139" s="231"/>
      <c r="CO139" s="231"/>
      <c r="CP139" s="231"/>
      <c r="CQ139" s="231"/>
      <c r="CR139" s="231"/>
      <c r="CS139" s="231"/>
      <c r="CT139" s="231"/>
      <c r="CU139" s="231"/>
      <c r="CV139" s="231"/>
      <c r="CW139" s="231"/>
      <c r="CX139" s="231"/>
      <c r="CY139" s="231"/>
      <c r="CZ139" s="231"/>
      <c r="DA139" s="231"/>
      <c r="DB139" s="231"/>
      <c r="DC139" s="231"/>
      <c r="DD139" s="231"/>
      <c r="DE139" s="231"/>
      <c r="DF139" s="231"/>
      <c r="DG139" s="231"/>
      <c r="DH139" s="231"/>
      <c r="DI139" s="231"/>
      <c r="DJ139" s="231"/>
      <c r="DK139" s="231"/>
      <c r="DL139" s="231"/>
      <c r="DM139" s="231"/>
      <c r="DN139" s="231"/>
      <c r="DO139" s="231"/>
      <c r="DP139" s="231"/>
      <c r="DQ139" s="231"/>
      <c r="DR139" s="231"/>
      <c r="DS139" s="231"/>
      <c r="DT139" s="231"/>
      <c r="DU139" s="231"/>
      <c r="DV139" s="231"/>
      <c r="DW139" s="231"/>
      <c r="YS139" s="38" t="e">
        <f>RIGHT(CONCATENATE(0,#REF!),7)</f>
        <v>#REF!</v>
      </c>
    </row>
    <row r="140" spans="2:669" hidden="1">
      <c r="B140" s="83" t="s">
        <v>1700</v>
      </c>
      <c r="C140" s="81">
        <v>200000</v>
      </c>
      <c r="D140" s="82" t="s">
        <v>1674</v>
      </c>
      <c r="I140" s="57"/>
      <c r="J140" s="57"/>
      <c r="K140" s="57"/>
      <c r="L140" s="57"/>
      <c r="S140" s="270">
        <v>49360</v>
      </c>
      <c r="T140" s="270">
        <v>50560</v>
      </c>
      <c r="U140" s="270">
        <v>51760</v>
      </c>
      <c r="V140" s="270">
        <v>53060</v>
      </c>
      <c r="W140" s="222">
        <f t="shared" si="21"/>
        <v>103290</v>
      </c>
      <c r="X140" s="720">
        <f t="shared" si="25"/>
        <v>93780</v>
      </c>
      <c r="Y140" s="718">
        <f t="shared" si="23"/>
        <v>96110</v>
      </c>
      <c r="Z140" s="222">
        <f t="shared" si="22"/>
        <v>98440</v>
      </c>
      <c r="AA140" s="222">
        <f t="shared" si="22"/>
        <v>100770</v>
      </c>
      <c r="AB140" s="222">
        <f t="shared" si="24"/>
        <v>48160</v>
      </c>
      <c r="AL140" s="231"/>
      <c r="AM140" s="231"/>
      <c r="AN140" s="231"/>
      <c r="AO140" s="231"/>
      <c r="AP140" s="231"/>
      <c r="AQ140" s="231"/>
      <c r="AR140" s="231"/>
      <c r="AS140" s="231"/>
      <c r="AT140" s="231"/>
      <c r="AU140" s="231"/>
      <c r="AV140" s="231"/>
      <c r="AW140" s="231"/>
      <c r="AX140" s="231"/>
      <c r="AY140" s="231"/>
      <c r="AZ140" s="231"/>
      <c r="BA140" s="231"/>
      <c r="BB140" s="231"/>
      <c r="BC140" s="231"/>
      <c r="BD140" s="231"/>
      <c r="BE140" s="231"/>
      <c r="BF140" s="231"/>
      <c r="BG140" s="231"/>
      <c r="BH140" s="231"/>
      <c r="BI140" s="231"/>
      <c r="BJ140" s="231"/>
      <c r="BK140" s="231"/>
      <c r="BL140" s="231"/>
      <c r="BM140" s="231"/>
      <c r="BN140" s="231"/>
      <c r="BO140" s="231"/>
      <c r="BP140" s="231"/>
      <c r="BQ140" s="231"/>
      <c r="BR140" s="231"/>
      <c r="BS140" s="231"/>
      <c r="BT140" s="231"/>
      <c r="BU140" s="231"/>
      <c r="BV140" s="222">
        <f t="shared" si="26"/>
        <v>2037</v>
      </c>
      <c r="BW140" s="231"/>
      <c r="BX140" s="231"/>
      <c r="BY140" s="231"/>
      <c r="BZ140" s="231"/>
      <c r="CA140" s="231"/>
      <c r="CB140" s="231"/>
      <c r="CC140" s="231"/>
      <c r="CD140" s="231"/>
      <c r="CE140" s="231"/>
      <c r="CF140" s="231"/>
      <c r="CG140" s="231"/>
      <c r="CH140" s="231"/>
      <c r="CI140" s="231"/>
      <c r="CJ140" s="231"/>
      <c r="CK140" s="231"/>
      <c r="CL140" s="231"/>
      <c r="CM140" s="231"/>
      <c r="CN140" s="231"/>
      <c r="CO140" s="231"/>
      <c r="CP140" s="231"/>
      <c r="CQ140" s="231"/>
      <c r="CR140" s="231"/>
      <c r="CS140" s="231"/>
      <c r="CT140" s="231"/>
      <c r="CU140" s="231"/>
      <c r="CV140" s="231"/>
      <c r="CW140" s="231"/>
      <c r="CX140" s="231"/>
      <c r="CY140" s="231"/>
      <c r="CZ140" s="231"/>
      <c r="DA140" s="231"/>
      <c r="DB140" s="231"/>
      <c r="DC140" s="231"/>
      <c r="DD140" s="231"/>
      <c r="DE140" s="231"/>
      <c r="DF140" s="231"/>
      <c r="DG140" s="231"/>
      <c r="DH140" s="231"/>
      <c r="DI140" s="231"/>
      <c r="DJ140" s="231"/>
      <c r="DK140" s="231"/>
      <c r="DL140" s="231"/>
      <c r="DM140" s="231"/>
      <c r="DN140" s="231"/>
      <c r="DO140" s="231"/>
      <c r="DP140" s="231"/>
      <c r="DQ140" s="231"/>
      <c r="DR140" s="231"/>
      <c r="DS140" s="231"/>
      <c r="DT140" s="231"/>
      <c r="DU140" s="231"/>
      <c r="DV140" s="231"/>
      <c r="DW140" s="231"/>
      <c r="YS140" s="38" t="e">
        <f>RIGHT(CONCATENATE(0,#REF!),7)</f>
        <v>#REF!</v>
      </c>
    </row>
    <row r="141" spans="2:669" ht="22.5" hidden="1" customHeight="1">
      <c r="B141" s="84" t="s">
        <v>1701</v>
      </c>
      <c r="C141" s="85">
        <v>30000</v>
      </c>
      <c r="D141" s="84" t="s">
        <v>1674</v>
      </c>
      <c r="I141" s="57"/>
      <c r="J141" s="210">
        <v>77</v>
      </c>
      <c r="K141" s="64">
        <f>INDEX($BV$4:$BV$109,J141)</f>
        <v>1977</v>
      </c>
      <c r="L141" s="57"/>
      <c r="S141" s="270">
        <v>50560</v>
      </c>
      <c r="T141" s="270">
        <v>51760</v>
      </c>
      <c r="U141" s="270">
        <v>53060</v>
      </c>
      <c r="V141" s="270">
        <v>54360</v>
      </c>
      <c r="W141" s="222">
        <f t="shared" si="21"/>
        <v>105810</v>
      </c>
      <c r="X141" s="720">
        <f t="shared" si="25"/>
        <v>96110</v>
      </c>
      <c r="Y141" s="718">
        <f t="shared" si="23"/>
        <v>98440</v>
      </c>
      <c r="Z141" s="222">
        <f t="shared" si="22"/>
        <v>100770</v>
      </c>
      <c r="AA141" s="222">
        <f t="shared" si="22"/>
        <v>103290</v>
      </c>
      <c r="AB141" s="222">
        <f t="shared" si="24"/>
        <v>49360</v>
      </c>
      <c r="AL141" s="231"/>
      <c r="AM141" s="231"/>
      <c r="AN141" s="231"/>
      <c r="AO141" s="231"/>
      <c r="AP141" s="231"/>
      <c r="AQ141" s="231"/>
      <c r="AR141" s="231"/>
      <c r="AS141" s="231"/>
      <c r="AT141" s="231"/>
      <c r="AU141" s="231"/>
      <c r="AV141" s="231"/>
      <c r="AW141" s="231"/>
      <c r="AX141" s="231"/>
      <c r="AY141" s="231"/>
      <c r="AZ141" s="231"/>
      <c r="BA141" s="231"/>
      <c r="BB141" s="231"/>
      <c r="BC141" s="231"/>
      <c r="BD141" s="231"/>
      <c r="BE141" s="231"/>
      <c r="BF141" s="231"/>
      <c r="BG141" s="231"/>
      <c r="BH141" s="231"/>
      <c r="BI141" s="231"/>
      <c r="BJ141" s="231"/>
      <c r="BK141" s="231"/>
      <c r="BL141" s="231"/>
      <c r="BM141" s="231"/>
      <c r="BN141" s="231"/>
      <c r="BO141" s="231"/>
      <c r="BP141" s="231"/>
      <c r="BQ141" s="231"/>
      <c r="BR141" s="231"/>
      <c r="BS141" s="231"/>
      <c r="BT141" s="231"/>
      <c r="BU141" s="231"/>
      <c r="BV141" s="222">
        <f t="shared" si="26"/>
        <v>2038</v>
      </c>
      <c r="BW141" s="231"/>
      <c r="BX141" s="231"/>
      <c r="BY141" s="231"/>
      <c r="BZ141" s="231"/>
      <c r="CA141" s="231"/>
      <c r="CB141" s="231"/>
      <c r="CC141" s="231"/>
      <c r="CD141" s="231"/>
      <c r="CE141" s="231"/>
      <c r="CF141" s="231"/>
      <c r="CG141" s="231"/>
      <c r="CH141" s="231"/>
      <c r="CI141" s="231"/>
      <c r="CJ141" s="231"/>
      <c r="CK141" s="231"/>
      <c r="CL141" s="231"/>
      <c r="CM141" s="231"/>
      <c r="CN141" s="231"/>
      <c r="CO141" s="231"/>
      <c r="CP141" s="231"/>
      <c r="CQ141" s="231"/>
      <c r="CR141" s="231"/>
      <c r="CS141" s="231"/>
      <c r="CT141" s="231"/>
      <c r="CU141" s="231"/>
      <c r="CV141" s="231"/>
      <c r="CW141" s="231"/>
      <c r="CX141" s="231"/>
      <c r="CY141" s="231"/>
      <c r="CZ141" s="231"/>
      <c r="DA141" s="231"/>
      <c r="DB141" s="231"/>
      <c r="DC141" s="231"/>
      <c r="DD141" s="231"/>
      <c r="DE141" s="231"/>
      <c r="DF141" s="231"/>
      <c r="DG141" s="231"/>
      <c r="DH141" s="231"/>
      <c r="DI141" s="231"/>
      <c r="DJ141" s="231"/>
      <c r="DK141" s="231"/>
      <c r="DL141" s="231"/>
      <c r="DM141" s="231"/>
      <c r="DN141" s="231"/>
      <c r="DO141" s="231"/>
      <c r="DP141" s="231"/>
      <c r="DQ141" s="231"/>
      <c r="DR141" s="231"/>
      <c r="DS141" s="231"/>
      <c r="DT141" s="231"/>
      <c r="DU141" s="231"/>
      <c r="DV141" s="231"/>
      <c r="DW141" s="231"/>
      <c r="YS141" s="38" t="e">
        <f>RIGHT(CONCATENATE(0,#REF!),7)</f>
        <v>#REF!</v>
      </c>
    </row>
    <row r="142" spans="2:669" ht="38.25" hidden="1">
      <c r="B142" s="304" t="s">
        <v>1702</v>
      </c>
      <c r="C142" s="85">
        <v>30000</v>
      </c>
      <c r="D142" s="84" t="s">
        <v>1674</v>
      </c>
      <c r="I142" s="57"/>
      <c r="J142" s="210"/>
      <c r="K142" s="38" t="s">
        <v>1506</v>
      </c>
      <c r="L142" s="57"/>
      <c r="S142" s="270">
        <v>51760</v>
      </c>
      <c r="T142" s="270">
        <v>53060</v>
      </c>
      <c r="U142" s="270">
        <v>54360</v>
      </c>
      <c r="V142" s="270">
        <v>55660</v>
      </c>
      <c r="W142" s="222">
        <f t="shared" si="21"/>
        <v>108330</v>
      </c>
      <c r="X142" s="720">
        <f t="shared" si="25"/>
        <v>98440</v>
      </c>
      <c r="Y142" s="718">
        <f t="shared" si="23"/>
        <v>100770</v>
      </c>
      <c r="Z142" s="222">
        <f t="shared" si="22"/>
        <v>103290</v>
      </c>
      <c r="AA142" s="222">
        <f t="shared" si="22"/>
        <v>105810</v>
      </c>
      <c r="AB142" s="222">
        <f t="shared" si="24"/>
        <v>50560</v>
      </c>
      <c r="AL142" s="231"/>
      <c r="AM142" s="231"/>
      <c r="AN142" s="231"/>
      <c r="AO142" s="231"/>
      <c r="AP142" s="231"/>
      <c r="AQ142" s="231"/>
      <c r="AR142" s="231"/>
      <c r="AS142" s="231"/>
      <c r="AT142" s="231"/>
      <c r="AU142" s="231"/>
      <c r="AV142" s="231"/>
      <c r="AW142" s="231"/>
      <c r="AX142" s="231"/>
      <c r="AY142" s="231"/>
      <c r="AZ142" s="231"/>
      <c r="BA142" s="231"/>
      <c r="BB142" s="231"/>
      <c r="BC142" s="231"/>
      <c r="BD142" s="231"/>
      <c r="BE142" s="231"/>
      <c r="BF142" s="231"/>
      <c r="BG142" s="231"/>
      <c r="BH142" s="231"/>
      <c r="BI142" s="231"/>
      <c r="BJ142" s="231"/>
      <c r="BK142" s="231"/>
      <c r="BL142" s="231"/>
      <c r="BM142" s="231"/>
      <c r="BN142" s="231"/>
      <c r="BO142" s="231"/>
      <c r="BP142" s="231"/>
      <c r="BQ142" s="231"/>
      <c r="BR142" s="231"/>
      <c r="BS142" s="231"/>
      <c r="BT142" s="231"/>
      <c r="BU142" s="231"/>
      <c r="BV142" s="222">
        <f t="shared" si="26"/>
        <v>2039</v>
      </c>
      <c r="BW142" s="231"/>
      <c r="BX142" s="231"/>
      <c r="BY142" s="231"/>
      <c r="BZ142" s="231"/>
      <c r="CA142" s="231"/>
      <c r="CB142" s="231"/>
      <c r="CC142" s="231"/>
      <c r="CD142" s="231"/>
      <c r="CE142" s="231"/>
      <c r="CF142" s="231"/>
      <c r="CG142" s="231"/>
      <c r="CH142" s="231"/>
      <c r="CI142" s="231"/>
      <c r="CJ142" s="231"/>
      <c r="CK142" s="231"/>
      <c r="CL142" s="231"/>
      <c r="CM142" s="231"/>
      <c r="CN142" s="231"/>
      <c r="CO142" s="231"/>
      <c r="CP142" s="231"/>
      <c r="CQ142" s="231"/>
      <c r="CR142" s="231"/>
      <c r="CS142" s="231"/>
      <c r="CT142" s="231"/>
      <c r="CU142" s="231"/>
      <c r="CV142" s="231"/>
      <c r="CW142" s="231"/>
      <c r="CX142" s="231"/>
      <c r="CY142" s="231"/>
      <c r="CZ142" s="231"/>
      <c r="DA142" s="231"/>
      <c r="DB142" s="231"/>
      <c r="DC142" s="231"/>
      <c r="DD142" s="231"/>
      <c r="DE142" s="231"/>
      <c r="DF142" s="231"/>
      <c r="DG142" s="231"/>
      <c r="DH142" s="231"/>
      <c r="DI142" s="231"/>
      <c r="DJ142" s="231"/>
      <c r="DK142" s="231"/>
      <c r="DL142" s="231"/>
      <c r="DM142" s="231"/>
      <c r="DN142" s="231"/>
      <c r="DO142" s="231"/>
      <c r="DP142" s="231"/>
      <c r="DQ142" s="231"/>
      <c r="DR142" s="231"/>
      <c r="DS142" s="231"/>
      <c r="DT142" s="231"/>
      <c r="DU142" s="231"/>
      <c r="DV142" s="231"/>
      <c r="DW142" s="231"/>
      <c r="YS142" s="38" t="e">
        <f>RIGHT(CONCATENATE(0,#REF!),7)</f>
        <v>#REF!</v>
      </c>
    </row>
    <row r="143" spans="2:669" hidden="1">
      <c r="B143" s="5" t="s">
        <v>1411</v>
      </c>
      <c r="C143" s="79">
        <v>100000</v>
      </c>
      <c r="D143" s="80" t="s">
        <v>58</v>
      </c>
      <c r="J143" s="210">
        <v>10</v>
      </c>
      <c r="K143" s="38" t="str">
        <f>CONCATENATE(0,J143)</f>
        <v>010</v>
      </c>
      <c r="S143" s="270">
        <v>53060</v>
      </c>
      <c r="T143" s="270">
        <v>54360</v>
      </c>
      <c r="U143" s="270">
        <v>55660</v>
      </c>
      <c r="V143" s="270">
        <v>56960</v>
      </c>
      <c r="W143" s="222">
        <f t="shared" si="21"/>
        <v>110850</v>
      </c>
      <c r="X143" s="720">
        <f t="shared" si="25"/>
        <v>100770</v>
      </c>
      <c r="Y143" s="718">
        <f t="shared" si="23"/>
        <v>103290</v>
      </c>
      <c r="Z143" s="222">
        <f t="shared" si="22"/>
        <v>105810</v>
      </c>
      <c r="AA143" s="222">
        <f t="shared" si="22"/>
        <v>108330</v>
      </c>
      <c r="AB143" s="222">
        <f t="shared" si="24"/>
        <v>51760</v>
      </c>
      <c r="AL143" s="231"/>
      <c r="AM143" s="231"/>
      <c r="AN143" s="231"/>
      <c r="AO143" s="231"/>
      <c r="AP143" s="231"/>
      <c r="AQ143" s="231"/>
      <c r="AR143" s="231"/>
      <c r="AS143" s="231"/>
      <c r="AT143" s="231"/>
      <c r="AU143" s="231"/>
      <c r="AV143" s="231"/>
      <c r="AW143" s="231"/>
      <c r="AX143" s="231"/>
      <c r="AY143" s="231"/>
      <c r="AZ143" s="231"/>
      <c r="BA143" s="231"/>
      <c r="BB143" s="231"/>
      <c r="BC143" s="231"/>
      <c r="BD143" s="231"/>
      <c r="BE143" s="231"/>
      <c r="BF143" s="231"/>
      <c r="BG143" s="231"/>
      <c r="BH143" s="231"/>
      <c r="BI143" s="231"/>
      <c r="BJ143" s="231"/>
      <c r="BK143" s="231"/>
      <c r="BL143" s="231"/>
      <c r="BM143" s="231"/>
      <c r="BN143" s="231"/>
      <c r="BO143" s="231"/>
      <c r="BP143" s="231"/>
      <c r="BQ143" s="231"/>
      <c r="BR143" s="231"/>
      <c r="BS143" s="231"/>
      <c r="BT143" s="231"/>
      <c r="BU143" s="231"/>
      <c r="BV143" s="222">
        <f t="shared" si="26"/>
        <v>2040</v>
      </c>
      <c r="BW143" s="231"/>
      <c r="BX143" s="231"/>
      <c r="BY143" s="231"/>
      <c r="BZ143" s="231"/>
      <c r="CA143" s="231"/>
      <c r="CB143" s="231"/>
      <c r="CC143" s="231"/>
      <c r="CD143" s="231"/>
      <c r="CE143" s="231"/>
      <c r="CF143" s="231"/>
      <c r="CG143" s="231"/>
      <c r="CH143" s="231"/>
      <c r="CI143" s="231"/>
      <c r="CJ143" s="231"/>
      <c r="CK143" s="231"/>
      <c r="CL143" s="231"/>
      <c r="CM143" s="231"/>
      <c r="CN143" s="231"/>
      <c r="CO143" s="231"/>
      <c r="CP143" s="231"/>
      <c r="CQ143" s="231"/>
      <c r="CR143" s="231"/>
      <c r="CS143" s="231"/>
      <c r="CT143" s="231"/>
      <c r="CU143" s="231"/>
      <c r="CV143" s="231"/>
      <c r="CW143" s="231"/>
      <c r="CX143" s="231"/>
      <c r="CY143" s="231"/>
      <c r="CZ143" s="231"/>
      <c r="DA143" s="231"/>
      <c r="DB143" s="231"/>
      <c r="DC143" s="231"/>
      <c r="DD143" s="231"/>
      <c r="DE143" s="231"/>
      <c r="DF143" s="231"/>
      <c r="DG143" s="231"/>
      <c r="DH143" s="231"/>
      <c r="DI143" s="231"/>
      <c r="DJ143" s="231"/>
      <c r="DK143" s="231"/>
      <c r="DL143" s="231"/>
      <c r="DM143" s="231"/>
      <c r="DN143" s="231"/>
      <c r="DO143" s="231"/>
      <c r="DP143" s="231"/>
      <c r="DQ143" s="231"/>
      <c r="DR143" s="231"/>
      <c r="DS143" s="231"/>
      <c r="DT143" s="231"/>
      <c r="DU143" s="231"/>
      <c r="DV143" s="231"/>
      <c r="DW143" s="231"/>
      <c r="YS143" s="38" t="e">
        <f>RIGHT(CONCATENATE(0,#REF!),7)</f>
        <v>#REF!</v>
      </c>
    </row>
    <row r="144" spans="2:669" hidden="1">
      <c r="B144" s="4" t="s">
        <v>1410</v>
      </c>
      <c r="C144" s="77">
        <v>100000</v>
      </c>
      <c r="D144" s="78" t="s">
        <v>58</v>
      </c>
      <c r="J144" s="210">
        <v>1</v>
      </c>
      <c r="K144" s="38" t="str">
        <f>CONCATENATE(0,J144)</f>
        <v>01</v>
      </c>
      <c r="S144" s="270">
        <v>54360</v>
      </c>
      <c r="T144" s="270">
        <v>55660</v>
      </c>
      <c r="U144" s="270">
        <v>56960</v>
      </c>
      <c r="V144" s="270">
        <v>58260</v>
      </c>
      <c r="W144" s="222">
        <f t="shared" si="21"/>
        <v>113370</v>
      </c>
      <c r="X144" s="720">
        <f t="shared" si="25"/>
        <v>103290</v>
      </c>
      <c r="Y144" s="718">
        <f t="shared" si="23"/>
        <v>105810</v>
      </c>
      <c r="Z144" s="222">
        <f t="shared" si="22"/>
        <v>108330</v>
      </c>
      <c r="AA144" s="222">
        <f t="shared" si="22"/>
        <v>110850</v>
      </c>
      <c r="AB144" s="222">
        <f t="shared" si="24"/>
        <v>53060</v>
      </c>
      <c r="AL144" s="231"/>
      <c r="AM144" s="231"/>
      <c r="AN144" s="231"/>
      <c r="AO144" s="231"/>
      <c r="AP144" s="231"/>
      <c r="AQ144" s="231"/>
      <c r="AR144" s="231"/>
      <c r="AS144" s="231"/>
      <c r="AT144" s="231"/>
      <c r="AU144" s="231"/>
      <c r="AV144" s="231"/>
      <c r="AW144" s="231"/>
      <c r="AX144" s="231"/>
      <c r="AY144" s="231"/>
      <c r="AZ144" s="231"/>
      <c r="BA144" s="231"/>
      <c r="BB144" s="231"/>
      <c r="BC144" s="231"/>
      <c r="BD144" s="231"/>
      <c r="BE144" s="231"/>
      <c r="BF144" s="231"/>
      <c r="BG144" s="231"/>
      <c r="BH144" s="231"/>
      <c r="BI144" s="231"/>
      <c r="BJ144" s="231"/>
      <c r="BK144" s="231"/>
      <c r="BL144" s="231"/>
      <c r="BM144" s="231"/>
      <c r="BN144" s="231"/>
      <c r="BO144" s="231"/>
      <c r="BP144" s="231"/>
      <c r="BQ144" s="231"/>
      <c r="BR144" s="231"/>
      <c r="BS144" s="231"/>
      <c r="BT144" s="231"/>
      <c r="BU144" s="231"/>
      <c r="BV144" s="222">
        <f t="shared" si="26"/>
        <v>2041</v>
      </c>
      <c r="BW144" s="231"/>
      <c r="BX144" s="231"/>
      <c r="BY144" s="231"/>
      <c r="BZ144" s="231"/>
      <c r="CA144" s="231"/>
      <c r="CB144" s="231"/>
      <c r="CC144" s="231"/>
      <c r="CD144" s="231"/>
      <c r="CE144" s="231"/>
      <c r="CF144" s="231"/>
      <c r="CG144" s="231"/>
      <c r="CH144" s="231"/>
      <c r="CI144" s="231"/>
      <c r="CJ144" s="231"/>
      <c r="CK144" s="231"/>
      <c r="CL144" s="231"/>
      <c r="CM144" s="231"/>
      <c r="CN144" s="231"/>
      <c r="CO144" s="231"/>
      <c r="CP144" s="231"/>
      <c r="CQ144" s="231"/>
      <c r="CR144" s="231"/>
      <c r="CS144" s="231"/>
      <c r="CT144" s="231"/>
      <c r="CU144" s="231"/>
      <c r="CV144" s="231"/>
      <c r="CW144" s="231"/>
      <c r="CX144" s="231"/>
      <c r="CY144" s="231"/>
      <c r="CZ144" s="231"/>
      <c r="DA144" s="231"/>
      <c r="DB144" s="231"/>
      <c r="DC144" s="231"/>
      <c r="DD144" s="231"/>
      <c r="DE144" s="231"/>
      <c r="DF144" s="231"/>
      <c r="DG144" s="231"/>
      <c r="DH144" s="231"/>
      <c r="DI144" s="231"/>
      <c r="DJ144" s="231"/>
      <c r="DK144" s="231"/>
      <c r="DL144" s="231"/>
      <c r="DM144" s="231"/>
      <c r="DN144" s="231"/>
      <c r="DO144" s="231"/>
      <c r="DP144" s="231"/>
      <c r="DQ144" s="231"/>
      <c r="DR144" s="231"/>
      <c r="DS144" s="231"/>
      <c r="DT144" s="231"/>
      <c r="DU144" s="231"/>
      <c r="DV144" s="231"/>
      <c r="DW144" s="231"/>
      <c r="YS144" s="38" t="e">
        <f>RIGHT(CONCATENATE(0,#REF!),7)</f>
        <v>#REF!</v>
      </c>
    </row>
    <row r="145" spans="2:669" hidden="1">
      <c r="B145" s="4"/>
      <c r="C145" s="79"/>
      <c r="D145" s="80"/>
      <c r="K145" s="37"/>
      <c r="S145" s="270">
        <v>55660</v>
      </c>
      <c r="T145" s="270">
        <v>56960</v>
      </c>
      <c r="U145" s="270">
        <v>58260</v>
      </c>
      <c r="V145" s="270">
        <v>59560</v>
      </c>
      <c r="W145" s="222">
        <f t="shared" si="21"/>
        <v>115890</v>
      </c>
      <c r="X145" s="720">
        <f t="shared" si="25"/>
        <v>105810</v>
      </c>
      <c r="Y145" s="718">
        <f t="shared" si="23"/>
        <v>108330</v>
      </c>
      <c r="Z145" s="222">
        <f t="shared" si="22"/>
        <v>110850</v>
      </c>
      <c r="AA145" s="222">
        <f t="shared" si="22"/>
        <v>113370</v>
      </c>
      <c r="AB145" s="222">
        <f t="shared" si="24"/>
        <v>54360</v>
      </c>
      <c r="AL145" s="231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1"/>
      <c r="BS145" s="231"/>
      <c r="BT145" s="231"/>
      <c r="BU145" s="231"/>
      <c r="BV145" s="222">
        <f t="shared" si="26"/>
        <v>2042</v>
      </c>
      <c r="BW145" s="231"/>
      <c r="BX145" s="231"/>
      <c r="BY145" s="231"/>
      <c r="BZ145" s="231"/>
      <c r="CA145" s="231"/>
      <c r="CB145" s="231"/>
      <c r="CC145" s="231"/>
      <c r="CD145" s="231"/>
      <c r="CE145" s="231"/>
      <c r="CF145" s="231"/>
      <c r="CG145" s="231"/>
      <c r="CH145" s="231"/>
      <c r="CI145" s="231"/>
      <c r="CJ145" s="231"/>
      <c r="CK145" s="231"/>
      <c r="CL145" s="231"/>
      <c r="CM145" s="231"/>
      <c r="CN145" s="231"/>
      <c r="CO145" s="231"/>
      <c r="CP145" s="231"/>
      <c r="CQ145" s="231"/>
      <c r="CR145" s="231"/>
      <c r="CS145" s="231"/>
      <c r="CT145" s="231"/>
      <c r="CU145" s="231"/>
      <c r="CV145" s="231"/>
      <c r="CW145" s="231"/>
      <c r="CX145" s="231"/>
      <c r="CY145" s="231"/>
      <c r="CZ145" s="231"/>
      <c r="DA145" s="231"/>
      <c r="DB145" s="231"/>
      <c r="DC145" s="231"/>
      <c r="DD145" s="231"/>
      <c r="DE145" s="231"/>
      <c r="DF145" s="231"/>
      <c r="DG145" s="231"/>
      <c r="DH145" s="231"/>
      <c r="DI145" s="231"/>
      <c r="DJ145" s="231"/>
      <c r="DK145" s="231"/>
      <c r="DL145" s="231"/>
      <c r="DM145" s="231"/>
      <c r="DN145" s="231"/>
      <c r="DO145" s="231"/>
      <c r="DP145" s="231"/>
      <c r="DQ145" s="231"/>
      <c r="DR145" s="231"/>
      <c r="DS145" s="231"/>
      <c r="DT145" s="231"/>
      <c r="DU145" s="231"/>
      <c r="DV145" s="231"/>
      <c r="DW145" s="231"/>
      <c r="YS145" s="38" t="e">
        <f>RIGHT(CONCATENATE(0,#REF!),7)</f>
        <v>#REF!</v>
      </c>
    </row>
    <row r="146" spans="2:669" hidden="1">
      <c r="J146" s="60">
        <f>DATE(K141,J143,J144)</f>
        <v>28399</v>
      </c>
      <c r="K146" s="37"/>
      <c r="S146" s="270">
        <v>56960</v>
      </c>
      <c r="T146" s="270">
        <v>58260</v>
      </c>
      <c r="U146" s="270">
        <v>59560</v>
      </c>
      <c r="V146" s="270">
        <v>60860</v>
      </c>
      <c r="W146" s="222">
        <f>VLOOKUP(ROUND(SUM(S146,S146*63.344%,S146*43%),0),$X$67:$Y$152,2,TRUE)</f>
        <v>118410</v>
      </c>
      <c r="X146" s="720">
        <f t="shared" si="25"/>
        <v>108330</v>
      </c>
      <c r="Y146" s="718">
        <f t="shared" si="23"/>
        <v>110850</v>
      </c>
      <c r="Z146" s="222">
        <f t="shared" si="22"/>
        <v>113370</v>
      </c>
      <c r="AA146" s="222">
        <f t="shared" si="22"/>
        <v>115890</v>
      </c>
      <c r="AB146" s="222">
        <f t="shared" si="24"/>
        <v>55660</v>
      </c>
      <c r="AL146" s="231"/>
      <c r="AM146" s="231"/>
      <c r="AN146" s="231"/>
      <c r="AO146" s="231"/>
      <c r="AP146" s="231"/>
      <c r="AQ146" s="231"/>
      <c r="AR146" s="231"/>
      <c r="AS146" s="231"/>
      <c r="AT146" s="231"/>
      <c r="AU146" s="231"/>
      <c r="AV146" s="231"/>
      <c r="AW146" s="231"/>
      <c r="AX146" s="231"/>
      <c r="AY146" s="231"/>
      <c r="AZ146" s="231"/>
      <c r="BA146" s="231"/>
      <c r="BB146" s="231"/>
      <c r="BC146" s="231"/>
      <c r="BD146" s="231"/>
      <c r="BE146" s="231"/>
      <c r="BF146" s="231"/>
      <c r="BG146" s="231"/>
      <c r="BH146" s="231"/>
      <c r="BI146" s="231"/>
      <c r="BJ146" s="231"/>
      <c r="BK146" s="231"/>
      <c r="BL146" s="231"/>
      <c r="BM146" s="231"/>
      <c r="BN146" s="231"/>
      <c r="BO146" s="231"/>
      <c r="BP146" s="231"/>
      <c r="BQ146" s="231"/>
      <c r="BR146" s="231"/>
      <c r="BS146" s="231"/>
      <c r="BT146" s="231"/>
      <c r="BU146" s="231"/>
      <c r="BV146" s="222">
        <f t="shared" si="26"/>
        <v>2043</v>
      </c>
      <c r="BW146" s="231"/>
      <c r="BX146" s="231"/>
      <c r="BY146" s="231"/>
      <c r="BZ146" s="231"/>
      <c r="CA146" s="231"/>
      <c r="CB146" s="231"/>
      <c r="CC146" s="231"/>
      <c r="CD146" s="231"/>
      <c r="CE146" s="231"/>
      <c r="CF146" s="231"/>
      <c r="CG146" s="231"/>
      <c r="CH146" s="231"/>
      <c r="CI146" s="231"/>
      <c r="CJ146" s="231"/>
      <c r="CK146" s="231"/>
      <c r="CL146" s="231"/>
      <c r="CM146" s="231"/>
      <c r="CN146" s="231"/>
      <c r="CO146" s="231"/>
      <c r="CP146" s="231"/>
      <c r="CQ146" s="231"/>
      <c r="CR146" s="231"/>
      <c r="CS146" s="231"/>
      <c r="CT146" s="231"/>
      <c r="CU146" s="231"/>
      <c r="CV146" s="231"/>
      <c r="CW146" s="231"/>
      <c r="CX146" s="231"/>
      <c r="CY146" s="231"/>
      <c r="CZ146" s="231"/>
      <c r="DA146" s="231"/>
      <c r="DB146" s="231"/>
      <c r="DC146" s="231"/>
      <c r="DD146" s="231"/>
      <c r="DE146" s="231"/>
      <c r="DF146" s="231"/>
      <c r="DG146" s="231"/>
      <c r="DH146" s="231"/>
      <c r="DI146" s="231"/>
      <c r="DJ146" s="231"/>
      <c r="DK146" s="231"/>
      <c r="DL146" s="231"/>
      <c r="DM146" s="231"/>
      <c r="DN146" s="231"/>
      <c r="DO146" s="231"/>
      <c r="DP146" s="231"/>
      <c r="DQ146" s="231"/>
      <c r="DR146" s="231"/>
      <c r="DS146" s="231"/>
      <c r="DT146" s="231"/>
      <c r="DU146" s="231"/>
      <c r="DV146" s="231"/>
      <c r="DW146" s="231"/>
      <c r="YS146" s="38" t="e">
        <f>RIGHT(CONCATENATE(0,#REF!),7)</f>
        <v>#REF!</v>
      </c>
    </row>
    <row r="147" spans="2:669" hidden="1">
      <c r="K147" s="37"/>
      <c r="S147" s="270">
        <v>58260</v>
      </c>
      <c r="T147" s="270">
        <v>59560</v>
      </c>
      <c r="U147" s="270"/>
      <c r="V147" s="270"/>
      <c r="W147" s="222">
        <f t="shared" si="21"/>
        <v>120930</v>
      </c>
      <c r="X147" s="720">
        <f t="shared" si="25"/>
        <v>110850</v>
      </c>
      <c r="Y147" s="718">
        <f t="shared" si="23"/>
        <v>113370</v>
      </c>
      <c r="Z147" s="222">
        <f t="shared" si="22"/>
        <v>115890</v>
      </c>
      <c r="AA147" s="222">
        <f t="shared" si="22"/>
        <v>118410</v>
      </c>
      <c r="AB147" s="222">
        <f t="shared" si="24"/>
        <v>56960</v>
      </c>
      <c r="AL147" s="231"/>
      <c r="AM147" s="231"/>
      <c r="AN147" s="231"/>
      <c r="AO147" s="231"/>
      <c r="AP147" s="231"/>
      <c r="AQ147" s="231"/>
      <c r="AR147" s="231"/>
      <c r="AS147" s="231"/>
      <c r="AT147" s="231"/>
      <c r="AU147" s="231"/>
      <c r="AV147" s="231"/>
      <c r="AW147" s="231"/>
      <c r="AX147" s="231"/>
      <c r="AY147" s="231"/>
      <c r="AZ147" s="231"/>
      <c r="BA147" s="231"/>
      <c r="BB147" s="231"/>
      <c r="BC147" s="231"/>
      <c r="BD147" s="231"/>
      <c r="BE147" s="231"/>
      <c r="BF147" s="231"/>
      <c r="BG147" s="231"/>
      <c r="BH147" s="231"/>
      <c r="BI147" s="231"/>
      <c r="BJ147" s="231"/>
      <c r="BK147" s="231"/>
      <c r="BL147" s="231"/>
      <c r="BM147" s="231"/>
      <c r="BN147" s="231"/>
      <c r="BO147" s="231"/>
      <c r="BP147" s="231"/>
      <c r="BQ147" s="231"/>
      <c r="BR147" s="231"/>
      <c r="BS147" s="231"/>
      <c r="BT147" s="231"/>
      <c r="BU147" s="231"/>
      <c r="BV147" s="222">
        <f t="shared" si="26"/>
        <v>2044</v>
      </c>
      <c r="BW147" s="231"/>
      <c r="BX147" s="231"/>
      <c r="BY147" s="231"/>
      <c r="BZ147" s="231"/>
      <c r="CA147" s="231"/>
      <c r="CB147" s="231"/>
      <c r="CC147" s="231"/>
      <c r="CD147" s="231"/>
      <c r="CE147" s="231"/>
      <c r="CF147" s="231"/>
      <c r="CG147" s="231"/>
      <c r="CH147" s="231"/>
      <c r="CI147" s="231"/>
      <c r="CJ147" s="231"/>
      <c r="CK147" s="231"/>
      <c r="CL147" s="231"/>
      <c r="CM147" s="231"/>
      <c r="CN147" s="231"/>
      <c r="CO147" s="231"/>
      <c r="CP147" s="231"/>
      <c r="CQ147" s="231"/>
      <c r="CR147" s="231"/>
      <c r="CS147" s="231"/>
      <c r="CT147" s="231"/>
      <c r="CU147" s="231"/>
      <c r="CV147" s="231"/>
      <c r="CW147" s="231"/>
      <c r="CX147" s="231"/>
      <c r="CY147" s="231"/>
      <c r="CZ147" s="231"/>
      <c r="DA147" s="231"/>
      <c r="DB147" s="231"/>
      <c r="DC147" s="231"/>
      <c r="DD147" s="231"/>
      <c r="DE147" s="231"/>
      <c r="DF147" s="231"/>
      <c r="DG147" s="231"/>
      <c r="DH147" s="231"/>
      <c r="DI147" s="231"/>
      <c r="DJ147" s="231"/>
      <c r="DK147" s="231"/>
      <c r="DL147" s="231"/>
      <c r="DM147" s="231"/>
      <c r="DN147" s="231"/>
      <c r="DO147" s="231"/>
      <c r="DP147" s="231"/>
      <c r="DQ147" s="231"/>
      <c r="DR147" s="231"/>
      <c r="DS147" s="231"/>
      <c r="DT147" s="231"/>
      <c r="DU147" s="231"/>
      <c r="DV147" s="231"/>
      <c r="DW147" s="231"/>
      <c r="YS147" s="38" t="e">
        <f>RIGHT(CONCATENATE(0,#REF!),7)</f>
        <v>#REF!</v>
      </c>
    </row>
    <row r="148" spans="2:669" hidden="1">
      <c r="S148" s="270">
        <v>59560</v>
      </c>
      <c r="T148" s="270"/>
      <c r="U148" s="270"/>
      <c r="W148" s="222">
        <f>VLOOKUP(ROUND(SUM(S148,S148*63.344%,S148*43%),0),$X$67:$Y$152,2,TRUE)</f>
        <v>123450</v>
      </c>
      <c r="X148" s="720">
        <f t="shared" si="25"/>
        <v>113370</v>
      </c>
      <c r="Y148" s="718">
        <f t="shared" si="23"/>
        <v>115890</v>
      </c>
      <c r="Z148" s="222">
        <f t="shared" si="22"/>
        <v>118410</v>
      </c>
      <c r="AA148" s="222">
        <f t="shared" si="22"/>
        <v>120930</v>
      </c>
      <c r="AB148" s="222">
        <f t="shared" si="24"/>
        <v>58260</v>
      </c>
      <c r="AL148" s="231"/>
      <c r="AM148" s="231"/>
      <c r="AN148" s="231"/>
      <c r="AO148" s="231"/>
      <c r="AP148" s="231"/>
      <c r="AQ148" s="231"/>
      <c r="AR148" s="231"/>
      <c r="AS148" s="231"/>
      <c r="AT148" s="231"/>
      <c r="AU148" s="231"/>
      <c r="AV148" s="231"/>
      <c r="AW148" s="231"/>
      <c r="AX148" s="231"/>
      <c r="AY148" s="231"/>
      <c r="AZ148" s="231"/>
      <c r="BA148" s="231"/>
      <c r="BB148" s="231"/>
      <c r="BC148" s="231"/>
      <c r="BD148" s="231"/>
      <c r="BE148" s="231"/>
      <c r="BF148" s="231"/>
      <c r="BG148" s="231"/>
      <c r="BH148" s="231"/>
      <c r="BI148" s="231"/>
      <c r="BJ148" s="231"/>
      <c r="BK148" s="231"/>
      <c r="BL148" s="231"/>
      <c r="BM148" s="231"/>
      <c r="BN148" s="231"/>
      <c r="BO148" s="231"/>
      <c r="BP148" s="231"/>
      <c r="BQ148" s="231"/>
      <c r="BR148" s="231"/>
      <c r="BS148" s="231"/>
      <c r="BT148" s="231"/>
      <c r="BU148" s="231"/>
      <c r="BV148" s="222">
        <f t="shared" si="26"/>
        <v>2045</v>
      </c>
      <c r="BW148" s="231"/>
      <c r="BX148" s="231"/>
      <c r="BY148" s="231"/>
      <c r="BZ148" s="231"/>
      <c r="CA148" s="231"/>
      <c r="CB148" s="231"/>
      <c r="CC148" s="231"/>
      <c r="CD148" s="231"/>
      <c r="CE148" s="231"/>
      <c r="CF148" s="231"/>
      <c r="CG148" s="231"/>
      <c r="CH148" s="231"/>
      <c r="CI148" s="231"/>
      <c r="CJ148" s="231"/>
      <c r="CK148" s="231"/>
      <c r="CL148" s="231"/>
      <c r="CM148" s="231"/>
      <c r="CN148" s="231"/>
      <c r="CO148" s="231"/>
      <c r="CP148" s="231"/>
      <c r="CQ148" s="231"/>
      <c r="CR148" s="231"/>
      <c r="CS148" s="231"/>
      <c r="CT148" s="231"/>
      <c r="CU148" s="231"/>
      <c r="CV148" s="231"/>
      <c r="CW148" s="231"/>
      <c r="CX148" s="231"/>
      <c r="CY148" s="231"/>
      <c r="CZ148" s="231"/>
      <c r="DA148" s="231"/>
      <c r="DB148" s="231"/>
      <c r="DC148" s="231"/>
      <c r="DD148" s="231"/>
      <c r="DE148" s="231"/>
      <c r="DF148" s="231"/>
      <c r="DG148" s="231"/>
      <c r="DH148" s="231"/>
      <c r="DI148" s="231"/>
      <c r="DJ148" s="231"/>
      <c r="DK148" s="231"/>
      <c r="DL148" s="231"/>
      <c r="DM148" s="231"/>
      <c r="DN148" s="231"/>
      <c r="DO148" s="231"/>
      <c r="DP148" s="231"/>
      <c r="DQ148" s="231"/>
      <c r="DR148" s="231"/>
      <c r="DS148" s="231"/>
      <c r="DT148" s="231"/>
      <c r="DU148" s="231"/>
      <c r="DV148" s="231"/>
      <c r="DW148" s="231"/>
      <c r="YS148" s="38" t="e">
        <f>RIGHT(CONCATENATE(0,#REF!),7)</f>
        <v>#REF!</v>
      </c>
    </row>
    <row r="149" spans="2:669" hidden="1">
      <c r="S149" s="270"/>
      <c r="T149" s="270"/>
      <c r="W149" s="222">
        <f>W148</f>
        <v>123450</v>
      </c>
      <c r="X149" s="720">
        <f t="shared" si="25"/>
        <v>115890</v>
      </c>
      <c r="Y149" s="718">
        <f t="shared" si="23"/>
        <v>118410</v>
      </c>
      <c r="Z149" s="222">
        <f t="shared" si="22"/>
        <v>120930</v>
      </c>
      <c r="AA149" s="222">
        <f t="shared" si="22"/>
        <v>123450</v>
      </c>
      <c r="AB149" s="222">
        <f t="shared" si="24"/>
        <v>59560</v>
      </c>
      <c r="AL149" s="231"/>
      <c r="AM149" s="231"/>
      <c r="AN149" s="231"/>
      <c r="AO149" s="231"/>
      <c r="AP149" s="231"/>
      <c r="AQ149" s="231"/>
      <c r="AR149" s="231"/>
      <c r="AS149" s="231"/>
      <c r="AT149" s="231"/>
      <c r="AU149" s="231"/>
      <c r="AV149" s="231"/>
      <c r="AW149" s="231"/>
      <c r="AX149" s="231"/>
      <c r="AY149" s="231"/>
      <c r="AZ149" s="231"/>
      <c r="BA149" s="231"/>
      <c r="BB149" s="231"/>
      <c r="BC149" s="231"/>
      <c r="BD149" s="231"/>
      <c r="BE149" s="231"/>
      <c r="BF149" s="231"/>
      <c r="BG149" s="231"/>
      <c r="BH149" s="231"/>
      <c r="BI149" s="231"/>
      <c r="BJ149" s="231"/>
      <c r="BK149" s="231"/>
      <c r="BL149" s="231"/>
      <c r="BM149" s="231"/>
      <c r="BN149" s="231"/>
      <c r="BO149" s="231"/>
      <c r="BP149" s="231"/>
      <c r="BQ149" s="231"/>
      <c r="BR149" s="231"/>
      <c r="BS149" s="231"/>
      <c r="BT149" s="231"/>
      <c r="BU149" s="231"/>
      <c r="BV149" s="222">
        <f t="shared" si="26"/>
        <v>2046</v>
      </c>
      <c r="BW149" s="231"/>
      <c r="BX149" s="231"/>
      <c r="BY149" s="231"/>
      <c r="BZ149" s="231"/>
      <c r="CA149" s="231"/>
      <c r="CB149" s="231"/>
      <c r="CC149" s="231"/>
      <c r="CD149" s="231"/>
      <c r="CE149" s="231"/>
      <c r="CF149" s="231"/>
      <c r="CG149" s="231"/>
      <c r="CH149" s="231"/>
      <c r="CI149" s="231"/>
      <c r="CJ149" s="231"/>
      <c r="CK149" s="231"/>
      <c r="CL149" s="231"/>
      <c r="CM149" s="231"/>
      <c r="CN149" s="231"/>
      <c r="CO149" s="231"/>
      <c r="CP149" s="231"/>
      <c r="CQ149" s="231"/>
      <c r="CR149" s="231"/>
      <c r="CS149" s="231"/>
      <c r="CT149" s="231"/>
      <c r="CU149" s="231"/>
      <c r="CV149" s="231"/>
      <c r="CW149" s="231"/>
      <c r="CX149" s="231"/>
      <c r="CY149" s="231"/>
      <c r="CZ149" s="231"/>
      <c r="DA149" s="231"/>
      <c r="DB149" s="231"/>
      <c r="DC149" s="231"/>
      <c r="DD149" s="231"/>
      <c r="DE149" s="231"/>
      <c r="DF149" s="231"/>
      <c r="DG149" s="231"/>
      <c r="DH149" s="231"/>
      <c r="DI149" s="231"/>
      <c r="DJ149" s="231"/>
      <c r="DK149" s="231"/>
      <c r="DL149" s="231"/>
      <c r="DM149" s="231"/>
      <c r="DN149" s="231"/>
      <c r="DO149" s="231"/>
      <c r="DP149" s="231"/>
      <c r="DQ149" s="231"/>
      <c r="DR149" s="231"/>
      <c r="DS149" s="231"/>
      <c r="DT149" s="231"/>
      <c r="DU149" s="231"/>
      <c r="DV149" s="231"/>
      <c r="DW149" s="231"/>
      <c r="YS149" s="38" t="e">
        <f>RIGHT(CONCATENATE(0,#REF!),7)</f>
        <v>#REF!</v>
      </c>
    </row>
    <row r="150" spans="2:669" hidden="1">
      <c r="S150" s="270"/>
      <c r="W150" s="222">
        <f t="shared" ref="W150:W152" si="27">W149</f>
        <v>123450</v>
      </c>
      <c r="X150" s="720">
        <f t="shared" si="25"/>
        <v>118410</v>
      </c>
      <c r="Y150" s="718">
        <f t="shared" si="23"/>
        <v>120930</v>
      </c>
      <c r="Z150" s="222">
        <f t="shared" si="22"/>
        <v>123450</v>
      </c>
      <c r="AL150" s="231"/>
      <c r="AM150" s="231"/>
      <c r="AN150" s="231"/>
      <c r="AO150" s="231"/>
      <c r="AP150" s="231"/>
      <c r="AQ150" s="231"/>
      <c r="AR150" s="231"/>
      <c r="AS150" s="231"/>
      <c r="AT150" s="231"/>
      <c r="AU150" s="231"/>
      <c r="AV150" s="231"/>
      <c r="AW150" s="231"/>
      <c r="AX150" s="231"/>
      <c r="AY150" s="231"/>
      <c r="AZ150" s="231"/>
      <c r="BA150" s="231"/>
      <c r="BB150" s="231"/>
      <c r="BC150" s="231"/>
      <c r="BD150" s="231"/>
      <c r="BE150" s="231"/>
      <c r="BF150" s="231"/>
      <c r="BG150" s="231"/>
      <c r="BH150" s="231"/>
      <c r="BI150" s="231"/>
      <c r="BJ150" s="231"/>
      <c r="BK150" s="231"/>
      <c r="BL150" s="231"/>
      <c r="BM150" s="231"/>
      <c r="BN150" s="231"/>
      <c r="BO150" s="231"/>
      <c r="BP150" s="231"/>
      <c r="BQ150" s="231"/>
      <c r="BR150" s="231"/>
      <c r="BS150" s="231"/>
      <c r="BT150" s="231"/>
      <c r="BU150" s="231"/>
      <c r="BV150" s="222">
        <f t="shared" si="26"/>
        <v>2047</v>
      </c>
      <c r="BW150" s="231"/>
      <c r="BX150" s="231"/>
      <c r="BY150" s="231"/>
      <c r="BZ150" s="231"/>
      <c r="CA150" s="231"/>
      <c r="CB150" s="231"/>
      <c r="CC150" s="231"/>
      <c r="CD150" s="231"/>
      <c r="CE150" s="231"/>
      <c r="CF150" s="231"/>
      <c r="CG150" s="231"/>
      <c r="CH150" s="231"/>
      <c r="CI150" s="231"/>
      <c r="CJ150" s="231"/>
      <c r="CK150" s="231"/>
      <c r="CL150" s="231"/>
      <c r="CM150" s="231"/>
      <c r="CN150" s="231"/>
      <c r="CO150" s="231"/>
      <c r="CP150" s="231"/>
      <c r="CQ150" s="231"/>
      <c r="CR150" s="231"/>
      <c r="CS150" s="231"/>
      <c r="CT150" s="231"/>
      <c r="CU150" s="231"/>
      <c r="CV150" s="231"/>
      <c r="CW150" s="231"/>
      <c r="CX150" s="231"/>
      <c r="CY150" s="231"/>
      <c r="CZ150" s="231"/>
      <c r="DA150" s="231"/>
      <c r="DB150" s="231"/>
      <c r="DC150" s="231"/>
      <c r="DD150" s="231"/>
      <c r="DE150" s="231"/>
      <c r="DF150" s="231"/>
      <c r="DG150" s="231"/>
      <c r="DH150" s="231"/>
      <c r="DI150" s="231"/>
      <c r="DJ150" s="231"/>
      <c r="DK150" s="231"/>
      <c r="DL150" s="231"/>
      <c r="DM150" s="231"/>
      <c r="DN150" s="231"/>
      <c r="DO150" s="231"/>
      <c r="DP150" s="231"/>
      <c r="DQ150" s="231"/>
      <c r="DR150" s="231"/>
      <c r="DS150" s="231"/>
      <c r="DT150" s="231"/>
      <c r="DU150" s="231"/>
      <c r="DV150" s="231"/>
      <c r="DW150" s="231"/>
      <c r="YS150" s="38" t="e">
        <f>RIGHT(CONCATENATE(0,#REF!),7)</f>
        <v>#REF!</v>
      </c>
    </row>
    <row r="151" spans="2:669" hidden="1">
      <c r="S151" s="231"/>
      <c r="T151" s="231"/>
      <c r="U151" s="96"/>
      <c r="W151" s="222">
        <f t="shared" si="27"/>
        <v>123450</v>
      </c>
      <c r="X151" s="720">
        <f t="shared" si="25"/>
        <v>120930</v>
      </c>
      <c r="Y151" s="718">
        <f t="shared" si="23"/>
        <v>123450</v>
      </c>
      <c r="AL151" s="231"/>
      <c r="AM151" s="231"/>
      <c r="AN151" s="231"/>
      <c r="AO151" s="231"/>
      <c r="AP151" s="231"/>
      <c r="AQ151" s="231"/>
      <c r="AR151" s="231"/>
      <c r="AS151" s="231"/>
      <c r="AT151" s="231"/>
      <c r="AU151" s="231"/>
      <c r="AV151" s="231"/>
      <c r="AW151" s="231"/>
      <c r="AX151" s="231"/>
      <c r="AY151" s="231"/>
      <c r="AZ151" s="231"/>
      <c r="BA151" s="231"/>
      <c r="BB151" s="231"/>
      <c r="BC151" s="231"/>
      <c r="BD151" s="231"/>
      <c r="BE151" s="231"/>
      <c r="BF151" s="231"/>
      <c r="BG151" s="231"/>
      <c r="BH151" s="231"/>
      <c r="BI151" s="231"/>
      <c r="BJ151" s="231"/>
      <c r="BK151" s="231"/>
      <c r="BL151" s="231"/>
      <c r="BM151" s="231"/>
      <c r="BN151" s="231"/>
      <c r="BO151" s="231"/>
      <c r="BP151" s="231"/>
      <c r="BQ151" s="231"/>
      <c r="BR151" s="231"/>
      <c r="BS151" s="231"/>
      <c r="BT151" s="231"/>
      <c r="BU151" s="231"/>
      <c r="BV151" s="222">
        <f t="shared" si="26"/>
        <v>2048</v>
      </c>
      <c r="BW151" s="231"/>
      <c r="BX151" s="231"/>
      <c r="BY151" s="231"/>
      <c r="BZ151" s="231"/>
      <c r="CA151" s="231"/>
      <c r="CB151" s="231"/>
      <c r="CC151" s="231"/>
      <c r="CD151" s="231"/>
      <c r="CE151" s="231"/>
      <c r="CF151" s="231"/>
      <c r="CG151" s="231"/>
      <c r="CH151" s="231"/>
      <c r="CI151" s="231"/>
      <c r="CJ151" s="231"/>
      <c r="CK151" s="231"/>
      <c r="CL151" s="231"/>
      <c r="CM151" s="231"/>
      <c r="CN151" s="231"/>
      <c r="CO151" s="231"/>
      <c r="CP151" s="231"/>
      <c r="CQ151" s="231"/>
      <c r="CR151" s="231"/>
      <c r="CS151" s="231"/>
      <c r="CT151" s="231"/>
      <c r="CU151" s="231"/>
      <c r="CV151" s="231"/>
      <c r="CW151" s="231"/>
      <c r="CX151" s="231"/>
      <c r="CY151" s="231"/>
      <c r="CZ151" s="231"/>
      <c r="DA151" s="231"/>
      <c r="DB151" s="231"/>
      <c r="DC151" s="231"/>
      <c r="DD151" s="231"/>
      <c r="DE151" s="231"/>
      <c r="DF151" s="231"/>
      <c r="DG151" s="231"/>
      <c r="DH151" s="231"/>
      <c r="DI151" s="231"/>
      <c r="DJ151" s="231"/>
      <c r="DK151" s="231"/>
      <c r="DL151" s="231"/>
      <c r="DM151" s="231"/>
      <c r="DN151" s="231"/>
      <c r="DO151" s="231"/>
      <c r="DP151" s="231"/>
      <c r="DQ151" s="231"/>
      <c r="DR151" s="231"/>
      <c r="DS151" s="231"/>
      <c r="DT151" s="231"/>
      <c r="DU151" s="231"/>
      <c r="DV151" s="231"/>
      <c r="DW151" s="231"/>
      <c r="YS151" s="38" t="e">
        <f>RIGHT(CONCATENATE(0,#REF!),7)</f>
        <v>#REF!</v>
      </c>
    </row>
    <row r="152" spans="2:669" hidden="1">
      <c r="S152" s="231"/>
      <c r="T152" s="231"/>
      <c r="U152" s="231"/>
      <c r="W152" s="222">
        <f t="shared" si="27"/>
        <v>123450</v>
      </c>
      <c r="X152" s="720">
        <f t="shared" si="25"/>
        <v>123450</v>
      </c>
      <c r="Y152" s="718"/>
      <c r="AL152" s="231"/>
      <c r="AM152" s="231"/>
      <c r="AN152" s="231"/>
      <c r="AO152" s="231"/>
      <c r="AP152" s="231"/>
      <c r="AQ152" s="231"/>
      <c r="AR152" s="231"/>
      <c r="AS152" s="231"/>
      <c r="AT152" s="231"/>
      <c r="AU152" s="231"/>
      <c r="AV152" s="231"/>
      <c r="AW152" s="231"/>
      <c r="AX152" s="231"/>
      <c r="AY152" s="231"/>
      <c r="AZ152" s="231"/>
      <c r="BA152" s="231"/>
      <c r="BB152" s="231"/>
      <c r="BC152" s="231"/>
      <c r="BD152" s="231"/>
      <c r="BE152" s="231"/>
      <c r="BF152" s="231"/>
      <c r="BG152" s="231"/>
      <c r="BH152" s="231"/>
      <c r="BI152" s="231"/>
      <c r="BJ152" s="231"/>
      <c r="BK152" s="231"/>
      <c r="BL152" s="231"/>
      <c r="BM152" s="231"/>
      <c r="BN152" s="231"/>
      <c r="BO152" s="231"/>
      <c r="BP152" s="231"/>
      <c r="BQ152" s="231"/>
      <c r="BR152" s="231"/>
      <c r="BS152" s="231"/>
      <c r="BT152" s="231"/>
      <c r="BU152" s="231"/>
      <c r="BV152" s="222">
        <f t="shared" si="26"/>
        <v>2049</v>
      </c>
      <c r="BW152" s="231"/>
      <c r="BX152" s="231"/>
      <c r="BY152" s="231"/>
      <c r="BZ152" s="231"/>
      <c r="CA152" s="231"/>
      <c r="CB152" s="231"/>
      <c r="CC152" s="231"/>
      <c r="CD152" s="231"/>
      <c r="CE152" s="231"/>
      <c r="CF152" s="231"/>
      <c r="CG152" s="231"/>
      <c r="CH152" s="231"/>
      <c r="CI152" s="231"/>
      <c r="CJ152" s="231"/>
      <c r="CK152" s="231"/>
      <c r="CL152" s="231"/>
      <c r="CM152" s="231"/>
      <c r="CN152" s="231"/>
      <c r="CO152" s="231"/>
      <c r="CP152" s="231"/>
      <c r="CQ152" s="231"/>
      <c r="CR152" s="231"/>
      <c r="CS152" s="231"/>
      <c r="CT152" s="231"/>
      <c r="CU152" s="231"/>
      <c r="CV152" s="231"/>
      <c r="CW152" s="231"/>
      <c r="CX152" s="231"/>
      <c r="CY152" s="231"/>
      <c r="CZ152" s="231"/>
      <c r="DA152" s="231"/>
      <c r="DB152" s="231"/>
      <c r="DC152" s="231"/>
      <c r="DD152" s="231"/>
      <c r="DE152" s="231"/>
      <c r="DF152" s="231"/>
      <c r="DG152" s="231"/>
      <c r="DH152" s="231"/>
      <c r="DI152" s="231"/>
      <c r="DJ152" s="231"/>
      <c r="DK152" s="231"/>
      <c r="DL152" s="231"/>
      <c r="DM152" s="231"/>
      <c r="DN152" s="231"/>
      <c r="DO152" s="231"/>
      <c r="DP152" s="231"/>
      <c r="DQ152" s="231"/>
      <c r="DR152" s="231"/>
      <c r="DS152" s="231"/>
      <c r="DT152" s="231"/>
      <c r="DU152" s="231"/>
      <c r="DV152" s="231"/>
      <c r="DW152" s="231"/>
      <c r="YS152" s="38" t="e">
        <f>RIGHT(CONCATENATE(0,#REF!),7)</f>
        <v>#REF!</v>
      </c>
    </row>
    <row r="153" spans="2:669" hidden="1">
      <c r="X153" s="720" t="str">
        <f t="shared" si="25"/>
        <v/>
      </c>
      <c r="AL153" s="231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1"/>
      <c r="BS153" s="231"/>
      <c r="BT153" s="231"/>
      <c r="BU153" s="231"/>
      <c r="BV153" s="222">
        <f t="shared" si="26"/>
        <v>2050</v>
      </c>
      <c r="BW153" s="231"/>
      <c r="BX153" s="231"/>
      <c r="BY153" s="231"/>
      <c r="BZ153" s="231"/>
      <c r="CA153" s="231"/>
      <c r="CB153" s="231"/>
      <c r="CC153" s="231"/>
      <c r="CD153" s="231"/>
      <c r="CE153" s="231"/>
      <c r="CF153" s="231"/>
      <c r="CG153" s="231"/>
      <c r="CH153" s="231"/>
      <c r="CI153" s="231"/>
      <c r="CJ153" s="231"/>
      <c r="CK153" s="231"/>
      <c r="CL153" s="231"/>
      <c r="CM153" s="231"/>
      <c r="CN153" s="231"/>
      <c r="CO153" s="231"/>
      <c r="CP153" s="231"/>
      <c r="CQ153" s="231"/>
      <c r="CR153" s="231"/>
      <c r="CS153" s="231"/>
      <c r="CT153" s="231"/>
      <c r="CU153" s="231"/>
      <c r="CV153" s="231"/>
      <c r="CW153" s="231"/>
      <c r="CX153" s="231"/>
      <c r="CY153" s="231"/>
      <c r="CZ153" s="231"/>
      <c r="DA153" s="231"/>
      <c r="DB153" s="231"/>
      <c r="DC153" s="231"/>
      <c r="DD153" s="231"/>
      <c r="DE153" s="231"/>
      <c r="DF153" s="231"/>
      <c r="DG153" s="231"/>
      <c r="DH153" s="231"/>
      <c r="DI153" s="231"/>
      <c r="DJ153" s="231"/>
      <c r="DK153" s="231"/>
      <c r="DL153" s="231"/>
      <c r="DM153" s="231"/>
      <c r="DN153" s="231"/>
      <c r="DO153" s="231"/>
      <c r="DP153" s="231"/>
      <c r="DQ153" s="231"/>
      <c r="DR153" s="231"/>
      <c r="DS153" s="231"/>
      <c r="DT153" s="231"/>
      <c r="DU153" s="231"/>
      <c r="DV153" s="231"/>
      <c r="DW153" s="231"/>
      <c r="YS153" s="38" t="e">
        <f>RIGHT(CONCATENATE(0,#REF!),7)</f>
        <v>#REF!</v>
      </c>
    </row>
    <row r="154" spans="2:669" hidden="1">
      <c r="AL154" s="231"/>
      <c r="AM154" s="231"/>
      <c r="AN154" s="231"/>
      <c r="AO154" s="231"/>
      <c r="AP154" s="231"/>
      <c r="AQ154" s="231"/>
      <c r="AR154" s="231"/>
      <c r="AS154" s="231"/>
      <c r="AT154" s="231"/>
      <c r="AU154" s="231"/>
      <c r="AV154" s="231"/>
      <c r="AW154" s="231"/>
      <c r="AX154" s="231"/>
      <c r="AY154" s="231"/>
      <c r="AZ154" s="231"/>
      <c r="BA154" s="231"/>
      <c r="BB154" s="231"/>
      <c r="BC154" s="231"/>
      <c r="BD154" s="231"/>
      <c r="BE154" s="231"/>
      <c r="BF154" s="231"/>
      <c r="BG154" s="231"/>
      <c r="BH154" s="231"/>
      <c r="BI154" s="231"/>
      <c r="BJ154" s="231"/>
      <c r="BK154" s="231"/>
      <c r="BL154" s="231"/>
      <c r="BM154" s="231"/>
      <c r="BN154" s="231"/>
      <c r="BO154" s="231"/>
      <c r="BP154" s="231"/>
      <c r="BQ154" s="231"/>
      <c r="BR154" s="231"/>
      <c r="BS154" s="231"/>
      <c r="BT154" s="231"/>
      <c r="BU154" s="231"/>
      <c r="BV154" s="222">
        <f t="shared" si="26"/>
        <v>2051</v>
      </c>
      <c r="BW154" s="231"/>
      <c r="BX154" s="231"/>
      <c r="BY154" s="231"/>
      <c r="BZ154" s="231"/>
      <c r="CA154" s="231"/>
      <c r="CB154" s="231"/>
      <c r="CC154" s="231"/>
      <c r="CD154" s="231"/>
      <c r="CE154" s="231"/>
      <c r="CF154" s="231"/>
      <c r="CG154" s="231"/>
      <c r="CH154" s="231"/>
      <c r="CI154" s="231"/>
      <c r="CJ154" s="231"/>
      <c r="CK154" s="231"/>
      <c r="CL154" s="231"/>
      <c r="CM154" s="231"/>
      <c r="CN154" s="231"/>
      <c r="CO154" s="231"/>
      <c r="CP154" s="231"/>
      <c r="CQ154" s="231"/>
      <c r="CR154" s="231"/>
      <c r="CS154" s="231"/>
      <c r="CT154" s="231"/>
      <c r="CU154" s="231"/>
      <c r="CV154" s="231"/>
      <c r="CW154" s="231"/>
      <c r="CX154" s="231"/>
      <c r="CY154" s="231"/>
      <c r="CZ154" s="231"/>
      <c r="DA154" s="231"/>
      <c r="DB154" s="231"/>
      <c r="DC154" s="231"/>
      <c r="DD154" s="231"/>
      <c r="DE154" s="231"/>
      <c r="DF154" s="231"/>
      <c r="DG154" s="231"/>
      <c r="DH154" s="231"/>
      <c r="DI154" s="231"/>
      <c r="DJ154" s="231"/>
      <c r="DK154" s="231"/>
      <c r="DL154" s="231"/>
      <c r="DM154" s="231"/>
      <c r="DN154" s="231"/>
      <c r="DO154" s="231"/>
      <c r="DP154" s="231"/>
      <c r="DQ154" s="231"/>
      <c r="DR154" s="231"/>
      <c r="DS154" s="231"/>
      <c r="DT154" s="231"/>
      <c r="DU154" s="231"/>
      <c r="DV154" s="231"/>
      <c r="DW154" s="231"/>
      <c r="YS154" s="38" t="e">
        <f>RIGHT(CONCATENATE(0,#REF!),7)</f>
        <v>#REF!</v>
      </c>
    </row>
    <row r="155" spans="2:669" hidden="1">
      <c r="AL155" s="231"/>
      <c r="AM155" s="231"/>
      <c r="AN155" s="231"/>
      <c r="AO155" s="231"/>
      <c r="AP155" s="231"/>
      <c r="AQ155" s="231"/>
      <c r="AR155" s="231"/>
      <c r="AS155" s="231"/>
      <c r="AT155" s="231"/>
      <c r="AU155" s="231"/>
      <c r="AV155" s="231"/>
      <c r="AW155" s="231"/>
      <c r="AX155" s="231"/>
      <c r="AY155" s="231"/>
      <c r="AZ155" s="231"/>
      <c r="BA155" s="231"/>
      <c r="BB155" s="231"/>
      <c r="BC155" s="231"/>
      <c r="BD155" s="231"/>
      <c r="BE155" s="231"/>
      <c r="BF155" s="231"/>
      <c r="BG155" s="231"/>
      <c r="BH155" s="231"/>
      <c r="BI155" s="231"/>
      <c r="BJ155" s="231"/>
      <c r="BK155" s="231"/>
      <c r="BL155" s="231"/>
      <c r="BM155" s="231"/>
      <c r="BN155" s="231"/>
      <c r="BO155" s="231"/>
      <c r="BP155" s="231"/>
      <c r="BQ155" s="231"/>
      <c r="BR155" s="231"/>
      <c r="BS155" s="231"/>
      <c r="BT155" s="231"/>
      <c r="BU155" s="231"/>
      <c r="BV155" s="222">
        <f t="shared" si="26"/>
        <v>2052</v>
      </c>
      <c r="BW155" s="231"/>
      <c r="BX155" s="231"/>
      <c r="BY155" s="231"/>
      <c r="BZ155" s="231"/>
      <c r="CA155" s="231"/>
      <c r="CB155" s="231"/>
      <c r="CC155" s="231"/>
      <c r="CD155" s="231"/>
      <c r="CE155" s="231"/>
      <c r="CF155" s="231"/>
      <c r="CG155" s="231"/>
      <c r="CH155" s="231"/>
      <c r="CI155" s="231"/>
      <c r="CJ155" s="231"/>
      <c r="CK155" s="231"/>
      <c r="CL155" s="231"/>
      <c r="CM155" s="231"/>
      <c r="CN155" s="231"/>
      <c r="CO155" s="231"/>
      <c r="CP155" s="231"/>
      <c r="CQ155" s="231"/>
      <c r="CR155" s="231"/>
      <c r="CS155" s="231"/>
      <c r="CT155" s="231"/>
      <c r="CU155" s="231"/>
      <c r="CV155" s="231"/>
      <c r="CW155" s="231"/>
      <c r="CX155" s="231"/>
      <c r="CY155" s="231"/>
      <c r="CZ155" s="231"/>
      <c r="DA155" s="231"/>
      <c r="DB155" s="231"/>
      <c r="DC155" s="231"/>
      <c r="DD155" s="231"/>
      <c r="DE155" s="231"/>
      <c r="DF155" s="231"/>
      <c r="DG155" s="231"/>
      <c r="DH155" s="231"/>
      <c r="DI155" s="231"/>
      <c r="DJ155" s="231"/>
      <c r="DK155" s="231"/>
      <c r="DL155" s="231"/>
      <c r="DM155" s="231"/>
      <c r="DN155" s="231"/>
      <c r="DO155" s="231"/>
      <c r="DP155" s="231"/>
      <c r="DQ155" s="231"/>
      <c r="DR155" s="231"/>
      <c r="DS155" s="231"/>
      <c r="DT155" s="231"/>
      <c r="DU155" s="231"/>
      <c r="DV155" s="231"/>
      <c r="DW155" s="231"/>
      <c r="YS155" s="38" t="e">
        <f>RIGHT(CONCATENATE(0,#REF!),7)</f>
        <v>#REF!</v>
      </c>
    </row>
    <row r="156" spans="2:669" hidden="1">
      <c r="AL156" s="231"/>
      <c r="AM156" s="231"/>
      <c r="AN156" s="231"/>
      <c r="AO156" s="231"/>
      <c r="AP156" s="231"/>
      <c r="AQ156" s="231"/>
      <c r="AR156" s="231"/>
      <c r="AS156" s="231"/>
      <c r="AT156" s="231"/>
      <c r="AU156" s="231"/>
      <c r="AV156" s="231"/>
      <c r="AW156" s="231"/>
      <c r="AX156" s="231"/>
      <c r="AY156" s="231"/>
      <c r="AZ156" s="231"/>
      <c r="BA156" s="231"/>
      <c r="BB156" s="231"/>
      <c r="BC156" s="231"/>
      <c r="BD156" s="231"/>
      <c r="BE156" s="231"/>
      <c r="BF156" s="231"/>
      <c r="BG156" s="231"/>
      <c r="BH156" s="231"/>
      <c r="BI156" s="231"/>
      <c r="BJ156" s="231"/>
      <c r="BK156" s="231"/>
      <c r="BL156" s="231"/>
      <c r="BM156" s="231"/>
      <c r="BN156" s="231"/>
      <c r="BO156" s="231"/>
      <c r="BP156" s="231"/>
      <c r="BQ156" s="231"/>
      <c r="BR156" s="231"/>
      <c r="BS156" s="231"/>
      <c r="BT156" s="231"/>
      <c r="BU156" s="231"/>
      <c r="BV156" s="222">
        <f t="shared" si="26"/>
        <v>2053</v>
      </c>
      <c r="BW156" s="231"/>
      <c r="BX156" s="231"/>
      <c r="BY156" s="231"/>
      <c r="BZ156" s="231"/>
      <c r="CA156" s="231"/>
      <c r="CB156" s="231"/>
      <c r="CC156" s="231"/>
      <c r="CD156" s="231"/>
      <c r="CE156" s="231"/>
      <c r="CF156" s="231"/>
      <c r="CG156" s="231"/>
      <c r="CH156" s="231"/>
      <c r="CI156" s="231"/>
      <c r="CJ156" s="231"/>
      <c r="CK156" s="231"/>
      <c r="CL156" s="231"/>
      <c r="CM156" s="231"/>
      <c r="CN156" s="231"/>
      <c r="CO156" s="231"/>
      <c r="CP156" s="231"/>
      <c r="CQ156" s="231"/>
      <c r="CR156" s="231"/>
      <c r="CS156" s="231"/>
      <c r="CT156" s="231"/>
      <c r="CU156" s="231"/>
      <c r="CV156" s="231"/>
      <c r="CW156" s="231"/>
      <c r="CX156" s="231"/>
      <c r="CY156" s="231"/>
      <c r="CZ156" s="231"/>
      <c r="DA156" s="231"/>
      <c r="DB156" s="231"/>
      <c r="DC156" s="231"/>
      <c r="DD156" s="231"/>
      <c r="DE156" s="231"/>
      <c r="DF156" s="231"/>
      <c r="DG156" s="231"/>
      <c r="DH156" s="231"/>
      <c r="DI156" s="231"/>
      <c r="DJ156" s="231"/>
      <c r="DK156" s="231"/>
      <c r="DL156" s="231"/>
      <c r="DM156" s="231"/>
      <c r="DN156" s="231"/>
      <c r="DO156" s="231"/>
      <c r="DP156" s="231"/>
      <c r="DQ156" s="231"/>
      <c r="DR156" s="231"/>
      <c r="DS156" s="231"/>
      <c r="DT156" s="231"/>
      <c r="DU156" s="231"/>
      <c r="DV156" s="231"/>
      <c r="DW156" s="231"/>
      <c r="YS156" s="38" t="e">
        <f>RIGHT(CONCATENATE(0,#REF!),7)</f>
        <v>#REF!</v>
      </c>
    </row>
    <row r="157" spans="2:669" hidden="1">
      <c r="AL157" s="231"/>
      <c r="AM157" s="231"/>
      <c r="AN157" s="231"/>
      <c r="AO157" s="231"/>
      <c r="AP157" s="231"/>
      <c r="AQ157" s="231"/>
      <c r="AR157" s="231"/>
      <c r="AS157" s="231"/>
      <c r="AT157" s="231"/>
      <c r="AU157" s="231"/>
      <c r="AV157" s="231"/>
      <c r="AW157" s="231"/>
      <c r="AX157" s="231"/>
      <c r="AY157" s="231"/>
      <c r="AZ157" s="231"/>
      <c r="BA157" s="231"/>
      <c r="BB157" s="231"/>
      <c r="BC157" s="231"/>
      <c r="BD157" s="231"/>
      <c r="BE157" s="231"/>
      <c r="BF157" s="231"/>
      <c r="BG157" s="231"/>
      <c r="BH157" s="231"/>
      <c r="BI157" s="231"/>
      <c r="BJ157" s="231"/>
      <c r="BK157" s="231"/>
      <c r="BL157" s="231"/>
      <c r="BM157" s="231"/>
      <c r="BN157" s="231"/>
      <c r="BO157" s="231"/>
      <c r="BP157" s="231"/>
      <c r="BQ157" s="231"/>
      <c r="BR157" s="231"/>
      <c r="BS157" s="231"/>
      <c r="BT157" s="231"/>
      <c r="BU157" s="231"/>
      <c r="BV157" s="222">
        <f t="shared" si="26"/>
        <v>2054</v>
      </c>
      <c r="BW157" s="231"/>
      <c r="BX157" s="231"/>
      <c r="BY157" s="231"/>
      <c r="BZ157" s="231"/>
      <c r="CA157" s="231"/>
      <c r="CB157" s="231"/>
      <c r="CC157" s="231"/>
      <c r="CD157" s="231"/>
      <c r="CE157" s="231"/>
      <c r="CF157" s="231"/>
      <c r="CG157" s="231"/>
      <c r="CH157" s="231"/>
      <c r="CI157" s="231"/>
      <c r="CJ157" s="231"/>
      <c r="CK157" s="231"/>
      <c r="CL157" s="231"/>
      <c r="CM157" s="231"/>
      <c r="CN157" s="231"/>
      <c r="CO157" s="231"/>
      <c r="CP157" s="231"/>
      <c r="CQ157" s="231"/>
      <c r="CR157" s="231"/>
      <c r="CS157" s="231"/>
      <c r="CT157" s="231"/>
      <c r="CU157" s="231"/>
      <c r="CV157" s="231"/>
      <c r="CW157" s="231"/>
      <c r="CX157" s="231"/>
      <c r="CY157" s="231"/>
      <c r="CZ157" s="231"/>
      <c r="DA157" s="231"/>
      <c r="DB157" s="231"/>
      <c r="DC157" s="231"/>
      <c r="DD157" s="231"/>
      <c r="DE157" s="231"/>
      <c r="DF157" s="231"/>
      <c r="DG157" s="231"/>
      <c r="DH157" s="231"/>
      <c r="DI157" s="231"/>
      <c r="DJ157" s="231"/>
      <c r="DK157" s="231"/>
      <c r="DL157" s="231"/>
      <c r="DM157" s="231"/>
      <c r="DN157" s="231"/>
      <c r="DO157" s="231"/>
      <c r="DP157" s="231"/>
      <c r="DQ157" s="231"/>
      <c r="DR157" s="231"/>
      <c r="DS157" s="231"/>
      <c r="DT157" s="231"/>
      <c r="DU157" s="231"/>
      <c r="DV157" s="231"/>
      <c r="DW157" s="231"/>
      <c r="YS157" s="38" t="e">
        <f>RIGHT(CONCATENATE(0,#REF!),7)</f>
        <v>#REF!</v>
      </c>
    </row>
    <row r="158" spans="2:669" hidden="1">
      <c r="AL158" s="231"/>
      <c r="AM158" s="231"/>
      <c r="AN158" s="231"/>
      <c r="AO158" s="231"/>
      <c r="AP158" s="231"/>
      <c r="AQ158" s="231"/>
      <c r="AR158" s="231"/>
      <c r="AS158" s="231"/>
      <c r="AT158" s="231"/>
      <c r="AU158" s="231"/>
      <c r="AV158" s="231"/>
      <c r="AW158" s="231"/>
      <c r="AX158" s="231"/>
      <c r="AY158" s="231"/>
      <c r="AZ158" s="231"/>
      <c r="BA158" s="231"/>
      <c r="BB158" s="231"/>
      <c r="BC158" s="231"/>
      <c r="BD158" s="231"/>
      <c r="BE158" s="231"/>
      <c r="BF158" s="231"/>
      <c r="BG158" s="231"/>
      <c r="BH158" s="231"/>
      <c r="BI158" s="231"/>
      <c r="BJ158" s="231"/>
      <c r="BK158" s="231"/>
      <c r="BL158" s="231"/>
      <c r="BM158" s="231"/>
      <c r="BN158" s="231"/>
      <c r="BO158" s="231"/>
      <c r="BP158" s="231"/>
      <c r="BQ158" s="231"/>
      <c r="BR158" s="231"/>
      <c r="BS158" s="231"/>
      <c r="BT158" s="231"/>
      <c r="BU158" s="231"/>
      <c r="BV158" s="231"/>
      <c r="BW158" s="231"/>
      <c r="BX158" s="231"/>
      <c r="BY158" s="231"/>
      <c r="BZ158" s="231"/>
      <c r="CA158" s="231"/>
      <c r="CB158" s="231"/>
      <c r="CC158" s="231"/>
      <c r="CD158" s="231"/>
      <c r="CE158" s="231"/>
      <c r="CF158" s="231"/>
      <c r="CG158" s="231"/>
      <c r="CH158" s="231"/>
      <c r="CI158" s="231"/>
      <c r="CJ158" s="231"/>
      <c r="CK158" s="231"/>
      <c r="CL158" s="231"/>
      <c r="CM158" s="231"/>
      <c r="CN158" s="231"/>
      <c r="CO158" s="231"/>
      <c r="CP158" s="231"/>
      <c r="CQ158" s="231"/>
      <c r="CR158" s="231"/>
      <c r="CS158" s="231"/>
      <c r="CT158" s="231"/>
      <c r="CU158" s="231"/>
      <c r="CV158" s="231"/>
      <c r="CW158" s="231"/>
      <c r="CX158" s="231"/>
      <c r="CY158" s="231"/>
      <c r="CZ158" s="231"/>
      <c r="DA158" s="231"/>
      <c r="DB158" s="231"/>
      <c r="DC158" s="231"/>
      <c r="DD158" s="231"/>
      <c r="DE158" s="231"/>
      <c r="DF158" s="231"/>
      <c r="DG158" s="231"/>
      <c r="DH158" s="231"/>
      <c r="DI158" s="231"/>
      <c r="DJ158" s="231"/>
      <c r="DK158" s="231"/>
      <c r="DL158" s="231"/>
      <c r="DM158" s="231"/>
      <c r="DN158" s="231"/>
      <c r="DO158" s="231"/>
      <c r="DP158" s="231"/>
      <c r="DQ158" s="231"/>
      <c r="DR158" s="231"/>
      <c r="DS158" s="231"/>
      <c r="DT158" s="231"/>
      <c r="DU158" s="231"/>
      <c r="DV158" s="231"/>
      <c r="DW158" s="231"/>
      <c r="YS158" s="38" t="e">
        <f>RIGHT(CONCATENATE(0,#REF!),7)</f>
        <v>#REF!</v>
      </c>
    </row>
    <row r="159" spans="2:669" hidden="1">
      <c r="AL159" s="231"/>
      <c r="AM159" s="231"/>
      <c r="AN159" s="231"/>
      <c r="AO159" s="231"/>
      <c r="AP159" s="231"/>
      <c r="AQ159" s="231"/>
      <c r="AR159" s="231"/>
      <c r="AS159" s="231"/>
      <c r="AT159" s="231"/>
      <c r="AU159" s="231"/>
      <c r="AV159" s="231"/>
      <c r="AW159" s="231"/>
      <c r="AX159" s="231"/>
      <c r="AY159" s="231"/>
      <c r="AZ159" s="231"/>
      <c r="BA159" s="231"/>
      <c r="BB159" s="231"/>
      <c r="BC159" s="231"/>
      <c r="BD159" s="231"/>
      <c r="BE159" s="231"/>
      <c r="BF159" s="231"/>
      <c r="BG159" s="231"/>
      <c r="BH159" s="231"/>
      <c r="BI159" s="231"/>
      <c r="BJ159" s="231"/>
      <c r="BK159" s="231"/>
      <c r="BL159" s="231"/>
      <c r="BM159" s="231"/>
      <c r="BN159" s="231"/>
      <c r="BO159" s="231"/>
      <c r="BP159" s="231"/>
      <c r="BQ159" s="231"/>
      <c r="BR159" s="231"/>
      <c r="BS159" s="231"/>
      <c r="BT159" s="231"/>
      <c r="BU159" s="231"/>
      <c r="BV159" s="231"/>
      <c r="BW159" s="231"/>
      <c r="BX159" s="231"/>
      <c r="BY159" s="231"/>
      <c r="BZ159" s="231"/>
      <c r="CA159" s="231"/>
      <c r="CB159" s="231"/>
      <c r="CC159" s="231"/>
      <c r="CD159" s="231"/>
      <c r="CE159" s="231"/>
      <c r="CF159" s="231"/>
      <c r="CG159" s="231"/>
      <c r="CH159" s="231"/>
      <c r="CI159" s="231"/>
      <c r="CJ159" s="231"/>
      <c r="CK159" s="231"/>
      <c r="CL159" s="231"/>
      <c r="CM159" s="231"/>
      <c r="CN159" s="231"/>
      <c r="CO159" s="231"/>
      <c r="CP159" s="231"/>
      <c r="CQ159" s="231"/>
      <c r="CR159" s="231"/>
      <c r="CS159" s="231"/>
      <c r="CT159" s="231"/>
      <c r="CU159" s="231"/>
      <c r="CV159" s="231"/>
      <c r="CW159" s="231"/>
      <c r="CX159" s="231"/>
      <c r="CY159" s="231"/>
      <c r="CZ159" s="231"/>
      <c r="DA159" s="231"/>
      <c r="DB159" s="231"/>
      <c r="DC159" s="231"/>
      <c r="DD159" s="231"/>
      <c r="DE159" s="231"/>
      <c r="DF159" s="231"/>
      <c r="DG159" s="231"/>
      <c r="DH159" s="231"/>
      <c r="DI159" s="231"/>
      <c r="DJ159" s="231"/>
      <c r="DK159" s="231"/>
      <c r="DL159" s="231"/>
      <c r="DM159" s="231"/>
      <c r="DN159" s="231"/>
      <c r="DO159" s="231"/>
      <c r="DP159" s="231"/>
      <c r="DQ159" s="231"/>
      <c r="DR159" s="231"/>
      <c r="DS159" s="231"/>
      <c r="DT159" s="231"/>
      <c r="DU159" s="231"/>
      <c r="DV159" s="231"/>
      <c r="DW159" s="231"/>
      <c r="YS159" s="38" t="e">
        <f>RIGHT(CONCATENATE(0,#REF!),7)</f>
        <v>#REF!</v>
      </c>
    </row>
    <row r="160" spans="2:669" hidden="1">
      <c r="AL160" s="231"/>
      <c r="AM160" s="231"/>
      <c r="AN160" s="231"/>
      <c r="AO160" s="231"/>
      <c r="AP160" s="231"/>
      <c r="AQ160" s="231"/>
      <c r="AR160" s="231"/>
      <c r="AS160" s="231"/>
      <c r="AT160" s="231"/>
      <c r="AU160" s="231"/>
      <c r="AV160" s="231"/>
      <c r="AW160" s="231"/>
      <c r="AX160" s="231"/>
      <c r="AY160" s="231"/>
      <c r="AZ160" s="231"/>
      <c r="BA160" s="231"/>
      <c r="BB160" s="231"/>
      <c r="BC160" s="231"/>
      <c r="BD160" s="231"/>
      <c r="BE160" s="231"/>
      <c r="BF160" s="231"/>
      <c r="BG160" s="231"/>
      <c r="BH160" s="231"/>
      <c r="BI160" s="231"/>
      <c r="BJ160" s="231"/>
      <c r="BK160" s="231"/>
      <c r="BL160" s="231"/>
      <c r="BM160" s="231"/>
      <c r="BN160" s="231"/>
      <c r="BO160" s="231"/>
      <c r="BP160" s="231"/>
      <c r="BQ160" s="231"/>
      <c r="BR160" s="231"/>
      <c r="BS160" s="231"/>
      <c r="BT160" s="231"/>
      <c r="BU160" s="231"/>
      <c r="BV160" s="231"/>
      <c r="BW160" s="231"/>
      <c r="BX160" s="231"/>
      <c r="BY160" s="231"/>
      <c r="BZ160" s="231"/>
      <c r="CA160" s="231"/>
      <c r="CB160" s="231"/>
      <c r="CC160" s="231"/>
      <c r="CD160" s="231"/>
      <c r="CE160" s="231"/>
      <c r="CF160" s="231"/>
      <c r="CG160" s="231"/>
      <c r="CH160" s="231"/>
      <c r="CI160" s="231"/>
      <c r="CJ160" s="231"/>
      <c r="CK160" s="231"/>
      <c r="CL160" s="231"/>
      <c r="CM160" s="231"/>
      <c r="CN160" s="231"/>
      <c r="CO160" s="231"/>
      <c r="CP160" s="231"/>
      <c r="CQ160" s="231"/>
      <c r="CR160" s="231"/>
      <c r="CS160" s="231"/>
      <c r="CT160" s="231"/>
      <c r="CU160" s="231"/>
      <c r="CV160" s="231"/>
      <c r="CW160" s="231"/>
      <c r="CX160" s="231"/>
      <c r="CY160" s="231"/>
      <c r="CZ160" s="231"/>
      <c r="DA160" s="231"/>
      <c r="DB160" s="231"/>
      <c r="DC160" s="231"/>
      <c r="DD160" s="231"/>
      <c r="DE160" s="231"/>
      <c r="DF160" s="231"/>
      <c r="DG160" s="231"/>
      <c r="DH160" s="231"/>
      <c r="DI160" s="231"/>
      <c r="DJ160" s="231"/>
      <c r="DK160" s="231"/>
      <c r="DL160" s="231"/>
      <c r="DM160" s="231"/>
      <c r="DN160" s="231"/>
      <c r="DO160" s="231"/>
      <c r="DP160" s="231"/>
      <c r="DQ160" s="231"/>
      <c r="DR160" s="231"/>
      <c r="DS160" s="231"/>
      <c r="DT160" s="231"/>
      <c r="DU160" s="231"/>
      <c r="DV160" s="231"/>
      <c r="DW160" s="231"/>
      <c r="YS160" s="38" t="e">
        <f>RIGHT(CONCATENATE(0,#REF!),7)</f>
        <v>#REF!</v>
      </c>
    </row>
    <row r="161" spans="38:669" hidden="1">
      <c r="AL161" s="231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1"/>
      <c r="BS161" s="231"/>
      <c r="BT161" s="231"/>
      <c r="BU161" s="231"/>
      <c r="BV161" s="231"/>
      <c r="BW161" s="231"/>
      <c r="BX161" s="231"/>
      <c r="BY161" s="231"/>
      <c r="BZ161" s="231"/>
      <c r="CA161" s="231"/>
      <c r="CB161" s="231"/>
      <c r="CC161" s="231"/>
      <c r="CD161" s="231"/>
      <c r="CE161" s="231"/>
      <c r="CF161" s="231"/>
      <c r="CG161" s="231"/>
      <c r="CH161" s="231"/>
      <c r="CI161" s="231"/>
      <c r="CJ161" s="231"/>
      <c r="CK161" s="231"/>
      <c r="CL161" s="231"/>
      <c r="CM161" s="231"/>
      <c r="CN161" s="231"/>
      <c r="CO161" s="231"/>
      <c r="CP161" s="231"/>
      <c r="CQ161" s="231"/>
      <c r="CR161" s="231"/>
      <c r="CS161" s="231"/>
      <c r="CT161" s="231"/>
      <c r="CU161" s="231"/>
      <c r="CV161" s="231"/>
      <c r="CW161" s="231"/>
      <c r="CX161" s="231"/>
      <c r="CY161" s="231"/>
      <c r="CZ161" s="231"/>
      <c r="DA161" s="231"/>
      <c r="DB161" s="231"/>
      <c r="DC161" s="231"/>
      <c r="DD161" s="231"/>
      <c r="DE161" s="231"/>
      <c r="DF161" s="231"/>
      <c r="DG161" s="231"/>
      <c r="DH161" s="231"/>
      <c r="DI161" s="231"/>
      <c r="DJ161" s="231"/>
      <c r="DK161" s="231"/>
      <c r="DL161" s="231"/>
      <c r="DM161" s="231"/>
      <c r="DN161" s="231"/>
      <c r="DO161" s="231"/>
      <c r="DP161" s="231"/>
      <c r="DQ161" s="231"/>
      <c r="DR161" s="231"/>
      <c r="DS161" s="231"/>
      <c r="DT161" s="231"/>
      <c r="DU161" s="231"/>
      <c r="DV161" s="231"/>
      <c r="DW161" s="231"/>
      <c r="YS161" s="38" t="e">
        <f>RIGHT(CONCATENATE(0,#REF!),7)</f>
        <v>#REF!</v>
      </c>
    </row>
    <row r="162" spans="38:669" hidden="1">
      <c r="AL162" s="231"/>
      <c r="AM162" s="231"/>
      <c r="AN162" s="231"/>
      <c r="AO162" s="231"/>
      <c r="AP162" s="231"/>
      <c r="AQ162" s="231"/>
      <c r="AR162" s="231"/>
      <c r="AS162" s="231"/>
      <c r="AT162" s="231"/>
      <c r="AU162" s="231"/>
      <c r="AV162" s="231"/>
      <c r="AW162" s="231"/>
      <c r="AX162" s="231"/>
      <c r="AY162" s="231"/>
      <c r="AZ162" s="231"/>
      <c r="BA162" s="231"/>
      <c r="BB162" s="231"/>
      <c r="BC162" s="231"/>
      <c r="BD162" s="231"/>
      <c r="BE162" s="231"/>
      <c r="BF162" s="231"/>
      <c r="BG162" s="231"/>
      <c r="BH162" s="231"/>
      <c r="BI162" s="231"/>
      <c r="BJ162" s="231"/>
      <c r="BK162" s="231"/>
      <c r="BL162" s="231"/>
      <c r="BM162" s="231"/>
      <c r="BN162" s="231"/>
      <c r="BO162" s="231"/>
      <c r="BP162" s="231"/>
      <c r="BQ162" s="231"/>
      <c r="BR162" s="231"/>
      <c r="BS162" s="231"/>
      <c r="BT162" s="231"/>
      <c r="BU162" s="231"/>
      <c r="BV162" s="231"/>
      <c r="BW162" s="231"/>
      <c r="BX162" s="231"/>
      <c r="BY162" s="231"/>
      <c r="BZ162" s="231"/>
      <c r="CA162" s="231"/>
      <c r="CB162" s="231"/>
      <c r="CC162" s="231"/>
      <c r="CD162" s="231"/>
      <c r="CE162" s="231"/>
      <c r="CF162" s="231"/>
      <c r="CG162" s="231"/>
      <c r="CH162" s="231"/>
      <c r="CI162" s="231"/>
      <c r="CJ162" s="231"/>
      <c r="CK162" s="231"/>
      <c r="CL162" s="231"/>
      <c r="CM162" s="231"/>
      <c r="CN162" s="231"/>
      <c r="CO162" s="231"/>
      <c r="CP162" s="231"/>
      <c r="CQ162" s="231"/>
      <c r="CR162" s="231"/>
      <c r="CS162" s="231"/>
      <c r="CT162" s="231"/>
      <c r="CU162" s="231"/>
      <c r="CV162" s="231"/>
      <c r="CW162" s="231"/>
      <c r="CX162" s="231"/>
      <c r="CY162" s="231"/>
      <c r="CZ162" s="231"/>
      <c r="DA162" s="231"/>
      <c r="DB162" s="231"/>
      <c r="DC162" s="231"/>
      <c r="DD162" s="231"/>
      <c r="DE162" s="231"/>
      <c r="DF162" s="231"/>
      <c r="DG162" s="231"/>
      <c r="DH162" s="231"/>
      <c r="DI162" s="231"/>
      <c r="DJ162" s="231"/>
      <c r="DK162" s="231"/>
      <c r="DL162" s="231"/>
      <c r="DM162" s="231"/>
      <c r="DN162" s="231"/>
      <c r="DO162" s="231"/>
      <c r="DP162" s="231"/>
      <c r="DQ162" s="231"/>
      <c r="DR162" s="231"/>
      <c r="DS162" s="231"/>
      <c r="DT162" s="231"/>
      <c r="DU162" s="231"/>
      <c r="DV162" s="231"/>
      <c r="DW162" s="231"/>
      <c r="YS162" s="38" t="e">
        <f>RIGHT(CONCATENATE(0,#REF!),7)</f>
        <v>#REF!</v>
      </c>
    </row>
    <row r="163" spans="38:669" hidden="1">
      <c r="AL163" s="231"/>
      <c r="AM163" s="231"/>
      <c r="AN163" s="231"/>
      <c r="AO163" s="231"/>
      <c r="AP163" s="231"/>
      <c r="AQ163" s="231"/>
      <c r="AR163" s="231"/>
      <c r="AS163" s="231"/>
      <c r="AT163" s="231"/>
      <c r="AU163" s="231"/>
      <c r="AV163" s="231"/>
      <c r="AW163" s="231"/>
      <c r="AX163" s="231"/>
      <c r="AY163" s="231"/>
      <c r="AZ163" s="231"/>
      <c r="BA163" s="231"/>
      <c r="BB163" s="231"/>
      <c r="BC163" s="231"/>
      <c r="BD163" s="231"/>
      <c r="BE163" s="231"/>
      <c r="BF163" s="231"/>
      <c r="BG163" s="231"/>
      <c r="BH163" s="231"/>
      <c r="BI163" s="231"/>
      <c r="BJ163" s="231"/>
      <c r="BK163" s="231"/>
      <c r="BL163" s="231"/>
      <c r="BM163" s="231"/>
      <c r="BN163" s="231"/>
      <c r="BO163" s="231"/>
      <c r="BP163" s="231"/>
      <c r="BQ163" s="231"/>
      <c r="BR163" s="231"/>
      <c r="BS163" s="231"/>
      <c r="BT163" s="231"/>
      <c r="BU163" s="231"/>
      <c r="BV163" s="231"/>
      <c r="BW163" s="231"/>
      <c r="BX163" s="231"/>
      <c r="BY163" s="231"/>
      <c r="BZ163" s="231"/>
      <c r="CA163" s="231"/>
      <c r="CB163" s="231"/>
      <c r="CC163" s="231"/>
      <c r="CD163" s="231"/>
      <c r="CE163" s="231"/>
      <c r="CF163" s="231"/>
      <c r="CG163" s="231"/>
      <c r="CH163" s="231"/>
      <c r="CI163" s="231"/>
      <c r="CJ163" s="231"/>
      <c r="CK163" s="231"/>
      <c r="CL163" s="231"/>
      <c r="CM163" s="231"/>
      <c r="CN163" s="231"/>
      <c r="CO163" s="231"/>
      <c r="CP163" s="231"/>
      <c r="CQ163" s="231"/>
      <c r="CR163" s="231"/>
      <c r="CS163" s="231"/>
      <c r="CT163" s="231"/>
      <c r="CU163" s="231"/>
      <c r="CV163" s="231"/>
      <c r="CW163" s="231"/>
      <c r="CX163" s="231"/>
      <c r="CY163" s="231"/>
      <c r="CZ163" s="231"/>
      <c r="DA163" s="231"/>
      <c r="DB163" s="231"/>
      <c r="DC163" s="231"/>
      <c r="DD163" s="231"/>
      <c r="DE163" s="231"/>
      <c r="DF163" s="231"/>
      <c r="DG163" s="231"/>
      <c r="DH163" s="231"/>
      <c r="DI163" s="231"/>
      <c r="DJ163" s="231"/>
      <c r="DK163" s="231"/>
      <c r="DL163" s="231"/>
      <c r="DM163" s="231"/>
      <c r="DN163" s="231"/>
      <c r="DO163" s="231"/>
      <c r="DP163" s="231"/>
      <c r="DQ163" s="231"/>
      <c r="DR163" s="231"/>
      <c r="DS163" s="231"/>
      <c r="DT163" s="231"/>
      <c r="DU163" s="231"/>
      <c r="DV163" s="231"/>
      <c r="DW163" s="231"/>
      <c r="YS163" s="38" t="e">
        <f>RIGHT(CONCATENATE(0,#REF!),7)</f>
        <v>#REF!</v>
      </c>
    </row>
    <row r="164" spans="38:669" hidden="1">
      <c r="AL164" s="231"/>
      <c r="AM164" s="231"/>
      <c r="AN164" s="231"/>
      <c r="AO164" s="231"/>
      <c r="AP164" s="231"/>
      <c r="AQ164" s="231"/>
      <c r="AR164" s="231"/>
      <c r="AS164" s="231"/>
      <c r="AT164" s="231"/>
      <c r="AU164" s="231"/>
      <c r="AV164" s="231"/>
      <c r="AW164" s="231"/>
      <c r="AX164" s="231"/>
      <c r="AY164" s="231"/>
      <c r="AZ164" s="231"/>
      <c r="BA164" s="231"/>
      <c r="BB164" s="231"/>
      <c r="BC164" s="231"/>
      <c r="BD164" s="231"/>
      <c r="BE164" s="231"/>
      <c r="BF164" s="231"/>
      <c r="BG164" s="231"/>
      <c r="BH164" s="231"/>
      <c r="BI164" s="231"/>
      <c r="BJ164" s="231"/>
      <c r="BK164" s="231"/>
      <c r="BL164" s="231"/>
      <c r="BM164" s="231"/>
      <c r="BN164" s="231"/>
      <c r="BO164" s="231"/>
      <c r="BP164" s="231"/>
      <c r="BQ164" s="231"/>
      <c r="BR164" s="231"/>
      <c r="BS164" s="231"/>
      <c r="BT164" s="231"/>
      <c r="BU164" s="231"/>
      <c r="BV164" s="231"/>
      <c r="BW164" s="231"/>
      <c r="BX164" s="231"/>
      <c r="BY164" s="231"/>
      <c r="BZ164" s="231"/>
      <c r="CA164" s="231"/>
      <c r="CB164" s="231"/>
      <c r="CC164" s="231"/>
      <c r="CD164" s="231"/>
      <c r="CE164" s="231"/>
      <c r="CF164" s="231"/>
      <c r="CG164" s="231"/>
      <c r="CH164" s="231"/>
      <c r="CI164" s="231"/>
      <c r="CJ164" s="231"/>
      <c r="CK164" s="231"/>
      <c r="CL164" s="231"/>
      <c r="CM164" s="231"/>
      <c r="CN164" s="231"/>
      <c r="CO164" s="231"/>
      <c r="CP164" s="231"/>
      <c r="CQ164" s="231"/>
      <c r="CR164" s="231"/>
      <c r="CS164" s="231"/>
      <c r="CT164" s="231"/>
      <c r="CU164" s="231"/>
      <c r="CV164" s="231"/>
      <c r="CW164" s="231"/>
      <c r="CX164" s="231"/>
      <c r="CY164" s="231"/>
      <c r="CZ164" s="231"/>
      <c r="DA164" s="231"/>
      <c r="DB164" s="231"/>
      <c r="DC164" s="231"/>
      <c r="DD164" s="231"/>
      <c r="DE164" s="231"/>
      <c r="DF164" s="231"/>
      <c r="DG164" s="231"/>
      <c r="DH164" s="231"/>
      <c r="DI164" s="231"/>
      <c r="DJ164" s="231"/>
      <c r="DK164" s="231"/>
      <c r="DL164" s="231"/>
      <c r="DM164" s="231"/>
      <c r="DN164" s="231"/>
      <c r="DO164" s="231"/>
      <c r="DP164" s="231"/>
      <c r="DQ164" s="231"/>
      <c r="DR164" s="231"/>
      <c r="DS164" s="231"/>
      <c r="DT164" s="231"/>
      <c r="DU164" s="231"/>
      <c r="DV164" s="231"/>
      <c r="DW164" s="231"/>
      <c r="YS164" s="38" t="e">
        <f>RIGHT(CONCATENATE(0,#REF!),7)</f>
        <v>#REF!</v>
      </c>
    </row>
    <row r="165" spans="38:669" hidden="1">
      <c r="AL165" s="231"/>
      <c r="AM165" s="231"/>
      <c r="AN165" s="231"/>
      <c r="AO165" s="231"/>
      <c r="AP165" s="231"/>
      <c r="AQ165" s="231"/>
      <c r="AR165" s="231"/>
      <c r="AS165" s="231"/>
      <c r="AT165" s="231"/>
      <c r="AU165" s="231"/>
      <c r="AV165" s="231"/>
      <c r="AW165" s="231"/>
      <c r="AX165" s="231"/>
      <c r="AY165" s="231"/>
      <c r="AZ165" s="231"/>
      <c r="BA165" s="231"/>
      <c r="BB165" s="231"/>
      <c r="BC165" s="231"/>
      <c r="BD165" s="231"/>
      <c r="BE165" s="231"/>
      <c r="BF165" s="231"/>
      <c r="BG165" s="231"/>
      <c r="BH165" s="231"/>
      <c r="BI165" s="231"/>
      <c r="BJ165" s="231"/>
      <c r="BK165" s="231"/>
      <c r="BL165" s="231"/>
      <c r="BM165" s="231"/>
      <c r="BN165" s="231"/>
      <c r="BO165" s="231"/>
      <c r="BP165" s="231"/>
      <c r="BQ165" s="231"/>
      <c r="BR165" s="231"/>
      <c r="BS165" s="231"/>
      <c r="BT165" s="231"/>
      <c r="BU165" s="231"/>
      <c r="BV165" s="231"/>
      <c r="BW165" s="231"/>
      <c r="BX165" s="231"/>
      <c r="BY165" s="231"/>
      <c r="BZ165" s="231"/>
      <c r="CA165" s="231"/>
      <c r="CB165" s="231"/>
      <c r="CC165" s="231"/>
      <c r="CD165" s="231"/>
      <c r="CE165" s="231"/>
      <c r="CF165" s="231"/>
      <c r="CG165" s="231"/>
      <c r="CH165" s="231"/>
      <c r="CI165" s="231"/>
      <c r="CJ165" s="231"/>
      <c r="CK165" s="231"/>
      <c r="CL165" s="231"/>
      <c r="CM165" s="231"/>
      <c r="CN165" s="231"/>
      <c r="CO165" s="231"/>
      <c r="CP165" s="231"/>
      <c r="CQ165" s="231"/>
      <c r="CR165" s="231"/>
      <c r="CS165" s="231"/>
      <c r="CT165" s="231"/>
      <c r="CU165" s="231"/>
      <c r="CV165" s="231"/>
      <c r="CW165" s="231"/>
      <c r="CX165" s="231"/>
      <c r="CY165" s="231"/>
      <c r="CZ165" s="231"/>
      <c r="DA165" s="231"/>
      <c r="DB165" s="231"/>
      <c r="DC165" s="231"/>
      <c r="DD165" s="231"/>
      <c r="DE165" s="231"/>
      <c r="DF165" s="231"/>
      <c r="DG165" s="231"/>
      <c r="DH165" s="231"/>
      <c r="DI165" s="231"/>
      <c r="DJ165" s="231"/>
      <c r="DK165" s="231"/>
      <c r="DL165" s="231"/>
      <c r="DM165" s="231"/>
      <c r="DN165" s="231"/>
      <c r="DO165" s="231"/>
      <c r="DP165" s="231"/>
      <c r="DQ165" s="231"/>
      <c r="DR165" s="231"/>
      <c r="DS165" s="231"/>
      <c r="DT165" s="231"/>
      <c r="DU165" s="231"/>
      <c r="DV165" s="231"/>
      <c r="DW165" s="231"/>
      <c r="YS165" s="38" t="e">
        <f>RIGHT(CONCATENATE(0,#REF!),7)</f>
        <v>#REF!</v>
      </c>
    </row>
    <row r="166" spans="38:669" hidden="1">
      <c r="AL166" s="231"/>
      <c r="AM166" s="231"/>
      <c r="AN166" s="231"/>
      <c r="AO166" s="231"/>
      <c r="AP166" s="231"/>
      <c r="AQ166" s="231"/>
      <c r="AR166" s="231"/>
      <c r="AS166" s="231"/>
      <c r="AT166" s="231"/>
      <c r="AU166" s="231"/>
      <c r="AV166" s="231"/>
      <c r="AW166" s="231"/>
      <c r="AX166" s="231"/>
      <c r="AY166" s="231"/>
      <c r="AZ166" s="231"/>
      <c r="BA166" s="231"/>
      <c r="BB166" s="231"/>
      <c r="BC166" s="231"/>
      <c r="BD166" s="231"/>
      <c r="BE166" s="231"/>
      <c r="BF166" s="231"/>
      <c r="BG166" s="231"/>
      <c r="BH166" s="231"/>
      <c r="BI166" s="231"/>
      <c r="BJ166" s="231"/>
      <c r="BK166" s="231"/>
      <c r="BL166" s="231"/>
      <c r="BM166" s="231"/>
      <c r="BN166" s="231"/>
      <c r="BO166" s="231"/>
      <c r="BP166" s="231"/>
      <c r="BQ166" s="231"/>
      <c r="BR166" s="231"/>
      <c r="BS166" s="231"/>
      <c r="BT166" s="231"/>
      <c r="BU166" s="231"/>
      <c r="BV166" s="231"/>
      <c r="BW166" s="231"/>
      <c r="BX166" s="231"/>
      <c r="BY166" s="231"/>
      <c r="BZ166" s="231"/>
      <c r="CA166" s="231"/>
      <c r="CB166" s="231"/>
      <c r="CC166" s="231"/>
      <c r="CD166" s="231"/>
      <c r="CE166" s="231"/>
      <c r="CF166" s="231"/>
      <c r="CG166" s="231"/>
      <c r="CH166" s="231"/>
      <c r="CI166" s="231"/>
      <c r="CJ166" s="231"/>
      <c r="CK166" s="231"/>
      <c r="CL166" s="231"/>
      <c r="CM166" s="231"/>
      <c r="CN166" s="231"/>
      <c r="CO166" s="231"/>
      <c r="CP166" s="231"/>
      <c r="CQ166" s="231"/>
      <c r="CR166" s="231"/>
      <c r="CS166" s="231"/>
      <c r="CT166" s="231"/>
      <c r="CU166" s="231"/>
      <c r="CV166" s="231"/>
      <c r="CW166" s="231"/>
      <c r="CX166" s="231"/>
      <c r="CY166" s="231"/>
      <c r="CZ166" s="231"/>
      <c r="DA166" s="231"/>
      <c r="DB166" s="231"/>
      <c r="DC166" s="231"/>
      <c r="DD166" s="231"/>
      <c r="DE166" s="231"/>
      <c r="DF166" s="231"/>
      <c r="DG166" s="231"/>
      <c r="DH166" s="231"/>
      <c r="DI166" s="231"/>
      <c r="DJ166" s="231"/>
      <c r="DK166" s="231"/>
      <c r="DL166" s="231"/>
      <c r="DM166" s="231"/>
      <c r="DN166" s="231"/>
      <c r="DO166" s="231"/>
      <c r="DP166" s="231"/>
      <c r="DQ166" s="231"/>
      <c r="DR166" s="231"/>
      <c r="DS166" s="231"/>
      <c r="DT166" s="231"/>
      <c r="DU166" s="231"/>
      <c r="DV166" s="231"/>
      <c r="DW166" s="231"/>
      <c r="YS166" s="38" t="e">
        <f>RIGHT(CONCATENATE(0,#REF!),7)</f>
        <v>#REF!</v>
      </c>
    </row>
    <row r="167" spans="38:669" hidden="1">
      <c r="AL167" s="231"/>
      <c r="AM167" s="231"/>
      <c r="AN167" s="231"/>
      <c r="AO167" s="231"/>
      <c r="AP167" s="231"/>
      <c r="AQ167" s="231"/>
      <c r="AR167" s="231"/>
      <c r="AS167" s="231"/>
      <c r="AT167" s="231"/>
      <c r="AU167" s="231"/>
      <c r="AV167" s="231"/>
      <c r="AW167" s="231"/>
      <c r="AX167" s="231"/>
      <c r="AY167" s="231"/>
      <c r="AZ167" s="231"/>
      <c r="BA167" s="231"/>
      <c r="BB167" s="231"/>
      <c r="BC167" s="231"/>
      <c r="BD167" s="231"/>
      <c r="BE167" s="231"/>
      <c r="BF167" s="231"/>
      <c r="BG167" s="231"/>
      <c r="BH167" s="231"/>
      <c r="BI167" s="231"/>
      <c r="BJ167" s="231"/>
      <c r="BK167" s="231"/>
      <c r="BL167" s="231"/>
      <c r="BM167" s="231"/>
      <c r="BN167" s="231"/>
      <c r="BO167" s="231"/>
      <c r="BP167" s="231"/>
      <c r="BQ167" s="231"/>
      <c r="BR167" s="231"/>
      <c r="BS167" s="231"/>
      <c r="BT167" s="231"/>
      <c r="BU167" s="231"/>
      <c r="BV167" s="231"/>
      <c r="BW167" s="231"/>
      <c r="BX167" s="231"/>
      <c r="BY167" s="231"/>
      <c r="BZ167" s="231"/>
      <c r="CA167" s="231"/>
      <c r="CB167" s="231"/>
      <c r="CC167" s="231"/>
      <c r="CD167" s="231"/>
      <c r="CE167" s="231"/>
      <c r="CF167" s="231"/>
      <c r="CG167" s="231"/>
      <c r="CH167" s="231"/>
      <c r="CI167" s="231"/>
      <c r="CJ167" s="231"/>
      <c r="CK167" s="231"/>
      <c r="CL167" s="231"/>
      <c r="CM167" s="231"/>
      <c r="CN167" s="231"/>
      <c r="CO167" s="231"/>
      <c r="CP167" s="231"/>
      <c r="CQ167" s="231"/>
      <c r="CR167" s="231"/>
      <c r="CS167" s="231"/>
      <c r="CT167" s="231"/>
      <c r="CU167" s="231"/>
      <c r="CV167" s="231"/>
      <c r="CW167" s="231"/>
      <c r="CX167" s="231"/>
      <c r="CY167" s="231"/>
      <c r="CZ167" s="231"/>
      <c r="DA167" s="231"/>
      <c r="DB167" s="231"/>
      <c r="DC167" s="231"/>
      <c r="DD167" s="231"/>
      <c r="DE167" s="231"/>
      <c r="DF167" s="231"/>
      <c r="DG167" s="231"/>
      <c r="DH167" s="231"/>
      <c r="DI167" s="231"/>
      <c r="DJ167" s="231"/>
      <c r="DK167" s="231"/>
      <c r="DL167" s="231"/>
      <c r="DM167" s="231"/>
      <c r="DN167" s="231"/>
      <c r="DO167" s="231"/>
      <c r="DP167" s="231"/>
      <c r="DQ167" s="231"/>
      <c r="DR167" s="231"/>
      <c r="DS167" s="231"/>
      <c r="DT167" s="231"/>
      <c r="DU167" s="231"/>
      <c r="DV167" s="231"/>
      <c r="DW167" s="231"/>
      <c r="YS167" s="38" t="e">
        <f>RIGHT(CONCATENATE(0,#REF!),7)</f>
        <v>#REF!</v>
      </c>
    </row>
    <row r="168" spans="38:669" hidden="1">
      <c r="AL168" s="231"/>
      <c r="AM168" s="231"/>
      <c r="AN168" s="231"/>
      <c r="AO168" s="231"/>
      <c r="AP168" s="231"/>
      <c r="AQ168" s="231"/>
      <c r="AR168" s="231"/>
      <c r="AS168" s="231"/>
      <c r="AT168" s="231"/>
      <c r="AU168" s="231"/>
      <c r="AV168" s="231"/>
      <c r="AW168" s="231"/>
      <c r="AX168" s="231"/>
      <c r="AY168" s="231"/>
      <c r="AZ168" s="231"/>
      <c r="BA168" s="231"/>
      <c r="BB168" s="231"/>
      <c r="BC168" s="231"/>
      <c r="BD168" s="231"/>
      <c r="BE168" s="231"/>
      <c r="BF168" s="231"/>
      <c r="BG168" s="231"/>
      <c r="BH168" s="231"/>
      <c r="BI168" s="231"/>
      <c r="BJ168" s="231"/>
      <c r="BK168" s="231"/>
      <c r="BL168" s="231"/>
      <c r="BM168" s="231"/>
      <c r="BN168" s="231"/>
      <c r="BO168" s="231"/>
      <c r="BP168" s="231"/>
      <c r="BQ168" s="231"/>
      <c r="BR168" s="231"/>
      <c r="BS168" s="231"/>
      <c r="BT168" s="231"/>
      <c r="BU168" s="231"/>
      <c r="BV168" s="231"/>
      <c r="BW168" s="231"/>
      <c r="BX168" s="231"/>
      <c r="BY168" s="231"/>
      <c r="BZ168" s="231"/>
      <c r="CA168" s="231"/>
      <c r="CB168" s="231"/>
      <c r="CC168" s="231"/>
      <c r="CD168" s="231"/>
      <c r="CE168" s="231"/>
      <c r="CF168" s="231"/>
      <c r="CG168" s="231"/>
      <c r="CH168" s="231"/>
      <c r="CI168" s="231"/>
      <c r="CJ168" s="231"/>
      <c r="CK168" s="231"/>
      <c r="CL168" s="231"/>
      <c r="CM168" s="231"/>
      <c r="CN168" s="231"/>
      <c r="CO168" s="231"/>
      <c r="CP168" s="231"/>
      <c r="CQ168" s="231"/>
      <c r="CR168" s="231"/>
      <c r="CS168" s="231"/>
      <c r="CT168" s="231"/>
      <c r="CU168" s="231"/>
      <c r="CV168" s="231"/>
      <c r="CW168" s="231"/>
      <c r="CX168" s="231"/>
      <c r="CY168" s="231"/>
      <c r="CZ168" s="231"/>
      <c r="DA168" s="231"/>
      <c r="DB168" s="231"/>
      <c r="DC168" s="231"/>
      <c r="DD168" s="231"/>
      <c r="DE168" s="231"/>
      <c r="DF168" s="231"/>
      <c r="DG168" s="231"/>
      <c r="DH168" s="231"/>
      <c r="DI168" s="231"/>
      <c r="DJ168" s="231"/>
      <c r="DK168" s="231"/>
      <c r="DL168" s="231"/>
      <c r="DM168" s="231"/>
      <c r="DN168" s="231"/>
      <c r="DO168" s="231"/>
      <c r="DP168" s="231"/>
      <c r="DQ168" s="231"/>
      <c r="DR168" s="231"/>
      <c r="DS168" s="231"/>
      <c r="DT168" s="231"/>
      <c r="DU168" s="231"/>
      <c r="DV168" s="231"/>
      <c r="DW168" s="231"/>
      <c r="YS168" s="38" t="e">
        <f>RIGHT(CONCATENATE(0,#REF!),7)</f>
        <v>#REF!</v>
      </c>
    </row>
    <row r="169" spans="38:669" hidden="1">
      <c r="AL169" s="231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1"/>
      <c r="BS169" s="231"/>
      <c r="BT169" s="231"/>
      <c r="BU169" s="231"/>
      <c r="BV169" s="231"/>
      <c r="BW169" s="231"/>
      <c r="BX169" s="231"/>
      <c r="BY169" s="231"/>
      <c r="BZ169" s="231"/>
      <c r="CA169" s="231"/>
      <c r="CB169" s="231"/>
      <c r="CC169" s="231"/>
      <c r="CD169" s="231"/>
      <c r="CE169" s="231"/>
      <c r="CF169" s="231"/>
      <c r="CG169" s="231"/>
      <c r="CH169" s="231"/>
      <c r="CI169" s="231"/>
      <c r="CJ169" s="231"/>
      <c r="CK169" s="231"/>
      <c r="CL169" s="231"/>
      <c r="CM169" s="231"/>
      <c r="CN169" s="231"/>
      <c r="CO169" s="231"/>
      <c r="CP169" s="231"/>
      <c r="CQ169" s="231"/>
      <c r="CR169" s="231"/>
      <c r="CS169" s="231"/>
      <c r="CT169" s="231"/>
      <c r="CU169" s="231"/>
      <c r="CV169" s="231"/>
      <c r="CW169" s="231"/>
      <c r="CX169" s="231"/>
      <c r="CY169" s="231"/>
      <c r="CZ169" s="231"/>
      <c r="DA169" s="231"/>
      <c r="DB169" s="231"/>
      <c r="DC169" s="231"/>
      <c r="DD169" s="231"/>
      <c r="DE169" s="231"/>
      <c r="DF169" s="231"/>
      <c r="DG169" s="231"/>
      <c r="DH169" s="231"/>
      <c r="DI169" s="231"/>
      <c r="DJ169" s="231"/>
      <c r="DK169" s="231"/>
      <c r="DL169" s="231"/>
      <c r="DM169" s="231"/>
      <c r="DN169" s="231"/>
      <c r="DO169" s="231"/>
      <c r="DP169" s="231"/>
      <c r="DQ169" s="231"/>
      <c r="DR169" s="231"/>
      <c r="DS169" s="231"/>
      <c r="DT169" s="231"/>
      <c r="DU169" s="231"/>
      <c r="DV169" s="231"/>
      <c r="DW169" s="231"/>
      <c r="YS169" s="38" t="e">
        <f>RIGHT(CONCATENATE(0,#REF!),7)</f>
        <v>#REF!</v>
      </c>
    </row>
    <row r="170" spans="38:669" hidden="1">
      <c r="AL170" s="231"/>
      <c r="AM170" s="231"/>
      <c r="AN170" s="231"/>
      <c r="AO170" s="231"/>
      <c r="AP170" s="231"/>
      <c r="AQ170" s="231"/>
      <c r="AR170" s="231"/>
      <c r="AS170" s="231"/>
      <c r="AT170" s="231"/>
      <c r="AU170" s="231"/>
      <c r="AV170" s="231"/>
      <c r="AW170" s="231"/>
      <c r="AX170" s="231"/>
      <c r="AY170" s="231"/>
      <c r="AZ170" s="231"/>
      <c r="BA170" s="231"/>
      <c r="BB170" s="231"/>
      <c r="BC170" s="231"/>
      <c r="BD170" s="231"/>
      <c r="BE170" s="231"/>
      <c r="BF170" s="231"/>
      <c r="BG170" s="231"/>
      <c r="BH170" s="231"/>
      <c r="BI170" s="231"/>
      <c r="BJ170" s="231"/>
      <c r="BK170" s="231"/>
      <c r="BL170" s="231"/>
      <c r="BM170" s="231"/>
      <c r="BN170" s="231"/>
      <c r="BO170" s="231"/>
      <c r="BP170" s="231"/>
      <c r="BQ170" s="231"/>
      <c r="BR170" s="231"/>
      <c r="BS170" s="231"/>
      <c r="BT170" s="231"/>
      <c r="BU170" s="231"/>
      <c r="BV170" s="231"/>
      <c r="BW170" s="231"/>
      <c r="BX170" s="231"/>
      <c r="BY170" s="231"/>
      <c r="BZ170" s="231"/>
      <c r="CA170" s="231"/>
      <c r="CB170" s="231"/>
      <c r="CC170" s="231"/>
      <c r="CD170" s="231"/>
      <c r="CE170" s="231"/>
      <c r="CF170" s="231"/>
      <c r="CG170" s="231"/>
      <c r="CH170" s="231"/>
      <c r="CI170" s="231"/>
      <c r="CJ170" s="231"/>
      <c r="CK170" s="231"/>
      <c r="CL170" s="231"/>
      <c r="CM170" s="231"/>
      <c r="CN170" s="231"/>
      <c r="CO170" s="231"/>
      <c r="CP170" s="231"/>
      <c r="CQ170" s="231"/>
      <c r="CR170" s="231"/>
      <c r="CS170" s="231"/>
      <c r="CT170" s="231"/>
      <c r="CU170" s="231"/>
      <c r="CV170" s="231"/>
      <c r="CW170" s="231"/>
      <c r="CX170" s="231"/>
      <c r="CY170" s="231"/>
      <c r="CZ170" s="231"/>
      <c r="DA170" s="231"/>
      <c r="DB170" s="231"/>
      <c r="DC170" s="231"/>
      <c r="DD170" s="231"/>
      <c r="DE170" s="231"/>
      <c r="DF170" s="231"/>
      <c r="DG170" s="231"/>
      <c r="DH170" s="231"/>
      <c r="DI170" s="231"/>
      <c r="DJ170" s="231"/>
      <c r="DK170" s="231"/>
      <c r="DL170" s="231"/>
      <c r="DM170" s="231"/>
      <c r="DN170" s="231"/>
      <c r="DO170" s="231"/>
      <c r="DP170" s="231"/>
      <c r="DQ170" s="231"/>
      <c r="DR170" s="231"/>
      <c r="DS170" s="231"/>
      <c r="DT170" s="231"/>
      <c r="DU170" s="231"/>
      <c r="DV170" s="231"/>
      <c r="DW170" s="231"/>
      <c r="YS170" s="38" t="e">
        <f>RIGHT(CONCATENATE(0,#REF!),7)</f>
        <v>#REF!</v>
      </c>
    </row>
    <row r="171" spans="38:669" hidden="1">
      <c r="AL171" s="231"/>
      <c r="AM171" s="231"/>
      <c r="AN171" s="231"/>
      <c r="AO171" s="231"/>
      <c r="AP171" s="231"/>
      <c r="AQ171" s="231"/>
      <c r="AR171" s="231"/>
      <c r="AS171" s="231"/>
      <c r="AT171" s="231"/>
      <c r="AU171" s="231"/>
      <c r="AV171" s="231"/>
      <c r="AW171" s="231"/>
      <c r="AX171" s="231"/>
      <c r="AY171" s="231"/>
      <c r="AZ171" s="231"/>
      <c r="BA171" s="231"/>
      <c r="BB171" s="231"/>
      <c r="BC171" s="231"/>
      <c r="BD171" s="231"/>
      <c r="BE171" s="231"/>
      <c r="BF171" s="231"/>
      <c r="BG171" s="231"/>
      <c r="BH171" s="231"/>
      <c r="BI171" s="231"/>
      <c r="BJ171" s="231"/>
      <c r="BK171" s="231"/>
      <c r="BL171" s="231"/>
      <c r="BM171" s="231"/>
      <c r="BN171" s="231"/>
      <c r="BO171" s="231"/>
      <c r="BP171" s="231"/>
      <c r="BQ171" s="231"/>
      <c r="BR171" s="231"/>
      <c r="BS171" s="231"/>
      <c r="BT171" s="231"/>
      <c r="BU171" s="231"/>
      <c r="BV171" s="231"/>
      <c r="BW171" s="231"/>
      <c r="BX171" s="231"/>
      <c r="BY171" s="231"/>
      <c r="BZ171" s="231"/>
      <c r="CA171" s="231"/>
      <c r="CB171" s="231"/>
      <c r="CC171" s="231"/>
      <c r="CD171" s="231"/>
      <c r="CE171" s="231"/>
      <c r="CF171" s="231"/>
      <c r="CG171" s="231"/>
      <c r="CH171" s="231"/>
      <c r="CI171" s="231"/>
      <c r="CJ171" s="231"/>
      <c r="CK171" s="231"/>
      <c r="CL171" s="231"/>
      <c r="CM171" s="231"/>
      <c r="CN171" s="231"/>
      <c r="CO171" s="231"/>
      <c r="CP171" s="231"/>
      <c r="CQ171" s="231"/>
      <c r="CR171" s="231"/>
      <c r="CS171" s="231"/>
      <c r="CT171" s="231"/>
      <c r="CU171" s="231"/>
      <c r="CV171" s="231"/>
      <c r="CW171" s="231"/>
      <c r="CX171" s="231"/>
      <c r="CY171" s="231"/>
      <c r="CZ171" s="231"/>
      <c r="DA171" s="231"/>
      <c r="DB171" s="231"/>
      <c r="DC171" s="231"/>
      <c r="DD171" s="231"/>
      <c r="DE171" s="231"/>
      <c r="DF171" s="231"/>
      <c r="DG171" s="231"/>
      <c r="DH171" s="231"/>
      <c r="DI171" s="231"/>
      <c r="DJ171" s="231"/>
      <c r="DK171" s="231"/>
      <c r="DL171" s="231"/>
      <c r="DM171" s="231"/>
      <c r="DN171" s="231"/>
      <c r="DO171" s="231"/>
      <c r="DP171" s="231"/>
      <c r="DQ171" s="231"/>
      <c r="DR171" s="231"/>
      <c r="DS171" s="231"/>
      <c r="DT171" s="231"/>
      <c r="DU171" s="231"/>
      <c r="DV171" s="231"/>
      <c r="DW171" s="231"/>
      <c r="YS171" s="38" t="e">
        <f>RIGHT(CONCATENATE(0,#REF!),7)</f>
        <v>#REF!</v>
      </c>
    </row>
    <row r="172" spans="38:669" hidden="1">
      <c r="AL172" s="231"/>
      <c r="AM172" s="231"/>
      <c r="AN172" s="231"/>
      <c r="AO172" s="231"/>
      <c r="AP172" s="231"/>
      <c r="AQ172" s="231"/>
      <c r="AR172" s="231"/>
      <c r="AS172" s="231"/>
      <c r="AT172" s="231"/>
      <c r="AU172" s="231"/>
      <c r="AV172" s="231"/>
      <c r="AW172" s="231"/>
      <c r="AX172" s="231"/>
      <c r="AY172" s="231"/>
      <c r="AZ172" s="231"/>
      <c r="BA172" s="231"/>
      <c r="BB172" s="231"/>
      <c r="BC172" s="231"/>
      <c r="BD172" s="231"/>
      <c r="BE172" s="231"/>
      <c r="BF172" s="231"/>
      <c r="BG172" s="231"/>
      <c r="BH172" s="231"/>
      <c r="BI172" s="231"/>
      <c r="BJ172" s="231"/>
      <c r="BK172" s="231"/>
      <c r="BL172" s="231"/>
      <c r="BM172" s="231"/>
      <c r="BN172" s="231"/>
      <c r="BO172" s="231"/>
      <c r="BP172" s="231"/>
      <c r="BQ172" s="231"/>
      <c r="BR172" s="231"/>
      <c r="BS172" s="231"/>
      <c r="BT172" s="231"/>
      <c r="BU172" s="231"/>
      <c r="BV172" s="231"/>
      <c r="BW172" s="231"/>
      <c r="BX172" s="231"/>
      <c r="BY172" s="231"/>
      <c r="BZ172" s="231"/>
      <c r="CA172" s="231"/>
      <c r="CB172" s="231"/>
      <c r="CC172" s="231"/>
      <c r="CD172" s="231"/>
      <c r="CE172" s="231"/>
      <c r="CF172" s="231"/>
      <c r="CG172" s="231"/>
      <c r="CH172" s="231"/>
      <c r="CI172" s="231"/>
      <c r="CJ172" s="231"/>
      <c r="CK172" s="231"/>
      <c r="CL172" s="231"/>
      <c r="CM172" s="231"/>
      <c r="CN172" s="231"/>
      <c r="CO172" s="231"/>
      <c r="CP172" s="231"/>
      <c r="CQ172" s="231"/>
      <c r="CR172" s="231"/>
      <c r="CS172" s="231"/>
      <c r="CT172" s="231"/>
      <c r="CU172" s="231"/>
      <c r="CV172" s="231"/>
      <c r="CW172" s="231"/>
      <c r="CX172" s="231"/>
      <c r="CY172" s="231"/>
      <c r="CZ172" s="231"/>
      <c r="DA172" s="231"/>
      <c r="DB172" s="231"/>
      <c r="DC172" s="231"/>
      <c r="DD172" s="231"/>
      <c r="DE172" s="231"/>
      <c r="DF172" s="231"/>
      <c r="DG172" s="231"/>
      <c r="DH172" s="231"/>
      <c r="DI172" s="231"/>
      <c r="DJ172" s="231"/>
      <c r="DK172" s="231"/>
      <c r="DL172" s="231"/>
      <c r="DM172" s="231"/>
      <c r="DN172" s="231"/>
      <c r="DO172" s="231"/>
      <c r="DP172" s="231"/>
      <c r="DQ172" s="231"/>
      <c r="DR172" s="231"/>
      <c r="DS172" s="231"/>
      <c r="DT172" s="231"/>
      <c r="DU172" s="231"/>
      <c r="DV172" s="231"/>
      <c r="DW172" s="231"/>
      <c r="YS172" s="38" t="e">
        <f>RIGHT(CONCATENATE(0,#REF!),7)</f>
        <v>#REF!</v>
      </c>
    </row>
    <row r="173" spans="38:669" hidden="1">
      <c r="AL173" s="231"/>
      <c r="AM173" s="231"/>
      <c r="AN173" s="231"/>
      <c r="AO173" s="231"/>
      <c r="AP173" s="231"/>
      <c r="AQ173" s="231"/>
      <c r="AR173" s="231"/>
      <c r="AS173" s="231"/>
      <c r="AT173" s="231"/>
      <c r="AU173" s="231"/>
      <c r="AV173" s="231"/>
      <c r="AW173" s="231"/>
      <c r="AX173" s="231"/>
      <c r="AY173" s="231"/>
      <c r="AZ173" s="231"/>
      <c r="BA173" s="231"/>
      <c r="BB173" s="231"/>
      <c r="BC173" s="231"/>
      <c r="BD173" s="231"/>
      <c r="BE173" s="231"/>
      <c r="BF173" s="231"/>
      <c r="BG173" s="231"/>
      <c r="BH173" s="231"/>
      <c r="BI173" s="231"/>
      <c r="BJ173" s="231"/>
      <c r="BK173" s="231"/>
      <c r="BL173" s="231"/>
      <c r="BM173" s="231"/>
      <c r="BN173" s="231"/>
      <c r="BO173" s="231"/>
      <c r="BP173" s="231"/>
      <c r="BQ173" s="231"/>
      <c r="BR173" s="231"/>
      <c r="BS173" s="231"/>
      <c r="BT173" s="231"/>
      <c r="BU173" s="231"/>
      <c r="BV173" s="231"/>
      <c r="BW173" s="231"/>
      <c r="BX173" s="231"/>
      <c r="BY173" s="231"/>
      <c r="BZ173" s="231"/>
      <c r="CA173" s="231"/>
      <c r="CB173" s="231"/>
      <c r="CC173" s="231"/>
      <c r="CD173" s="231"/>
      <c r="CE173" s="231"/>
      <c r="CF173" s="231"/>
      <c r="CG173" s="231"/>
      <c r="CH173" s="231"/>
      <c r="CI173" s="231"/>
      <c r="CJ173" s="231"/>
      <c r="CK173" s="231"/>
      <c r="CL173" s="231"/>
      <c r="CM173" s="231"/>
      <c r="CN173" s="231"/>
      <c r="CO173" s="231"/>
      <c r="CP173" s="231"/>
      <c r="CQ173" s="231"/>
      <c r="CR173" s="231"/>
      <c r="CS173" s="231"/>
      <c r="CT173" s="231"/>
      <c r="CU173" s="231"/>
      <c r="CV173" s="231"/>
      <c r="CW173" s="231"/>
      <c r="CX173" s="231"/>
      <c r="CY173" s="231"/>
      <c r="CZ173" s="231"/>
      <c r="DA173" s="231"/>
      <c r="DB173" s="231"/>
      <c r="DC173" s="231"/>
      <c r="DD173" s="231"/>
      <c r="DE173" s="231"/>
      <c r="DF173" s="231"/>
      <c r="DG173" s="231"/>
      <c r="DH173" s="231"/>
      <c r="DI173" s="231"/>
      <c r="DJ173" s="231"/>
      <c r="DK173" s="231"/>
      <c r="DL173" s="231"/>
      <c r="DM173" s="231"/>
      <c r="DN173" s="231"/>
      <c r="DO173" s="231"/>
      <c r="DP173" s="231"/>
      <c r="DQ173" s="231"/>
      <c r="DR173" s="231"/>
      <c r="DS173" s="231"/>
      <c r="DT173" s="231"/>
      <c r="DU173" s="231"/>
      <c r="DV173" s="231"/>
      <c r="DW173" s="231"/>
      <c r="YS173" s="38" t="e">
        <f>RIGHT(CONCATENATE(0,#REF!),7)</f>
        <v>#REF!</v>
      </c>
    </row>
    <row r="174" spans="38:669" hidden="1">
      <c r="AL174" s="231"/>
      <c r="AM174" s="231"/>
      <c r="AN174" s="231"/>
      <c r="AO174" s="231"/>
      <c r="AP174" s="231"/>
      <c r="AQ174" s="231"/>
      <c r="AR174" s="231"/>
      <c r="AS174" s="231"/>
      <c r="AT174" s="231"/>
      <c r="AU174" s="231"/>
      <c r="AV174" s="231"/>
      <c r="AW174" s="231"/>
      <c r="AX174" s="231"/>
      <c r="AY174" s="231"/>
      <c r="AZ174" s="231"/>
      <c r="BA174" s="231"/>
      <c r="BB174" s="231"/>
      <c r="BC174" s="231"/>
      <c r="BD174" s="231"/>
      <c r="BE174" s="231"/>
      <c r="BF174" s="231"/>
      <c r="BG174" s="231"/>
      <c r="BH174" s="231"/>
      <c r="BI174" s="231"/>
      <c r="BJ174" s="231"/>
      <c r="BK174" s="231"/>
      <c r="BL174" s="231"/>
      <c r="BM174" s="231"/>
      <c r="BN174" s="231"/>
      <c r="BO174" s="231"/>
      <c r="BP174" s="231"/>
      <c r="BQ174" s="231"/>
      <c r="BR174" s="231"/>
      <c r="BS174" s="231"/>
      <c r="BT174" s="231"/>
      <c r="BU174" s="231"/>
      <c r="BV174" s="231"/>
      <c r="BW174" s="231"/>
      <c r="BX174" s="231"/>
      <c r="BY174" s="231"/>
      <c r="BZ174" s="231"/>
      <c r="CA174" s="231"/>
      <c r="CB174" s="231"/>
      <c r="CC174" s="231"/>
      <c r="CD174" s="231"/>
      <c r="CE174" s="231"/>
      <c r="CF174" s="231"/>
      <c r="CG174" s="231"/>
      <c r="CH174" s="231"/>
      <c r="CI174" s="231"/>
      <c r="CJ174" s="231"/>
      <c r="CK174" s="231"/>
      <c r="CL174" s="231"/>
      <c r="CM174" s="231"/>
      <c r="CN174" s="231"/>
      <c r="CO174" s="231"/>
      <c r="CP174" s="231"/>
      <c r="CQ174" s="231"/>
      <c r="CR174" s="231"/>
      <c r="CS174" s="231"/>
      <c r="CT174" s="231"/>
      <c r="CU174" s="231"/>
      <c r="CV174" s="231"/>
      <c r="CW174" s="231"/>
      <c r="CX174" s="231"/>
      <c r="CY174" s="231"/>
      <c r="CZ174" s="231"/>
      <c r="DA174" s="231"/>
      <c r="DB174" s="231"/>
      <c r="DC174" s="231"/>
      <c r="DD174" s="231"/>
      <c r="DE174" s="231"/>
      <c r="DF174" s="231"/>
      <c r="DG174" s="231"/>
      <c r="DH174" s="231"/>
      <c r="DI174" s="231"/>
      <c r="DJ174" s="231"/>
      <c r="DK174" s="231"/>
      <c r="DL174" s="231"/>
      <c r="DM174" s="231"/>
      <c r="DN174" s="231"/>
      <c r="DO174" s="231"/>
      <c r="DP174" s="231"/>
      <c r="DQ174" s="231"/>
      <c r="DR174" s="231"/>
      <c r="DS174" s="231"/>
      <c r="DT174" s="231"/>
      <c r="DU174" s="231"/>
      <c r="DV174" s="231"/>
      <c r="DW174" s="231"/>
      <c r="YS174" s="38" t="e">
        <f>RIGHT(CONCATENATE(0,#REF!),7)</f>
        <v>#REF!</v>
      </c>
    </row>
    <row r="175" spans="38:669" hidden="1">
      <c r="AL175" s="231"/>
      <c r="AM175" s="231"/>
      <c r="AN175" s="231"/>
      <c r="AO175" s="231"/>
      <c r="AP175" s="231"/>
      <c r="AQ175" s="231"/>
      <c r="AR175" s="231"/>
      <c r="AS175" s="231"/>
      <c r="AT175" s="231"/>
      <c r="AU175" s="231"/>
      <c r="AV175" s="231"/>
      <c r="AW175" s="231"/>
      <c r="AX175" s="231"/>
      <c r="AY175" s="231"/>
      <c r="AZ175" s="231"/>
      <c r="BA175" s="231"/>
      <c r="BB175" s="231"/>
      <c r="BC175" s="231"/>
      <c r="BD175" s="231"/>
      <c r="BE175" s="231"/>
      <c r="BF175" s="231"/>
      <c r="BG175" s="231"/>
      <c r="BH175" s="231"/>
      <c r="BI175" s="231"/>
      <c r="BJ175" s="231"/>
      <c r="BK175" s="231"/>
      <c r="BL175" s="231"/>
      <c r="BM175" s="231"/>
      <c r="BN175" s="231"/>
      <c r="BO175" s="231"/>
      <c r="BP175" s="231"/>
      <c r="BQ175" s="231"/>
      <c r="BR175" s="231"/>
      <c r="BS175" s="231"/>
      <c r="BT175" s="231"/>
      <c r="BU175" s="231"/>
      <c r="BV175" s="231"/>
      <c r="BW175" s="231"/>
      <c r="BX175" s="231"/>
      <c r="BY175" s="231"/>
      <c r="BZ175" s="231"/>
      <c r="CA175" s="231"/>
      <c r="CB175" s="231"/>
      <c r="CC175" s="231"/>
      <c r="CD175" s="231"/>
      <c r="CE175" s="231"/>
      <c r="CF175" s="231"/>
      <c r="CG175" s="231"/>
      <c r="CH175" s="231"/>
      <c r="CI175" s="231"/>
      <c r="CJ175" s="231"/>
      <c r="CK175" s="231"/>
      <c r="CL175" s="231"/>
      <c r="CM175" s="231"/>
      <c r="CN175" s="231"/>
      <c r="CO175" s="231"/>
      <c r="CP175" s="231"/>
      <c r="CQ175" s="231"/>
      <c r="CR175" s="231"/>
      <c r="CS175" s="231"/>
      <c r="CT175" s="231"/>
      <c r="CU175" s="231"/>
      <c r="CV175" s="231"/>
      <c r="CW175" s="231"/>
      <c r="CX175" s="231"/>
      <c r="CY175" s="231"/>
      <c r="CZ175" s="231"/>
      <c r="DA175" s="231"/>
      <c r="DB175" s="231"/>
      <c r="DC175" s="231"/>
      <c r="DD175" s="231"/>
      <c r="DE175" s="231"/>
      <c r="DF175" s="231"/>
      <c r="DG175" s="231"/>
      <c r="DH175" s="231"/>
      <c r="DI175" s="231"/>
      <c r="DJ175" s="231"/>
      <c r="DK175" s="231"/>
      <c r="DL175" s="231"/>
      <c r="DM175" s="231"/>
      <c r="DN175" s="231"/>
      <c r="DO175" s="231"/>
      <c r="DP175" s="231"/>
      <c r="DQ175" s="231"/>
      <c r="DR175" s="231"/>
      <c r="DS175" s="231"/>
      <c r="DT175" s="231"/>
      <c r="DU175" s="231"/>
      <c r="DV175" s="231"/>
      <c r="DW175" s="231"/>
      <c r="YS175" s="38" t="e">
        <f>RIGHT(CONCATENATE(0,#REF!),7)</f>
        <v>#REF!</v>
      </c>
    </row>
    <row r="176" spans="38:669" hidden="1">
      <c r="AL176" s="231"/>
      <c r="AM176" s="231"/>
      <c r="AN176" s="231"/>
      <c r="AO176" s="231"/>
      <c r="AP176" s="231"/>
      <c r="AQ176" s="231"/>
      <c r="AR176" s="231"/>
      <c r="AS176" s="231"/>
      <c r="AT176" s="231"/>
      <c r="AU176" s="231"/>
      <c r="AV176" s="231"/>
      <c r="AW176" s="231"/>
      <c r="AX176" s="231"/>
      <c r="AY176" s="231"/>
      <c r="AZ176" s="231"/>
      <c r="BA176" s="231"/>
      <c r="BB176" s="231"/>
      <c r="BC176" s="231"/>
      <c r="BD176" s="231"/>
      <c r="BE176" s="231"/>
      <c r="BF176" s="231"/>
      <c r="BG176" s="231"/>
      <c r="BH176" s="231"/>
      <c r="BI176" s="231"/>
      <c r="BJ176" s="231"/>
      <c r="BK176" s="231"/>
      <c r="BL176" s="231"/>
      <c r="BM176" s="231"/>
      <c r="BN176" s="231"/>
      <c r="BO176" s="231"/>
      <c r="BP176" s="231"/>
      <c r="BQ176" s="231"/>
      <c r="BR176" s="231"/>
      <c r="BS176" s="231"/>
      <c r="BT176" s="231"/>
      <c r="BU176" s="231"/>
      <c r="BV176" s="231"/>
      <c r="BW176" s="231"/>
      <c r="BX176" s="231"/>
      <c r="BY176" s="231"/>
      <c r="BZ176" s="231"/>
      <c r="CA176" s="231"/>
      <c r="CB176" s="231"/>
      <c r="CC176" s="231"/>
      <c r="CD176" s="231"/>
      <c r="CE176" s="231"/>
      <c r="CF176" s="231"/>
      <c r="CG176" s="231"/>
      <c r="CH176" s="231"/>
      <c r="CI176" s="231"/>
      <c r="CJ176" s="231"/>
      <c r="CK176" s="231"/>
      <c r="CL176" s="231"/>
      <c r="CM176" s="231"/>
      <c r="CN176" s="231"/>
      <c r="CO176" s="231"/>
      <c r="CP176" s="231"/>
      <c r="CQ176" s="231"/>
      <c r="CR176" s="231"/>
      <c r="CS176" s="231"/>
      <c r="CT176" s="231"/>
      <c r="CU176" s="231"/>
      <c r="CV176" s="231"/>
      <c r="CW176" s="231"/>
      <c r="CX176" s="231"/>
      <c r="CY176" s="231"/>
      <c r="CZ176" s="231"/>
      <c r="DA176" s="231"/>
      <c r="DB176" s="231"/>
      <c r="DC176" s="231"/>
      <c r="DD176" s="231"/>
      <c r="DE176" s="231"/>
      <c r="DF176" s="231"/>
      <c r="DG176" s="231"/>
      <c r="DH176" s="231"/>
      <c r="DI176" s="231"/>
      <c r="DJ176" s="231"/>
      <c r="DK176" s="231"/>
      <c r="DL176" s="231"/>
      <c r="DM176" s="231"/>
      <c r="DN176" s="231"/>
      <c r="DO176" s="231"/>
      <c r="DP176" s="231"/>
      <c r="DQ176" s="231"/>
      <c r="DR176" s="231"/>
      <c r="DS176" s="231"/>
      <c r="DT176" s="231"/>
      <c r="DU176" s="231"/>
      <c r="DV176" s="231"/>
      <c r="DW176" s="231"/>
      <c r="YS176" s="38" t="e">
        <f>RIGHT(CONCATENATE(0,#REF!),7)</f>
        <v>#REF!</v>
      </c>
    </row>
    <row r="177" spans="38:669" hidden="1">
      <c r="AL177" s="231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1"/>
      <c r="BS177" s="231"/>
      <c r="BT177" s="231"/>
      <c r="BU177" s="231"/>
      <c r="BV177" s="231"/>
      <c r="BW177" s="231"/>
      <c r="BX177" s="231"/>
      <c r="BY177" s="231"/>
      <c r="BZ177" s="231"/>
      <c r="CA177" s="231"/>
      <c r="CB177" s="231"/>
      <c r="CC177" s="231"/>
      <c r="CD177" s="231"/>
      <c r="CE177" s="231"/>
      <c r="CF177" s="231"/>
      <c r="CG177" s="231"/>
      <c r="CH177" s="231"/>
      <c r="CI177" s="231"/>
      <c r="CJ177" s="231"/>
      <c r="CK177" s="231"/>
      <c r="CL177" s="231"/>
      <c r="CM177" s="231"/>
      <c r="CN177" s="231"/>
      <c r="CO177" s="231"/>
      <c r="CP177" s="231"/>
      <c r="CQ177" s="231"/>
      <c r="CR177" s="231"/>
      <c r="CS177" s="231"/>
      <c r="CT177" s="231"/>
      <c r="CU177" s="231"/>
      <c r="CV177" s="231"/>
      <c r="CW177" s="231"/>
      <c r="CX177" s="231"/>
      <c r="CY177" s="231"/>
      <c r="CZ177" s="231"/>
      <c r="DA177" s="231"/>
      <c r="DB177" s="231"/>
      <c r="DC177" s="231"/>
      <c r="DD177" s="231"/>
      <c r="DE177" s="231"/>
      <c r="DF177" s="231"/>
      <c r="DG177" s="231"/>
      <c r="DH177" s="231"/>
      <c r="DI177" s="231"/>
      <c r="DJ177" s="231"/>
      <c r="DK177" s="231"/>
      <c r="DL177" s="231"/>
      <c r="DM177" s="231"/>
      <c r="DN177" s="231"/>
      <c r="DO177" s="231"/>
      <c r="DP177" s="231"/>
      <c r="DQ177" s="231"/>
      <c r="DR177" s="231"/>
      <c r="DS177" s="231"/>
      <c r="DT177" s="231"/>
      <c r="DU177" s="231"/>
      <c r="DV177" s="231"/>
      <c r="DW177" s="231"/>
      <c r="YS177" s="38" t="e">
        <f>RIGHT(CONCATENATE(0,#REF!),7)</f>
        <v>#REF!</v>
      </c>
    </row>
    <row r="178" spans="38:669" hidden="1">
      <c r="AL178" s="231"/>
      <c r="AM178" s="231"/>
      <c r="AN178" s="231"/>
      <c r="AO178" s="231"/>
      <c r="AP178" s="231"/>
      <c r="AQ178" s="231"/>
      <c r="AR178" s="231"/>
      <c r="AS178" s="231"/>
      <c r="AT178" s="231"/>
      <c r="AU178" s="231"/>
      <c r="AV178" s="231"/>
      <c r="AW178" s="231"/>
      <c r="AX178" s="231"/>
      <c r="AY178" s="231"/>
      <c r="AZ178" s="231"/>
      <c r="BA178" s="231"/>
      <c r="BB178" s="231"/>
      <c r="BC178" s="231"/>
      <c r="BD178" s="231"/>
      <c r="BE178" s="231"/>
      <c r="BF178" s="231"/>
      <c r="BG178" s="231"/>
      <c r="BH178" s="231"/>
      <c r="BI178" s="231"/>
      <c r="BJ178" s="231"/>
      <c r="BK178" s="231"/>
      <c r="BL178" s="231"/>
      <c r="BM178" s="231"/>
      <c r="BN178" s="231"/>
      <c r="BO178" s="231"/>
      <c r="BP178" s="231"/>
      <c r="BQ178" s="231"/>
      <c r="BR178" s="231"/>
      <c r="BS178" s="231"/>
      <c r="BT178" s="231"/>
      <c r="BU178" s="231"/>
      <c r="BV178" s="231"/>
      <c r="BW178" s="231"/>
      <c r="BX178" s="231"/>
      <c r="BY178" s="231"/>
      <c r="BZ178" s="231"/>
      <c r="CA178" s="231"/>
      <c r="CB178" s="231"/>
      <c r="CC178" s="231"/>
      <c r="CD178" s="231"/>
      <c r="CE178" s="231"/>
      <c r="CF178" s="231"/>
      <c r="CG178" s="231"/>
      <c r="CH178" s="231"/>
      <c r="CI178" s="231"/>
      <c r="CJ178" s="231"/>
      <c r="CK178" s="231"/>
      <c r="CL178" s="231"/>
      <c r="CM178" s="231"/>
      <c r="CN178" s="231"/>
      <c r="CO178" s="231"/>
      <c r="CP178" s="231"/>
      <c r="CQ178" s="231"/>
      <c r="CR178" s="231"/>
      <c r="CS178" s="231"/>
      <c r="CT178" s="231"/>
      <c r="CU178" s="231"/>
      <c r="CV178" s="231"/>
      <c r="CW178" s="231"/>
      <c r="CX178" s="231"/>
      <c r="CY178" s="231"/>
      <c r="CZ178" s="231"/>
      <c r="DA178" s="231"/>
      <c r="DB178" s="231"/>
      <c r="DC178" s="231"/>
      <c r="DD178" s="231"/>
      <c r="DE178" s="231"/>
      <c r="DF178" s="231"/>
      <c r="DG178" s="231"/>
      <c r="DH178" s="231"/>
      <c r="DI178" s="231"/>
      <c r="DJ178" s="231"/>
      <c r="DK178" s="231"/>
      <c r="DL178" s="231"/>
      <c r="DM178" s="231"/>
      <c r="DN178" s="231"/>
      <c r="DO178" s="231"/>
      <c r="DP178" s="231"/>
      <c r="DQ178" s="231"/>
      <c r="DR178" s="231"/>
      <c r="DS178" s="231"/>
      <c r="DT178" s="231"/>
      <c r="DU178" s="231"/>
      <c r="DV178" s="231"/>
      <c r="DW178" s="231"/>
      <c r="YS178" s="38" t="e">
        <f>RIGHT(CONCATENATE(0,#REF!),7)</f>
        <v>#REF!</v>
      </c>
    </row>
    <row r="179" spans="38:669" hidden="1">
      <c r="AL179" s="231"/>
      <c r="AM179" s="231"/>
      <c r="AN179" s="231"/>
      <c r="AO179" s="231"/>
      <c r="AP179" s="231"/>
      <c r="AQ179" s="231"/>
      <c r="AR179" s="231"/>
      <c r="AS179" s="231"/>
      <c r="AT179" s="231"/>
      <c r="AU179" s="231"/>
      <c r="AV179" s="231"/>
      <c r="AW179" s="231"/>
      <c r="AX179" s="231"/>
      <c r="AY179" s="231"/>
      <c r="AZ179" s="231"/>
      <c r="BA179" s="231"/>
      <c r="BB179" s="231"/>
      <c r="BC179" s="231"/>
      <c r="BD179" s="231"/>
      <c r="BE179" s="231"/>
      <c r="BF179" s="231"/>
      <c r="BG179" s="231"/>
      <c r="BH179" s="231"/>
      <c r="BI179" s="231"/>
      <c r="BJ179" s="231"/>
      <c r="BK179" s="231"/>
      <c r="BL179" s="231"/>
      <c r="BM179" s="231"/>
      <c r="BN179" s="231"/>
      <c r="BO179" s="231"/>
      <c r="BP179" s="231"/>
      <c r="BQ179" s="231"/>
      <c r="BR179" s="231"/>
      <c r="BS179" s="231"/>
      <c r="BT179" s="231"/>
      <c r="BU179" s="231"/>
      <c r="BV179" s="231"/>
      <c r="BW179" s="231"/>
      <c r="BX179" s="231"/>
      <c r="BY179" s="231"/>
      <c r="BZ179" s="231"/>
      <c r="CA179" s="231"/>
      <c r="CB179" s="231"/>
      <c r="CC179" s="231"/>
      <c r="CD179" s="231"/>
      <c r="CE179" s="231"/>
      <c r="CF179" s="231"/>
      <c r="CG179" s="231"/>
      <c r="CH179" s="231"/>
      <c r="CI179" s="231"/>
      <c r="CJ179" s="231"/>
      <c r="CK179" s="231"/>
      <c r="CL179" s="231"/>
      <c r="CM179" s="231"/>
      <c r="CN179" s="231"/>
      <c r="CO179" s="231"/>
      <c r="CP179" s="231"/>
      <c r="CQ179" s="231"/>
      <c r="CR179" s="231"/>
      <c r="CS179" s="231"/>
      <c r="CT179" s="231"/>
      <c r="CU179" s="231"/>
      <c r="CV179" s="231"/>
      <c r="CW179" s="231"/>
      <c r="CX179" s="231"/>
      <c r="CY179" s="231"/>
      <c r="CZ179" s="231"/>
      <c r="DA179" s="231"/>
      <c r="DB179" s="231"/>
      <c r="DC179" s="231"/>
      <c r="DD179" s="231"/>
      <c r="DE179" s="231"/>
      <c r="DF179" s="231"/>
      <c r="DG179" s="231"/>
      <c r="DH179" s="231"/>
      <c r="DI179" s="231"/>
      <c r="DJ179" s="231"/>
      <c r="DK179" s="231"/>
      <c r="DL179" s="231"/>
      <c r="DM179" s="231"/>
      <c r="DN179" s="231"/>
      <c r="DO179" s="231"/>
      <c r="DP179" s="231"/>
      <c r="DQ179" s="231"/>
      <c r="DR179" s="231"/>
      <c r="DS179" s="231"/>
      <c r="DT179" s="231"/>
      <c r="DU179" s="231"/>
      <c r="DV179" s="231"/>
      <c r="DW179" s="231"/>
      <c r="YS179" s="38" t="e">
        <f>RIGHT(CONCATENATE(0,#REF!),7)</f>
        <v>#REF!</v>
      </c>
    </row>
    <row r="180" spans="38:669" hidden="1">
      <c r="AL180" s="231"/>
      <c r="AM180" s="231"/>
      <c r="AN180" s="231"/>
      <c r="AO180" s="231"/>
      <c r="AP180" s="231"/>
      <c r="AQ180" s="231"/>
      <c r="AR180" s="231"/>
      <c r="AS180" s="231"/>
      <c r="AT180" s="231"/>
      <c r="AU180" s="231"/>
      <c r="AV180" s="231"/>
      <c r="AW180" s="231"/>
      <c r="AX180" s="231"/>
      <c r="AY180" s="231"/>
      <c r="AZ180" s="231"/>
      <c r="BA180" s="231"/>
      <c r="BB180" s="231"/>
      <c r="BC180" s="231"/>
      <c r="BD180" s="231"/>
      <c r="BE180" s="231"/>
      <c r="BF180" s="231"/>
      <c r="BG180" s="231"/>
      <c r="BH180" s="231"/>
      <c r="BI180" s="231"/>
      <c r="BJ180" s="231"/>
      <c r="BK180" s="231"/>
      <c r="BL180" s="231"/>
      <c r="BM180" s="231"/>
      <c r="BN180" s="231"/>
      <c r="BO180" s="231"/>
      <c r="BP180" s="231"/>
      <c r="BQ180" s="231"/>
      <c r="BR180" s="231"/>
      <c r="BS180" s="231"/>
      <c r="BT180" s="231"/>
      <c r="BU180" s="231"/>
      <c r="BV180" s="231"/>
      <c r="BW180" s="231"/>
      <c r="BX180" s="231"/>
      <c r="BY180" s="231"/>
      <c r="BZ180" s="231"/>
      <c r="CA180" s="231"/>
      <c r="CB180" s="231"/>
      <c r="CC180" s="231"/>
      <c r="CD180" s="231"/>
      <c r="CE180" s="231"/>
      <c r="CF180" s="231"/>
      <c r="CG180" s="231"/>
      <c r="CH180" s="231"/>
      <c r="CI180" s="231"/>
      <c r="CJ180" s="231"/>
      <c r="CK180" s="231"/>
      <c r="CL180" s="231"/>
      <c r="CM180" s="231"/>
      <c r="CN180" s="231"/>
      <c r="CO180" s="231"/>
      <c r="CP180" s="231"/>
      <c r="CQ180" s="231"/>
      <c r="CR180" s="231"/>
      <c r="CS180" s="231"/>
      <c r="CT180" s="231"/>
      <c r="CU180" s="231"/>
      <c r="CV180" s="231"/>
      <c r="CW180" s="231"/>
      <c r="CX180" s="231"/>
      <c r="CY180" s="231"/>
      <c r="CZ180" s="231"/>
      <c r="DA180" s="231"/>
      <c r="DB180" s="231"/>
      <c r="DC180" s="231"/>
      <c r="DD180" s="231"/>
      <c r="DE180" s="231"/>
      <c r="DF180" s="231"/>
      <c r="DG180" s="231"/>
      <c r="DH180" s="231"/>
      <c r="DI180" s="231"/>
      <c r="DJ180" s="231"/>
      <c r="DK180" s="231"/>
      <c r="DL180" s="231"/>
      <c r="DM180" s="231"/>
      <c r="DN180" s="231"/>
      <c r="DO180" s="231"/>
      <c r="DP180" s="231"/>
      <c r="DQ180" s="231"/>
      <c r="DR180" s="231"/>
      <c r="DS180" s="231"/>
      <c r="DT180" s="231"/>
      <c r="DU180" s="231"/>
      <c r="DV180" s="231"/>
      <c r="DW180" s="231"/>
      <c r="YS180" s="38" t="e">
        <f>RIGHT(CONCATENATE(0,#REF!),7)</f>
        <v>#REF!</v>
      </c>
    </row>
    <row r="181" spans="38:669" hidden="1">
      <c r="AL181" s="231"/>
      <c r="AM181" s="231"/>
      <c r="AN181" s="231"/>
      <c r="AO181" s="231"/>
      <c r="AP181" s="231"/>
      <c r="AQ181" s="231"/>
      <c r="AR181" s="231"/>
      <c r="AS181" s="231"/>
      <c r="AT181" s="231"/>
      <c r="AU181" s="231"/>
      <c r="AV181" s="231"/>
      <c r="AW181" s="231"/>
      <c r="AX181" s="231"/>
      <c r="AY181" s="231"/>
      <c r="AZ181" s="231"/>
      <c r="BA181" s="231"/>
      <c r="BB181" s="231"/>
      <c r="BC181" s="231"/>
      <c r="BD181" s="231"/>
      <c r="BE181" s="231"/>
      <c r="BF181" s="231"/>
      <c r="BG181" s="231"/>
      <c r="BH181" s="231"/>
      <c r="BI181" s="231"/>
      <c r="BJ181" s="231"/>
      <c r="BK181" s="231"/>
      <c r="BL181" s="231"/>
      <c r="BM181" s="231"/>
      <c r="BN181" s="231"/>
      <c r="BO181" s="231"/>
      <c r="BP181" s="231"/>
      <c r="BQ181" s="231"/>
      <c r="BR181" s="231"/>
      <c r="BS181" s="231"/>
      <c r="BT181" s="231"/>
      <c r="BU181" s="231"/>
      <c r="BV181" s="231"/>
      <c r="BW181" s="231"/>
      <c r="BX181" s="231"/>
      <c r="BY181" s="231"/>
      <c r="BZ181" s="231"/>
      <c r="CA181" s="231"/>
      <c r="CB181" s="231"/>
      <c r="CC181" s="231"/>
      <c r="CD181" s="231"/>
      <c r="CE181" s="231"/>
      <c r="CF181" s="231"/>
      <c r="CG181" s="231"/>
      <c r="CH181" s="231"/>
      <c r="CI181" s="231"/>
      <c r="CJ181" s="231"/>
      <c r="CK181" s="231"/>
      <c r="CL181" s="231"/>
      <c r="CM181" s="231"/>
      <c r="CN181" s="231"/>
      <c r="CO181" s="231"/>
      <c r="CP181" s="231"/>
      <c r="CQ181" s="231"/>
      <c r="CR181" s="231"/>
      <c r="CS181" s="231"/>
      <c r="CT181" s="231"/>
      <c r="CU181" s="231"/>
      <c r="CV181" s="231"/>
      <c r="CW181" s="231"/>
      <c r="CX181" s="231"/>
      <c r="CY181" s="231"/>
      <c r="CZ181" s="231"/>
      <c r="DA181" s="231"/>
      <c r="DB181" s="231"/>
      <c r="DC181" s="231"/>
      <c r="DD181" s="231"/>
      <c r="DE181" s="231"/>
      <c r="DF181" s="231"/>
      <c r="DG181" s="231"/>
      <c r="DH181" s="231"/>
      <c r="DI181" s="231"/>
      <c r="DJ181" s="231"/>
      <c r="DK181" s="231"/>
      <c r="DL181" s="231"/>
      <c r="DM181" s="231"/>
      <c r="DN181" s="231"/>
      <c r="DO181" s="231"/>
      <c r="DP181" s="231"/>
      <c r="DQ181" s="231"/>
      <c r="DR181" s="231"/>
      <c r="DS181" s="231"/>
      <c r="DT181" s="231"/>
      <c r="DU181" s="231"/>
      <c r="DV181" s="231"/>
      <c r="DW181" s="231"/>
      <c r="YS181" s="38" t="e">
        <f>RIGHT(CONCATENATE(0,#REF!),7)</f>
        <v>#REF!</v>
      </c>
    </row>
    <row r="182" spans="38:669" hidden="1">
      <c r="AL182" s="231"/>
      <c r="AM182" s="231"/>
      <c r="AN182" s="231"/>
      <c r="AO182" s="231"/>
      <c r="AP182" s="231"/>
      <c r="AQ182" s="231"/>
      <c r="AR182" s="231"/>
      <c r="AS182" s="231"/>
      <c r="AT182" s="231"/>
      <c r="AU182" s="231"/>
      <c r="AV182" s="231"/>
      <c r="AW182" s="231"/>
      <c r="AX182" s="231"/>
      <c r="AY182" s="231"/>
      <c r="AZ182" s="231"/>
      <c r="BA182" s="231"/>
      <c r="BB182" s="231"/>
      <c r="BC182" s="231"/>
      <c r="BD182" s="231"/>
      <c r="BE182" s="231"/>
      <c r="BF182" s="231"/>
      <c r="BG182" s="231"/>
      <c r="BH182" s="231"/>
      <c r="BI182" s="231"/>
      <c r="BJ182" s="231"/>
      <c r="BK182" s="231"/>
      <c r="BL182" s="231"/>
      <c r="BM182" s="231"/>
      <c r="BN182" s="231"/>
      <c r="BO182" s="231"/>
      <c r="BP182" s="231"/>
      <c r="BQ182" s="231"/>
      <c r="BR182" s="231"/>
      <c r="BS182" s="231"/>
      <c r="BT182" s="231"/>
      <c r="BU182" s="231"/>
      <c r="BV182" s="231"/>
      <c r="BW182" s="231"/>
      <c r="BX182" s="231"/>
      <c r="BY182" s="231"/>
      <c r="BZ182" s="231"/>
      <c r="CA182" s="231"/>
      <c r="CB182" s="231"/>
      <c r="CC182" s="231"/>
      <c r="CD182" s="231"/>
      <c r="CE182" s="231"/>
      <c r="CF182" s="231"/>
      <c r="CG182" s="231"/>
      <c r="CH182" s="231"/>
      <c r="CI182" s="231"/>
      <c r="CJ182" s="231"/>
      <c r="CK182" s="231"/>
      <c r="CL182" s="231"/>
      <c r="CM182" s="231"/>
      <c r="CN182" s="231"/>
      <c r="CO182" s="231"/>
      <c r="CP182" s="231"/>
      <c r="CQ182" s="231"/>
      <c r="CR182" s="231"/>
      <c r="CS182" s="231"/>
      <c r="CT182" s="231"/>
      <c r="CU182" s="231"/>
      <c r="CV182" s="231"/>
      <c r="CW182" s="231"/>
      <c r="CX182" s="231"/>
      <c r="CY182" s="231"/>
      <c r="CZ182" s="231"/>
      <c r="DA182" s="231"/>
      <c r="DB182" s="231"/>
      <c r="DC182" s="231"/>
      <c r="DD182" s="231"/>
      <c r="DE182" s="231"/>
      <c r="DF182" s="231"/>
      <c r="DG182" s="231"/>
      <c r="DH182" s="231"/>
      <c r="DI182" s="231"/>
      <c r="DJ182" s="231"/>
      <c r="DK182" s="231"/>
      <c r="DL182" s="231"/>
      <c r="DM182" s="231"/>
      <c r="DN182" s="231"/>
      <c r="DO182" s="231"/>
      <c r="DP182" s="231"/>
      <c r="DQ182" s="231"/>
      <c r="DR182" s="231"/>
      <c r="DS182" s="231"/>
      <c r="DT182" s="231"/>
      <c r="DU182" s="231"/>
      <c r="DV182" s="231"/>
      <c r="DW182" s="231"/>
      <c r="YS182" s="38" t="e">
        <f>RIGHT(CONCATENATE(0,#REF!),7)</f>
        <v>#REF!</v>
      </c>
    </row>
    <row r="183" spans="38:669" hidden="1">
      <c r="AL183" s="231"/>
      <c r="AM183" s="231"/>
      <c r="AN183" s="231"/>
      <c r="AO183" s="231"/>
      <c r="AP183" s="231"/>
      <c r="AQ183" s="231"/>
      <c r="AR183" s="231"/>
      <c r="AS183" s="231"/>
      <c r="AT183" s="231"/>
      <c r="AU183" s="231"/>
      <c r="AV183" s="231"/>
      <c r="AW183" s="231"/>
      <c r="AX183" s="231"/>
      <c r="AY183" s="231"/>
      <c r="AZ183" s="231"/>
      <c r="BA183" s="231"/>
      <c r="BB183" s="231"/>
      <c r="BC183" s="231"/>
      <c r="BD183" s="231"/>
      <c r="BE183" s="231"/>
      <c r="BF183" s="231"/>
      <c r="BG183" s="231"/>
      <c r="BH183" s="231"/>
      <c r="BI183" s="231"/>
      <c r="BJ183" s="231"/>
      <c r="BK183" s="231"/>
      <c r="BL183" s="231"/>
      <c r="BM183" s="231"/>
      <c r="BN183" s="231"/>
      <c r="BO183" s="231"/>
      <c r="BP183" s="231"/>
      <c r="BQ183" s="231"/>
      <c r="BR183" s="231"/>
      <c r="BS183" s="231"/>
      <c r="BT183" s="231"/>
      <c r="BU183" s="231"/>
      <c r="BV183" s="231"/>
      <c r="BW183" s="231"/>
      <c r="BX183" s="231"/>
      <c r="BY183" s="231"/>
      <c r="BZ183" s="231"/>
      <c r="CA183" s="231"/>
      <c r="CB183" s="231"/>
      <c r="CC183" s="231"/>
      <c r="CD183" s="231"/>
      <c r="CE183" s="231"/>
      <c r="CF183" s="231"/>
      <c r="CG183" s="231"/>
      <c r="CH183" s="231"/>
      <c r="CI183" s="231"/>
      <c r="CJ183" s="231"/>
      <c r="CK183" s="231"/>
      <c r="CL183" s="231"/>
      <c r="CM183" s="231"/>
      <c r="CN183" s="231"/>
      <c r="CO183" s="231"/>
      <c r="CP183" s="231"/>
      <c r="CQ183" s="231"/>
      <c r="CR183" s="231"/>
      <c r="CS183" s="231"/>
      <c r="CT183" s="231"/>
      <c r="CU183" s="231"/>
      <c r="CV183" s="231"/>
      <c r="CW183" s="231"/>
      <c r="CX183" s="231"/>
      <c r="CY183" s="231"/>
      <c r="CZ183" s="231"/>
      <c r="DA183" s="231"/>
      <c r="DB183" s="231"/>
      <c r="DC183" s="231"/>
      <c r="DD183" s="231"/>
      <c r="DE183" s="231"/>
      <c r="DF183" s="231"/>
      <c r="DG183" s="231"/>
      <c r="DH183" s="231"/>
      <c r="DI183" s="231"/>
      <c r="DJ183" s="231"/>
      <c r="DK183" s="231"/>
      <c r="DL183" s="231"/>
      <c r="DM183" s="231"/>
      <c r="DN183" s="231"/>
      <c r="DO183" s="231"/>
      <c r="DP183" s="231"/>
      <c r="DQ183" s="231"/>
      <c r="DR183" s="231"/>
      <c r="DS183" s="231"/>
      <c r="DT183" s="231"/>
      <c r="DU183" s="231"/>
      <c r="DV183" s="231"/>
      <c r="DW183" s="231"/>
      <c r="YS183" s="38" t="e">
        <f>RIGHT(CONCATENATE(0,#REF!),7)</f>
        <v>#REF!</v>
      </c>
    </row>
    <row r="184" spans="38:669" hidden="1">
      <c r="AL184" s="231"/>
      <c r="AM184" s="231"/>
      <c r="AN184" s="231"/>
      <c r="AO184" s="231"/>
      <c r="AP184" s="231"/>
      <c r="AQ184" s="231"/>
      <c r="AR184" s="231"/>
      <c r="AS184" s="231"/>
      <c r="AT184" s="231"/>
      <c r="AU184" s="231"/>
      <c r="AV184" s="231"/>
      <c r="AW184" s="231"/>
      <c r="AX184" s="231"/>
      <c r="AY184" s="231"/>
      <c r="AZ184" s="231"/>
      <c r="BA184" s="231"/>
      <c r="BB184" s="231"/>
      <c r="BC184" s="231"/>
      <c r="BD184" s="231"/>
      <c r="BE184" s="231"/>
      <c r="BF184" s="231"/>
      <c r="BG184" s="231"/>
      <c r="BH184" s="231"/>
      <c r="BI184" s="231"/>
      <c r="BJ184" s="231"/>
      <c r="BK184" s="231"/>
      <c r="BL184" s="231"/>
      <c r="BM184" s="231"/>
      <c r="BN184" s="231"/>
      <c r="BO184" s="231"/>
      <c r="BP184" s="231"/>
      <c r="BQ184" s="231"/>
      <c r="BR184" s="231"/>
      <c r="BS184" s="231"/>
      <c r="BT184" s="231"/>
      <c r="BU184" s="231"/>
      <c r="BV184" s="231"/>
      <c r="BW184" s="231"/>
      <c r="BX184" s="231"/>
      <c r="BY184" s="231"/>
      <c r="BZ184" s="231"/>
      <c r="CA184" s="231"/>
      <c r="CB184" s="231"/>
      <c r="CC184" s="231"/>
      <c r="CD184" s="231"/>
      <c r="CE184" s="231"/>
      <c r="CF184" s="231"/>
      <c r="CG184" s="231"/>
      <c r="CH184" s="231"/>
      <c r="CI184" s="231"/>
      <c r="CJ184" s="231"/>
      <c r="CK184" s="231"/>
      <c r="CL184" s="231"/>
      <c r="CM184" s="231"/>
      <c r="CN184" s="231"/>
      <c r="CO184" s="231"/>
      <c r="CP184" s="231"/>
      <c r="CQ184" s="231"/>
      <c r="CR184" s="231"/>
      <c r="CS184" s="231"/>
      <c r="CT184" s="231"/>
      <c r="CU184" s="231"/>
      <c r="CV184" s="231"/>
      <c r="CW184" s="231"/>
      <c r="CX184" s="231"/>
      <c r="CY184" s="231"/>
      <c r="CZ184" s="231"/>
      <c r="DA184" s="231"/>
      <c r="DB184" s="231"/>
      <c r="DC184" s="231"/>
      <c r="DD184" s="231"/>
      <c r="DE184" s="231"/>
      <c r="DF184" s="231"/>
      <c r="DG184" s="231"/>
      <c r="DH184" s="231"/>
      <c r="DI184" s="231"/>
      <c r="DJ184" s="231"/>
      <c r="DK184" s="231"/>
      <c r="DL184" s="231"/>
      <c r="DM184" s="231"/>
      <c r="DN184" s="231"/>
      <c r="DO184" s="231"/>
      <c r="DP184" s="231"/>
      <c r="DQ184" s="231"/>
      <c r="DR184" s="231"/>
      <c r="DS184" s="231"/>
      <c r="DT184" s="231"/>
      <c r="DU184" s="231"/>
      <c r="DV184" s="231"/>
      <c r="DW184" s="231"/>
      <c r="YS184" s="38" t="e">
        <f>RIGHT(CONCATENATE(0,#REF!),7)</f>
        <v>#REF!</v>
      </c>
    </row>
    <row r="185" spans="38:669" hidden="1">
      <c r="AL185" s="231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1"/>
      <c r="BS185" s="231"/>
      <c r="BT185" s="231"/>
      <c r="BU185" s="231"/>
      <c r="BV185" s="231"/>
      <c r="BW185" s="231"/>
      <c r="BX185" s="231"/>
      <c r="BY185" s="231"/>
      <c r="BZ185" s="231"/>
      <c r="CA185" s="231"/>
      <c r="CB185" s="231"/>
      <c r="CC185" s="231"/>
      <c r="CD185" s="231"/>
      <c r="CE185" s="231"/>
      <c r="CF185" s="231"/>
      <c r="CG185" s="231"/>
      <c r="CH185" s="231"/>
      <c r="CI185" s="231"/>
      <c r="CJ185" s="231"/>
      <c r="CK185" s="231"/>
      <c r="CL185" s="231"/>
      <c r="CM185" s="231"/>
      <c r="CN185" s="231"/>
      <c r="CO185" s="231"/>
      <c r="CP185" s="231"/>
      <c r="CQ185" s="231"/>
      <c r="CR185" s="231"/>
      <c r="CS185" s="231"/>
      <c r="CT185" s="231"/>
      <c r="CU185" s="231"/>
      <c r="CV185" s="231"/>
      <c r="CW185" s="231"/>
      <c r="CX185" s="231"/>
      <c r="CY185" s="231"/>
      <c r="CZ185" s="231"/>
      <c r="DA185" s="231"/>
      <c r="DB185" s="231"/>
      <c r="DC185" s="231"/>
      <c r="DD185" s="231"/>
      <c r="DE185" s="231"/>
      <c r="DF185" s="231"/>
      <c r="DG185" s="231"/>
      <c r="DH185" s="231"/>
      <c r="DI185" s="231"/>
      <c r="DJ185" s="231"/>
      <c r="DK185" s="231"/>
      <c r="DL185" s="231"/>
      <c r="DM185" s="231"/>
      <c r="DN185" s="231"/>
      <c r="DO185" s="231"/>
      <c r="DP185" s="231"/>
      <c r="DQ185" s="231"/>
      <c r="DR185" s="231"/>
      <c r="DS185" s="231"/>
      <c r="DT185" s="231"/>
      <c r="DU185" s="231"/>
      <c r="DV185" s="231"/>
      <c r="DW185" s="231"/>
      <c r="YS185" s="38" t="e">
        <f>RIGHT(CONCATENATE(0,#REF!),7)</f>
        <v>#REF!</v>
      </c>
    </row>
    <row r="186" spans="38:669" hidden="1">
      <c r="AL186" s="231"/>
      <c r="AM186" s="231"/>
      <c r="AN186" s="231"/>
      <c r="AO186" s="231"/>
      <c r="AP186" s="231"/>
      <c r="AQ186" s="231"/>
      <c r="AR186" s="231"/>
      <c r="AS186" s="231"/>
      <c r="AT186" s="231"/>
      <c r="AU186" s="231"/>
      <c r="AV186" s="231"/>
      <c r="AW186" s="231"/>
      <c r="AX186" s="231"/>
      <c r="AY186" s="231"/>
      <c r="AZ186" s="231"/>
      <c r="BA186" s="231"/>
      <c r="BB186" s="231"/>
      <c r="BC186" s="231"/>
      <c r="BD186" s="231"/>
      <c r="BE186" s="231"/>
      <c r="BF186" s="231"/>
      <c r="BG186" s="231"/>
      <c r="BH186" s="231"/>
      <c r="BI186" s="231"/>
      <c r="BJ186" s="231"/>
      <c r="BK186" s="231"/>
      <c r="BL186" s="231"/>
      <c r="BM186" s="231"/>
      <c r="BN186" s="231"/>
      <c r="BO186" s="231"/>
      <c r="BP186" s="231"/>
      <c r="BQ186" s="231"/>
      <c r="BR186" s="231"/>
      <c r="BS186" s="231"/>
      <c r="BT186" s="231"/>
      <c r="BU186" s="231"/>
      <c r="BV186" s="231"/>
      <c r="BW186" s="231"/>
      <c r="BX186" s="231"/>
      <c r="BY186" s="231"/>
      <c r="BZ186" s="231"/>
      <c r="CA186" s="231"/>
      <c r="CB186" s="231"/>
      <c r="CC186" s="231"/>
      <c r="CD186" s="231"/>
      <c r="CE186" s="231"/>
      <c r="CF186" s="231"/>
      <c r="CG186" s="231"/>
      <c r="CH186" s="231"/>
      <c r="CI186" s="231"/>
      <c r="CJ186" s="231"/>
      <c r="CK186" s="231"/>
      <c r="CL186" s="231"/>
      <c r="CM186" s="231"/>
      <c r="CN186" s="231"/>
      <c r="CO186" s="231"/>
      <c r="CP186" s="231"/>
      <c r="CQ186" s="231"/>
      <c r="CR186" s="231"/>
      <c r="CS186" s="231"/>
      <c r="CT186" s="231"/>
      <c r="CU186" s="231"/>
      <c r="CV186" s="231"/>
      <c r="CW186" s="231"/>
      <c r="CX186" s="231"/>
      <c r="CY186" s="231"/>
      <c r="CZ186" s="231"/>
      <c r="DA186" s="231"/>
      <c r="DB186" s="231"/>
      <c r="DC186" s="231"/>
      <c r="DD186" s="231"/>
      <c r="DE186" s="231"/>
      <c r="DF186" s="231"/>
      <c r="DG186" s="231"/>
      <c r="DH186" s="231"/>
      <c r="DI186" s="231"/>
      <c r="DJ186" s="231"/>
      <c r="DK186" s="231"/>
      <c r="DL186" s="231"/>
      <c r="DM186" s="231"/>
      <c r="DN186" s="231"/>
      <c r="DO186" s="231"/>
      <c r="DP186" s="231"/>
      <c r="DQ186" s="231"/>
      <c r="DR186" s="231"/>
      <c r="DS186" s="231"/>
      <c r="DT186" s="231"/>
      <c r="DU186" s="231"/>
      <c r="DV186" s="231"/>
      <c r="DW186" s="231"/>
      <c r="YS186" s="38" t="e">
        <f>RIGHT(CONCATENATE(0,#REF!),7)</f>
        <v>#REF!</v>
      </c>
    </row>
    <row r="187" spans="38:669" hidden="1">
      <c r="AL187" s="231"/>
      <c r="AM187" s="231"/>
      <c r="AN187" s="231"/>
      <c r="AO187" s="231"/>
      <c r="AP187" s="231"/>
      <c r="AQ187" s="231"/>
      <c r="AR187" s="231"/>
      <c r="AS187" s="231"/>
      <c r="AT187" s="231"/>
      <c r="AU187" s="231"/>
      <c r="AV187" s="231"/>
      <c r="AW187" s="231"/>
      <c r="AX187" s="231"/>
      <c r="AY187" s="231"/>
      <c r="AZ187" s="231"/>
      <c r="BA187" s="231"/>
      <c r="BB187" s="231"/>
      <c r="BC187" s="231"/>
      <c r="BD187" s="231"/>
      <c r="BE187" s="231"/>
      <c r="BF187" s="231"/>
      <c r="BG187" s="231"/>
      <c r="BH187" s="231"/>
      <c r="BI187" s="231"/>
      <c r="BJ187" s="231"/>
      <c r="BK187" s="231"/>
      <c r="BL187" s="231"/>
      <c r="BM187" s="231"/>
      <c r="BN187" s="231"/>
      <c r="BO187" s="231"/>
      <c r="BP187" s="231"/>
      <c r="BQ187" s="231"/>
      <c r="BR187" s="231"/>
      <c r="BS187" s="231"/>
      <c r="BT187" s="231"/>
      <c r="BU187" s="231"/>
      <c r="BV187" s="231"/>
      <c r="BW187" s="231"/>
      <c r="BX187" s="231"/>
      <c r="BY187" s="231"/>
      <c r="BZ187" s="231"/>
      <c r="CA187" s="231"/>
      <c r="CB187" s="231"/>
      <c r="CC187" s="231"/>
      <c r="CD187" s="231"/>
      <c r="CE187" s="231"/>
      <c r="CF187" s="231"/>
      <c r="CG187" s="231"/>
      <c r="CH187" s="231"/>
      <c r="CI187" s="231"/>
      <c r="CJ187" s="231"/>
      <c r="CK187" s="231"/>
      <c r="CL187" s="231"/>
      <c r="CM187" s="231"/>
      <c r="CN187" s="231"/>
      <c r="CO187" s="231"/>
      <c r="CP187" s="231"/>
      <c r="CQ187" s="231"/>
      <c r="CR187" s="231"/>
      <c r="CS187" s="231"/>
      <c r="CT187" s="231"/>
      <c r="CU187" s="231"/>
      <c r="CV187" s="231"/>
      <c r="CW187" s="231"/>
      <c r="CX187" s="231"/>
      <c r="CY187" s="231"/>
      <c r="CZ187" s="231"/>
      <c r="DA187" s="231"/>
      <c r="DB187" s="231"/>
      <c r="DC187" s="231"/>
      <c r="DD187" s="231"/>
      <c r="DE187" s="231"/>
      <c r="DF187" s="231"/>
      <c r="DG187" s="231"/>
      <c r="DH187" s="231"/>
      <c r="DI187" s="231"/>
      <c r="DJ187" s="231"/>
      <c r="DK187" s="231"/>
      <c r="DL187" s="231"/>
      <c r="DM187" s="231"/>
      <c r="DN187" s="231"/>
      <c r="DO187" s="231"/>
      <c r="DP187" s="231"/>
      <c r="DQ187" s="231"/>
      <c r="DR187" s="231"/>
      <c r="DS187" s="231"/>
      <c r="DT187" s="231"/>
      <c r="DU187" s="231"/>
      <c r="DV187" s="231"/>
      <c r="DW187" s="231"/>
      <c r="YS187" s="38" t="e">
        <f>RIGHT(CONCATENATE(0,#REF!),7)</f>
        <v>#REF!</v>
      </c>
    </row>
    <row r="188" spans="38:669" hidden="1">
      <c r="AL188" s="231"/>
      <c r="AM188" s="231"/>
      <c r="AN188" s="231"/>
      <c r="AO188" s="231"/>
      <c r="AP188" s="231"/>
      <c r="AQ188" s="231"/>
      <c r="AR188" s="231"/>
      <c r="AS188" s="231"/>
      <c r="AT188" s="231"/>
      <c r="AU188" s="231"/>
      <c r="AV188" s="231"/>
      <c r="AW188" s="231"/>
      <c r="AX188" s="231"/>
      <c r="AY188" s="231"/>
      <c r="AZ188" s="231"/>
      <c r="BA188" s="231"/>
      <c r="BB188" s="231"/>
      <c r="BC188" s="231"/>
      <c r="BD188" s="231"/>
      <c r="BE188" s="231"/>
      <c r="BF188" s="231"/>
      <c r="BG188" s="231"/>
      <c r="BH188" s="231"/>
      <c r="BI188" s="231"/>
      <c r="BJ188" s="231"/>
      <c r="BK188" s="231"/>
      <c r="BL188" s="231"/>
      <c r="BM188" s="231"/>
      <c r="BN188" s="231"/>
      <c r="BO188" s="231"/>
      <c r="BP188" s="231"/>
      <c r="BQ188" s="231"/>
      <c r="BR188" s="231"/>
      <c r="BS188" s="231"/>
      <c r="BT188" s="231"/>
      <c r="BU188" s="231"/>
      <c r="BV188" s="231"/>
      <c r="BW188" s="231"/>
      <c r="BX188" s="231"/>
      <c r="BY188" s="231"/>
      <c r="BZ188" s="231"/>
      <c r="CA188" s="231"/>
      <c r="CB188" s="231"/>
      <c r="CC188" s="231"/>
      <c r="CD188" s="231"/>
      <c r="CE188" s="231"/>
      <c r="CF188" s="231"/>
      <c r="CG188" s="231"/>
      <c r="CH188" s="231"/>
      <c r="CI188" s="231"/>
      <c r="CJ188" s="231"/>
      <c r="CK188" s="231"/>
      <c r="CL188" s="231"/>
      <c r="CM188" s="231"/>
      <c r="CN188" s="231"/>
      <c r="CO188" s="231"/>
      <c r="CP188" s="231"/>
      <c r="CQ188" s="231"/>
      <c r="CR188" s="231"/>
      <c r="CS188" s="231"/>
      <c r="CT188" s="231"/>
      <c r="CU188" s="231"/>
      <c r="CV188" s="231"/>
      <c r="CW188" s="231"/>
      <c r="CX188" s="231"/>
      <c r="CY188" s="231"/>
      <c r="CZ188" s="231"/>
      <c r="DA188" s="231"/>
      <c r="DB188" s="231"/>
      <c r="DC188" s="231"/>
      <c r="DD188" s="231"/>
      <c r="DE188" s="231"/>
      <c r="DF188" s="231"/>
      <c r="DG188" s="231"/>
      <c r="DH188" s="231"/>
      <c r="DI188" s="231"/>
      <c r="DJ188" s="231"/>
      <c r="DK188" s="231"/>
      <c r="DL188" s="231"/>
      <c r="DM188" s="231"/>
      <c r="DN188" s="231"/>
      <c r="DO188" s="231"/>
      <c r="DP188" s="231"/>
      <c r="DQ188" s="231"/>
      <c r="DR188" s="231"/>
      <c r="DS188" s="231"/>
      <c r="DT188" s="231"/>
      <c r="DU188" s="231"/>
      <c r="DV188" s="231"/>
      <c r="DW188" s="231"/>
      <c r="YS188" s="38" t="e">
        <f>RIGHT(CONCATENATE(0,#REF!),7)</f>
        <v>#REF!</v>
      </c>
    </row>
    <row r="189" spans="38:669" hidden="1">
      <c r="AL189" s="231"/>
      <c r="AM189" s="231"/>
      <c r="AN189" s="231"/>
      <c r="AO189" s="231"/>
      <c r="AP189" s="231"/>
      <c r="AQ189" s="231"/>
      <c r="AR189" s="231"/>
      <c r="AS189" s="231"/>
      <c r="AT189" s="231"/>
      <c r="AU189" s="231"/>
      <c r="AV189" s="231"/>
      <c r="AW189" s="231"/>
      <c r="AX189" s="231"/>
      <c r="AY189" s="231"/>
      <c r="AZ189" s="231"/>
      <c r="BA189" s="231"/>
      <c r="BB189" s="231"/>
      <c r="BC189" s="231"/>
      <c r="BD189" s="231"/>
      <c r="BE189" s="231"/>
      <c r="BF189" s="231"/>
      <c r="BG189" s="231"/>
      <c r="BH189" s="231"/>
      <c r="BI189" s="231"/>
      <c r="BJ189" s="231"/>
      <c r="BK189" s="231"/>
      <c r="BL189" s="231"/>
      <c r="BM189" s="231"/>
      <c r="BN189" s="231"/>
      <c r="BO189" s="231"/>
      <c r="BP189" s="231"/>
      <c r="BQ189" s="231"/>
      <c r="BR189" s="231"/>
      <c r="BS189" s="231"/>
      <c r="BT189" s="231"/>
      <c r="BU189" s="231"/>
      <c r="BV189" s="231"/>
      <c r="BW189" s="231"/>
      <c r="BX189" s="231"/>
      <c r="BY189" s="231"/>
      <c r="BZ189" s="231"/>
      <c r="CA189" s="231"/>
      <c r="CB189" s="231"/>
      <c r="CC189" s="231"/>
      <c r="CD189" s="231"/>
      <c r="CE189" s="231"/>
      <c r="CF189" s="231"/>
      <c r="CG189" s="231"/>
      <c r="CH189" s="231"/>
      <c r="CI189" s="231"/>
      <c r="CJ189" s="231"/>
      <c r="CK189" s="231"/>
      <c r="CL189" s="231"/>
      <c r="CM189" s="231"/>
      <c r="CN189" s="231"/>
      <c r="CO189" s="231"/>
      <c r="CP189" s="231"/>
      <c r="CQ189" s="231"/>
      <c r="CR189" s="231"/>
      <c r="CS189" s="231"/>
      <c r="CT189" s="231"/>
      <c r="CU189" s="231"/>
      <c r="CV189" s="231"/>
      <c r="CW189" s="231"/>
      <c r="CX189" s="231"/>
      <c r="CY189" s="231"/>
      <c r="CZ189" s="231"/>
      <c r="DA189" s="231"/>
      <c r="DB189" s="231"/>
      <c r="DC189" s="231"/>
      <c r="DD189" s="231"/>
      <c r="DE189" s="231"/>
      <c r="DF189" s="231"/>
      <c r="DG189" s="231"/>
      <c r="DH189" s="231"/>
      <c r="DI189" s="231"/>
      <c r="DJ189" s="231"/>
      <c r="DK189" s="231"/>
      <c r="DL189" s="231"/>
      <c r="DM189" s="231"/>
      <c r="DN189" s="231"/>
      <c r="DO189" s="231"/>
      <c r="DP189" s="231"/>
      <c r="DQ189" s="231"/>
      <c r="DR189" s="231"/>
      <c r="DS189" s="231"/>
      <c r="DT189" s="231"/>
      <c r="DU189" s="231"/>
      <c r="DV189" s="231"/>
      <c r="DW189" s="231"/>
      <c r="YS189" s="38" t="e">
        <f>RIGHT(CONCATENATE(0,#REF!),7)</f>
        <v>#REF!</v>
      </c>
    </row>
    <row r="190" spans="38:669" hidden="1">
      <c r="AL190" s="231"/>
      <c r="AM190" s="231"/>
      <c r="AN190" s="231"/>
      <c r="AO190" s="231"/>
      <c r="AP190" s="231"/>
      <c r="AQ190" s="231"/>
      <c r="AR190" s="231"/>
      <c r="AS190" s="231"/>
      <c r="AT190" s="231"/>
      <c r="AU190" s="231"/>
      <c r="AV190" s="231"/>
      <c r="AW190" s="231"/>
      <c r="AX190" s="231"/>
      <c r="AY190" s="231"/>
      <c r="AZ190" s="231"/>
      <c r="BA190" s="231"/>
      <c r="BB190" s="231"/>
      <c r="BC190" s="231"/>
      <c r="BD190" s="231"/>
      <c r="BE190" s="231"/>
      <c r="BF190" s="231"/>
      <c r="BG190" s="231"/>
      <c r="BH190" s="231"/>
      <c r="BI190" s="231"/>
      <c r="BJ190" s="231"/>
      <c r="BK190" s="231"/>
      <c r="BL190" s="231"/>
      <c r="BM190" s="231"/>
      <c r="BN190" s="231"/>
      <c r="BO190" s="231"/>
      <c r="BP190" s="231"/>
      <c r="BQ190" s="231"/>
      <c r="BR190" s="231"/>
      <c r="BS190" s="231"/>
      <c r="BT190" s="231"/>
      <c r="BU190" s="231"/>
      <c r="BV190" s="231"/>
      <c r="BW190" s="231"/>
      <c r="BX190" s="231"/>
      <c r="BY190" s="231"/>
      <c r="BZ190" s="231"/>
      <c r="CA190" s="231"/>
      <c r="CB190" s="231"/>
      <c r="CC190" s="231"/>
      <c r="CD190" s="231"/>
      <c r="CE190" s="231"/>
      <c r="CF190" s="231"/>
      <c r="CG190" s="231"/>
      <c r="CH190" s="231"/>
      <c r="CI190" s="231"/>
      <c r="CJ190" s="231"/>
      <c r="CK190" s="231"/>
      <c r="CL190" s="231"/>
      <c r="CM190" s="231"/>
      <c r="CN190" s="231"/>
      <c r="CO190" s="231"/>
      <c r="CP190" s="231"/>
      <c r="CQ190" s="231"/>
      <c r="CR190" s="231"/>
      <c r="CS190" s="231"/>
      <c r="CT190" s="231"/>
      <c r="CU190" s="231"/>
      <c r="CV190" s="231"/>
      <c r="CW190" s="231"/>
      <c r="CX190" s="231"/>
      <c r="CY190" s="231"/>
      <c r="CZ190" s="231"/>
      <c r="DA190" s="231"/>
      <c r="DB190" s="231"/>
      <c r="DC190" s="231"/>
      <c r="DD190" s="231"/>
      <c r="DE190" s="231"/>
      <c r="DF190" s="231"/>
      <c r="DG190" s="231"/>
      <c r="DH190" s="231"/>
      <c r="DI190" s="231"/>
      <c r="DJ190" s="231"/>
      <c r="DK190" s="231"/>
      <c r="DL190" s="231"/>
      <c r="DM190" s="231"/>
      <c r="DN190" s="231"/>
      <c r="DO190" s="231"/>
      <c r="DP190" s="231"/>
      <c r="DQ190" s="231"/>
      <c r="DR190" s="231"/>
      <c r="DS190" s="231"/>
      <c r="DT190" s="231"/>
      <c r="DU190" s="231"/>
      <c r="DV190" s="231"/>
      <c r="DW190" s="231"/>
      <c r="YS190" s="38" t="e">
        <f>RIGHT(CONCATENATE(0,#REF!),7)</f>
        <v>#REF!</v>
      </c>
    </row>
    <row r="191" spans="38:669" hidden="1">
      <c r="AL191" s="231"/>
      <c r="AM191" s="231"/>
      <c r="AN191" s="231"/>
      <c r="AO191" s="231"/>
      <c r="AP191" s="231"/>
      <c r="AQ191" s="231"/>
      <c r="AR191" s="231"/>
      <c r="AS191" s="231"/>
      <c r="AT191" s="231"/>
      <c r="AU191" s="231"/>
      <c r="AV191" s="231"/>
      <c r="AW191" s="231"/>
      <c r="AX191" s="231"/>
      <c r="AY191" s="231"/>
      <c r="AZ191" s="231"/>
      <c r="BA191" s="231"/>
      <c r="BB191" s="231"/>
      <c r="BC191" s="231"/>
      <c r="BD191" s="231"/>
      <c r="BE191" s="231"/>
      <c r="BF191" s="231"/>
      <c r="BG191" s="231"/>
      <c r="BH191" s="231"/>
      <c r="BI191" s="231"/>
      <c r="BJ191" s="231"/>
      <c r="BK191" s="231"/>
      <c r="BL191" s="231"/>
      <c r="BM191" s="231"/>
      <c r="BN191" s="231"/>
      <c r="BO191" s="231"/>
      <c r="BP191" s="231"/>
      <c r="BQ191" s="231"/>
      <c r="BR191" s="231"/>
      <c r="BS191" s="231"/>
      <c r="BT191" s="231"/>
      <c r="BU191" s="231"/>
      <c r="BV191" s="231"/>
      <c r="BW191" s="231"/>
      <c r="BX191" s="231"/>
      <c r="BY191" s="231"/>
      <c r="BZ191" s="231"/>
      <c r="CA191" s="231"/>
      <c r="CB191" s="231"/>
      <c r="CC191" s="231"/>
      <c r="CD191" s="231"/>
      <c r="CE191" s="231"/>
      <c r="CF191" s="231"/>
      <c r="CG191" s="231"/>
      <c r="CH191" s="231"/>
      <c r="CI191" s="231"/>
      <c r="CJ191" s="231"/>
      <c r="CK191" s="231"/>
      <c r="CL191" s="231"/>
      <c r="CM191" s="231"/>
      <c r="CN191" s="231"/>
      <c r="CO191" s="231"/>
      <c r="CP191" s="231"/>
      <c r="CQ191" s="231"/>
      <c r="CR191" s="231"/>
      <c r="CS191" s="231"/>
      <c r="CT191" s="231"/>
      <c r="CU191" s="231"/>
      <c r="CV191" s="231"/>
      <c r="CW191" s="231"/>
      <c r="CX191" s="231"/>
      <c r="CY191" s="231"/>
      <c r="CZ191" s="231"/>
      <c r="DA191" s="231"/>
      <c r="DB191" s="231"/>
      <c r="DC191" s="231"/>
      <c r="DD191" s="231"/>
      <c r="DE191" s="231"/>
      <c r="DF191" s="231"/>
      <c r="DG191" s="231"/>
      <c r="DH191" s="231"/>
      <c r="DI191" s="231"/>
      <c r="DJ191" s="231"/>
      <c r="DK191" s="231"/>
      <c r="DL191" s="231"/>
      <c r="DM191" s="231"/>
      <c r="DN191" s="231"/>
      <c r="DO191" s="231"/>
      <c r="DP191" s="231"/>
      <c r="DQ191" s="231"/>
      <c r="DR191" s="231"/>
      <c r="DS191" s="231"/>
      <c r="DT191" s="231"/>
      <c r="DU191" s="231"/>
      <c r="DV191" s="231"/>
      <c r="DW191" s="231"/>
      <c r="YS191" s="38" t="e">
        <f>RIGHT(CONCATENATE(0,#REF!),7)</f>
        <v>#REF!</v>
      </c>
    </row>
    <row r="192" spans="38:669" hidden="1">
      <c r="AL192" s="231"/>
      <c r="AM192" s="231"/>
      <c r="AN192" s="231"/>
      <c r="AO192" s="231"/>
      <c r="AP192" s="231"/>
      <c r="AQ192" s="231"/>
      <c r="AR192" s="231"/>
      <c r="AS192" s="231"/>
      <c r="AT192" s="231"/>
      <c r="AU192" s="231"/>
      <c r="AV192" s="231"/>
      <c r="AW192" s="231"/>
      <c r="AX192" s="231"/>
      <c r="AY192" s="231"/>
      <c r="AZ192" s="231"/>
      <c r="BA192" s="231"/>
      <c r="BB192" s="231"/>
      <c r="BC192" s="231"/>
      <c r="BD192" s="231"/>
      <c r="BE192" s="231"/>
      <c r="BF192" s="231"/>
      <c r="BG192" s="231"/>
      <c r="BH192" s="231"/>
      <c r="BI192" s="231"/>
      <c r="BJ192" s="231"/>
      <c r="BK192" s="231"/>
      <c r="BL192" s="231"/>
      <c r="BM192" s="231"/>
      <c r="BN192" s="231"/>
      <c r="BO192" s="231"/>
      <c r="BP192" s="231"/>
      <c r="BQ192" s="231"/>
      <c r="BR192" s="231"/>
      <c r="BS192" s="231"/>
      <c r="BT192" s="231"/>
      <c r="BU192" s="231"/>
      <c r="BV192" s="231"/>
      <c r="BW192" s="231"/>
      <c r="BX192" s="231"/>
      <c r="BY192" s="231"/>
      <c r="BZ192" s="231"/>
      <c r="CA192" s="231"/>
      <c r="CB192" s="231"/>
      <c r="CC192" s="231"/>
      <c r="CD192" s="231"/>
      <c r="CE192" s="231"/>
      <c r="CF192" s="231"/>
      <c r="CG192" s="231"/>
      <c r="CH192" s="231"/>
      <c r="CI192" s="231"/>
      <c r="CJ192" s="231"/>
      <c r="CK192" s="231"/>
      <c r="CL192" s="231"/>
      <c r="CM192" s="231"/>
      <c r="CN192" s="231"/>
      <c r="CO192" s="231"/>
      <c r="CP192" s="231"/>
      <c r="CQ192" s="231"/>
      <c r="CR192" s="231"/>
      <c r="CS192" s="231"/>
      <c r="CT192" s="231"/>
      <c r="CU192" s="231"/>
      <c r="CV192" s="231"/>
      <c r="CW192" s="231"/>
      <c r="CX192" s="231"/>
      <c r="CY192" s="231"/>
      <c r="CZ192" s="231"/>
      <c r="DA192" s="231"/>
      <c r="DB192" s="231"/>
      <c r="DC192" s="231"/>
      <c r="DD192" s="231"/>
      <c r="DE192" s="231"/>
      <c r="DF192" s="231"/>
      <c r="DG192" s="231"/>
      <c r="DH192" s="231"/>
      <c r="DI192" s="231"/>
      <c r="DJ192" s="231"/>
      <c r="DK192" s="231"/>
      <c r="DL192" s="231"/>
      <c r="DM192" s="231"/>
      <c r="DN192" s="231"/>
      <c r="DO192" s="231"/>
      <c r="DP192" s="231"/>
      <c r="DQ192" s="231"/>
      <c r="DR192" s="231"/>
      <c r="DS192" s="231"/>
      <c r="DT192" s="231"/>
      <c r="DU192" s="231"/>
      <c r="DV192" s="231"/>
      <c r="DW192" s="231"/>
      <c r="YS192" s="38" t="e">
        <f>RIGHT(CONCATENATE(0,#REF!),7)</f>
        <v>#REF!</v>
      </c>
    </row>
    <row r="193" spans="38:669" hidden="1">
      <c r="AL193" s="231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1"/>
      <c r="BS193" s="231"/>
      <c r="BT193" s="231"/>
      <c r="BU193" s="231"/>
      <c r="BV193" s="231"/>
      <c r="BW193" s="231"/>
      <c r="BX193" s="231"/>
      <c r="BY193" s="231"/>
      <c r="BZ193" s="231"/>
      <c r="CA193" s="231"/>
      <c r="CB193" s="231"/>
      <c r="CC193" s="231"/>
      <c r="CD193" s="231"/>
      <c r="CE193" s="231"/>
      <c r="CF193" s="231"/>
      <c r="CG193" s="231"/>
      <c r="CH193" s="231"/>
      <c r="CI193" s="231"/>
      <c r="CJ193" s="231"/>
      <c r="CK193" s="231"/>
      <c r="CL193" s="231"/>
      <c r="CM193" s="231"/>
      <c r="CN193" s="231"/>
      <c r="CO193" s="231"/>
      <c r="CP193" s="231"/>
      <c r="CQ193" s="231"/>
      <c r="CR193" s="231"/>
      <c r="CS193" s="231"/>
      <c r="CT193" s="231"/>
      <c r="CU193" s="231"/>
      <c r="CV193" s="231"/>
      <c r="CW193" s="231"/>
      <c r="CX193" s="231"/>
      <c r="CY193" s="231"/>
      <c r="CZ193" s="231"/>
      <c r="DA193" s="231"/>
      <c r="DB193" s="231"/>
      <c r="DC193" s="231"/>
      <c r="DD193" s="231"/>
      <c r="DE193" s="231"/>
      <c r="DF193" s="231"/>
      <c r="DG193" s="231"/>
      <c r="DH193" s="231"/>
      <c r="DI193" s="231"/>
      <c r="DJ193" s="231"/>
      <c r="DK193" s="231"/>
      <c r="DL193" s="231"/>
      <c r="DM193" s="231"/>
      <c r="DN193" s="231"/>
      <c r="DO193" s="231"/>
      <c r="DP193" s="231"/>
      <c r="DQ193" s="231"/>
      <c r="DR193" s="231"/>
      <c r="DS193" s="231"/>
      <c r="DT193" s="231"/>
      <c r="DU193" s="231"/>
      <c r="DV193" s="231"/>
      <c r="DW193" s="231"/>
      <c r="YS193" s="38" t="e">
        <f>RIGHT(CONCATENATE(0,#REF!),7)</f>
        <v>#REF!</v>
      </c>
    </row>
    <row r="194" spans="38:669" hidden="1">
      <c r="AL194" s="231"/>
      <c r="AM194" s="231"/>
      <c r="AN194" s="231"/>
      <c r="AO194" s="231"/>
      <c r="AP194" s="231"/>
      <c r="AQ194" s="231"/>
      <c r="AR194" s="231"/>
      <c r="AS194" s="231"/>
      <c r="AT194" s="231"/>
      <c r="AU194" s="231"/>
      <c r="AV194" s="231"/>
      <c r="AW194" s="231"/>
      <c r="AX194" s="231"/>
      <c r="AY194" s="231"/>
      <c r="AZ194" s="231"/>
      <c r="BA194" s="231"/>
      <c r="BB194" s="231"/>
      <c r="BC194" s="231"/>
      <c r="BD194" s="231"/>
      <c r="BE194" s="231"/>
      <c r="BF194" s="231"/>
      <c r="BG194" s="231"/>
      <c r="BH194" s="231"/>
      <c r="BI194" s="231"/>
      <c r="BJ194" s="231"/>
      <c r="BK194" s="231"/>
      <c r="BL194" s="231"/>
      <c r="BM194" s="231"/>
      <c r="BN194" s="231"/>
      <c r="BO194" s="231"/>
      <c r="BP194" s="231"/>
      <c r="BQ194" s="231"/>
      <c r="BR194" s="231"/>
      <c r="BS194" s="231"/>
      <c r="BT194" s="231"/>
      <c r="BU194" s="231"/>
      <c r="BV194" s="231"/>
      <c r="BW194" s="231"/>
      <c r="BX194" s="231"/>
      <c r="BY194" s="231"/>
      <c r="BZ194" s="231"/>
      <c r="CA194" s="231"/>
      <c r="CB194" s="231"/>
      <c r="CC194" s="231"/>
      <c r="CD194" s="231"/>
      <c r="CE194" s="231"/>
      <c r="CF194" s="231"/>
      <c r="CG194" s="231"/>
      <c r="CH194" s="231"/>
      <c r="CI194" s="231"/>
      <c r="CJ194" s="231"/>
      <c r="CK194" s="231"/>
      <c r="CL194" s="231"/>
      <c r="CM194" s="231"/>
      <c r="CN194" s="231"/>
      <c r="CO194" s="231"/>
      <c r="CP194" s="231"/>
      <c r="CQ194" s="231"/>
      <c r="CR194" s="231"/>
      <c r="CS194" s="231"/>
      <c r="CT194" s="231"/>
      <c r="CU194" s="231"/>
      <c r="CV194" s="231"/>
      <c r="CW194" s="231"/>
      <c r="CX194" s="231"/>
      <c r="CY194" s="231"/>
      <c r="CZ194" s="231"/>
      <c r="DA194" s="231"/>
      <c r="DB194" s="231"/>
      <c r="DC194" s="231"/>
      <c r="DD194" s="231"/>
      <c r="DE194" s="231"/>
      <c r="DF194" s="231"/>
      <c r="DG194" s="231"/>
      <c r="DH194" s="231"/>
      <c r="DI194" s="231"/>
      <c r="DJ194" s="231"/>
      <c r="DK194" s="231"/>
      <c r="DL194" s="231"/>
      <c r="DM194" s="231"/>
      <c r="DN194" s="231"/>
      <c r="DO194" s="231"/>
      <c r="DP194" s="231"/>
      <c r="DQ194" s="231"/>
      <c r="DR194" s="231"/>
      <c r="DS194" s="231"/>
      <c r="DT194" s="231"/>
      <c r="DU194" s="231"/>
      <c r="DV194" s="231"/>
      <c r="DW194" s="231"/>
      <c r="YS194" s="38" t="e">
        <f>RIGHT(CONCATENATE(0,#REF!),7)</f>
        <v>#REF!</v>
      </c>
    </row>
    <row r="195" spans="38:669" hidden="1">
      <c r="AL195" s="231"/>
      <c r="AM195" s="231"/>
      <c r="AN195" s="231"/>
      <c r="AO195" s="231"/>
      <c r="AP195" s="231"/>
      <c r="AQ195" s="231"/>
      <c r="AR195" s="231"/>
      <c r="AS195" s="231"/>
      <c r="AT195" s="231"/>
      <c r="AU195" s="231"/>
      <c r="AV195" s="231"/>
      <c r="AW195" s="231"/>
      <c r="AX195" s="231"/>
      <c r="AY195" s="231"/>
      <c r="AZ195" s="231"/>
      <c r="BA195" s="231"/>
      <c r="BB195" s="231"/>
      <c r="BC195" s="231"/>
      <c r="BD195" s="231"/>
      <c r="BE195" s="231"/>
      <c r="BF195" s="231"/>
      <c r="BG195" s="231"/>
      <c r="BH195" s="231"/>
      <c r="BI195" s="231"/>
      <c r="BJ195" s="231"/>
      <c r="BK195" s="231"/>
      <c r="BL195" s="231"/>
      <c r="BM195" s="231"/>
      <c r="BN195" s="231"/>
      <c r="BO195" s="231"/>
      <c r="BP195" s="231"/>
      <c r="BQ195" s="231"/>
      <c r="BR195" s="231"/>
      <c r="BS195" s="231"/>
      <c r="BT195" s="231"/>
      <c r="BU195" s="231"/>
      <c r="BV195" s="231"/>
      <c r="BW195" s="231"/>
      <c r="BX195" s="231"/>
      <c r="BY195" s="231"/>
      <c r="BZ195" s="231"/>
      <c r="CA195" s="231"/>
      <c r="CB195" s="231"/>
      <c r="CC195" s="231"/>
      <c r="CD195" s="231"/>
      <c r="CE195" s="231"/>
      <c r="CF195" s="231"/>
      <c r="CG195" s="231"/>
      <c r="CH195" s="231"/>
      <c r="CI195" s="231"/>
      <c r="CJ195" s="231"/>
      <c r="CK195" s="231"/>
      <c r="CL195" s="231"/>
      <c r="CM195" s="231"/>
      <c r="CN195" s="231"/>
      <c r="CO195" s="231"/>
      <c r="CP195" s="231"/>
      <c r="CQ195" s="231"/>
      <c r="CR195" s="231"/>
      <c r="CS195" s="231"/>
      <c r="CT195" s="231"/>
      <c r="CU195" s="231"/>
      <c r="CV195" s="231"/>
      <c r="CW195" s="231"/>
      <c r="CX195" s="231"/>
      <c r="CY195" s="231"/>
      <c r="CZ195" s="231"/>
      <c r="DA195" s="231"/>
      <c r="DB195" s="231"/>
      <c r="DC195" s="231"/>
      <c r="DD195" s="231"/>
      <c r="DE195" s="231"/>
      <c r="DF195" s="231"/>
      <c r="DG195" s="231"/>
      <c r="DH195" s="231"/>
      <c r="DI195" s="231"/>
      <c r="DJ195" s="231"/>
      <c r="DK195" s="231"/>
      <c r="DL195" s="231"/>
      <c r="DM195" s="231"/>
      <c r="DN195" s="231"/>
      <c r="DO195" s="231"/>
      <c r="DP195" s="231"/>
      <c r="DQ195" s="231"/>
      <c r="DR195" s="231"/>
      <c r="DS195" s="231"/>
      <c r="DT195" s="231"/>
      <c r="DU195" s="231"/>
      <c r="DV195" s="231"/>
      <c r="DW195" s="231"/>
      <c r="YS195" s="38" t="e">
        <f>RIGHT(CONCATENATE(0,#REF!),7)</f>
        <v>#REF!</v>
      </c>
    </row>
    <row r="196" spans="38:669" hidden="1">
      <c r="AL196" s="231"/>
      <c r="AM196" s="231"/>
      <c r="AN196" s="231"/>
      <c r="AO196" s="231"/>
      <c r="AP196" s="231"/>
      <c r="AQ196" s="231"/>
      <c r="AR196" s="231"/>
      <c r="AS196" s="231"/>
      <c r="AT196" s="231"/>
      <c r="AU196" s="231"/>
      <c r="AV196" s="231"/>
      <c r="AW196" s="231"/>
      <c r="AX196" s="231"/>
      <c r="AY196" s="231"/>
      <c r="AZ196" s="231"/>
      <c r="BA196" s="231"/>
      <c r="BB196" s="231"/>
      <c r="BC196" s="231"/>
      <c r="BD196" s="231"/>
      <c r="BE196" s="231"/>
      <c r="BF196" s="231"/>
      <c r="BG196" s="231"/>
      <c r="BH196" s="231"/>
      <c r="BI196" s="231"/>
      <c r="BJ196" s="231"/>
      <c r="BK196" s="231"/>
      <c r="BL196" s="231"/>
      <c r="BM196" s="231"/>
      <c r="BN196" s="231"/>
      <c r="BO196" s="231"/>
      <c r="BP196" s="231"/>
      <c r="BQ196" s="231"/>
      <c r="BR196" s="231"/>
      <c r="BS196" s="231"/>
      <c r="BT196" s="231"/>
      <c r="BU196" s="231"/>
      <c r="BV196" s="231"/>
      <c r="BW196" s="231"/>
      <c r="BX196" s="231"/>
      <c r="BY196" s="231"/>
      <c r="BZ196" s="231"/>
      <c r="CA196" s="231"/>
      <c r="CB196" s="231"/>
      <c r="CC196" s="231"/>
      <c r="CD196" s="231"/>
      <c r="CE196" s="231"/>
      <c r="CF196" s="231"/>
      <c r="CG196" s="231"/>
      <c r="CH196" s="231"/>
      <c r="CI196" s="231"/>
      <c r="CJ196" s="231"/>
      <c r="CK196" s="231"/>
      <c r="CL196" s="231"/>
      <c r="CM196" s="231"/>
      <c r="CN196" s="231"/>
      <c r="CO196" s="231"/>
      <c r="CP196" s="231"/>
      <c r="CQ196" s="231"/>
      <c r="CR196" s="231"/>
      <c r="CS196" s="231"/>
      <c r="CT196" s="231"/>
      <c r="CU196" s="231"/>
      <c r="CV196" s="231"/>
      <c r="CW196" s="231"/>
      <c r="CX196" s="231"/>
      <c r="CY196" s="231"/>
      <c r="CZ196" s="231"/>
      <c r="DA196" s="231"/>
      <c r="DB196" s="231"/>
      <c r="DC196" s="231"/>
      <c r="DD196" s="231"/>
      <c r="DE196" s="231"/>
      <c r="DF196" s="231"/>
      <c r="DG196" s="231"/>
      <c r="DH196" s="231"/>
      <c r="DI196" s="231"/>
      <c r="DJ196" s="231"/>
      <c r="DK196" s="231"/>
      <c r="DL196" s="231"/>
      <c r="DM196" s="231"/>
      <c r="DN196" s="231"/>
      <c r="DO196" s="231"/>
      <c r="DP196" s="231"/>
      <c r="DQ196" s="231"/>
      <c r="DR196" s="231"/>
      <c r="DS196" s="231"/>
      <c r="DT196" s="231"/>
      <c r="DU196" s="231"/>
      <c r="DV196" s="231"/>
      <c r="DW196" s="231"/>
      <c r="YS196" s="38" t="e">
        <f>RIGHT(CONCATENATE(0,#REF!),7)</f>
        <v>#REF!</v>
      </c>
    </row>
    <row r="197" spans="38:669" hidden="1">
      <c r="AL197" s="231"/>
      <c r="AM197" s="231"/>
      <c r="AN197" s="231"/>
      <c r="AO197" s="231"/>
      <c r="AP197" s="231"/>
      <c r="AQ197" s="231"/>
      <c r="AR197" s="231"/>
      <c r="AS197" s="231"/>
      <c r="AT197" s="231"/>
      <c r="AU197" s="231"/>
      <c r="AV197" s="231"/>
      <c r="AW197" s="231"/>
      <c r="AX197" s="231"/>
      <c r="AY197" s="231"/>
      <c r="AZ197" s="231"/>
      <c r="BA197" s="231"/>
      <c r="BB197" s="231"/>
      <c r="BC197" s="231"/>
      <c r="BD197" s="231"/>
      <c r="BE197" s="231"/>
      <c r="BF197" s="231"/>
      <c r="BG197" s="231"/>
      <c r="BH197" s="231"/>
      <c r="BI197" s="231"/>
      <c r="BJ197" s="231"/>
      <c r="BK197" s="231"/>
      <c r="BL197" s="231"/>
      <c r="BM197" s="231"/>
      <c r="BN197" s="231"/>
      <c r="BO197" s="231"/>
      <c r="BP197" s="231"/>
      <c r="BQ197" s="231"/>
      <c r="BR197" s="231"/>
      <c r="BS197" s="231"/>
      <c r="BT197" s="231"/>
      <c r="BU197" s="231"/>
      <c r="BV197" s="231"/>
      <c r="BW197" s="231"/>
      <c r="BX197" s="231"/>
      <c r="BY197" s="231"/>
      <c r="BZ197" s="231"/>
      <c r="CA197" s="231"/>
      <c r="CB197" s="231"/>
      <c r="CC197" s="231"/>
      <c r="CD197" s="231"/>
      <c r="CE197" s="231"/>
      <c r="CF197" s="231"/>
      <c r="CG197" s="231"/>
      <c r="CH197" s="231"/>
      <c r="CI197" s="231"/>
      <c r="CJ197" s="231"/>
      <c r="CK197" s="231"/>
      <c r="CL197" s="231"/>
      <c r="CM197" s="231"/>
      <c r="CN197" s="231"/>
      <c r="CO197" s="231"/>
      <c r="CP197" s="231"/>
      <c r="CQ197" s="231"/>
      <c r="CR197" s="231"/>
      <c r="CS197" s="231"/>
      <c r="CT197" s="231"/>
      <c r="CU197" s="231"/>
      <c r="CV197" s="231"/>
      <c r="CW197" s="231"/>
      <c r="CX197" s="231"/>
      <c r="CY197" s="231"/>
      <c r="CZ197" s="231"/>
      <c r="DA197" s="231"/>
      <c r="DB197" s="231"/>
      <c r="DC197" s="231"/>
      <c r="DD197" s="231"/>
      <c r="DE197" s="231"/>
      <c r="DF197" s="231"/>
      <c r="DG197" s="231"/>
      <c r="DH197" s="231"/>
      <c r="DI197" s="231"/>
      <c r="DJ197" s="231"/>
      <c r="DK197" s="231"/>
      <c r="DL197" s="231"/>
      <c r="DM197" s="231"/>
      <c r="DN197" s="231"/>
      <c r="DO197" s="231"/>
      <c r="DP197" s="231"/>
      <c r="DQ197" s="231"/>
      <c r="DR197" s="231"/>
      <c r="DS197" s="231"/>
      <c r="DT197" s="231"/>
      <c r="DU197" s="231"/>
      <c r="DV197" s="231"/>
      <c r="DW197" s="231"/>
      <c r="YS197" s="38" t="e">
        <f>RIGHT(CONCATENATE(0,#REF!),7)</f>
        <v>#REF!</v>
      </c>
    </row>
    <row r="198" spans="38:669" hidden="1">
      <c r="AL198" s="231"/>
      <c r="AM198" s="231"/>
      <c r="AN198" s="231"/>
      <c r="AO198" s="231"/>
      <c r="AP198" s="231"/>
      <c r="AQ198" s="231"/>
      <c r="AR198" s="231"/>
      <c r="AS198" s="231"/>
      <c r="AT198" s="231"/>
      <c r="AU198" s="231"/>
      <c r="AV198" s="231"/>
      <c r="AW198" s="231"/>
      <c r="AX198" s="231"/>
      <c r="AY198" s="231"/>
      <c r="AZ198" s="231"/>
      <c r="BA198" s="231"/>
      <c r="BB198" s="231"/>
      <c r="BC198" s="231"/>
      <c r="BD198" s="231"/>
      <c r="BE198" s="231"/>
      <c r="BF198" s="231"/>
      <c r="BG198" s="231"/>
      <c r="BH198" s="231"/>
      <c r="BI198" s="231"/>
      <c r="BJ198" s="231"/>
      <c r="BK198" s="231"/>
      <c r="BL198" s="231"/>
      <c r="BM198" s="231"/>
      <c r="BN198" s="231"/>
      <c r="BO198" s="231"/>
      <c r="BP198" s="231"/>
      <c r="BQ198" s="231"/>
      <c r="BR198" s="231"/>
      <c r="BS198" s="231"/>
      <c r="BT198" s="231"/>
      <c r="BU198" s="231"/>
      <c r="BV198" s="231"/>
      <c r="BW198" s="231"/>
      <c r="BX198" s="231"/>
      <c r="BY198" s="231"/>
      <c r="BZ198" s="231"/>
      <c r="CA198" s="231"/>
      <c r="CB198" s="231"/>
      <c r="CC198" s="231"/>
      <c r="CD198" s="231"/>
      <c r="CE198" s="231"/>
      <c r="CF198" s="231"/>
      <c r="CG198" s="231"/>
      <c r="CH198" s="231"/>
      <c r="CI198" s="231"/>
      <c r="CJ198" s="231"/>
      <c r="CK198" s="231"/>
      <c r="CL198" s="231"/>
      <c r="CM198" s="231"/>
      <c r="CN198" s="231"/>
      <c r="CO198" s="231"/>
      <c r="CP198" s="231"/>
      <c r="CQ198" s="231"/>
      <c r="CR198" s="231"/>
      <c r="CS198" s="231"/>
      <c r="CT198" s="231"/>
      <c r="CU198" s="231"/>
      <c r="CV198" s="231"/>
      <c r="CW198" s="231"/>
      <c r="CX198" s="231"/>
      <c r="CY198" s="231"/>
      <c r="CZ198" s="231"/>
      <c r="DA198" s="231"/>
      <c r="DB198" s="231"/>
      <c r="DC198" s="231"/>
      <c r="DD198" s="231"/>
      <c r="DE198" s="231"/>
      <c r="DF198" s="231"/>
      <c r="DG198" s="231"/>
      <c r="DH198" s="231"/>
      <c r="DI198" s="231"/>
      <c r="DJ198" s="231"/>
      <c r="DK198" s="231"/>
      <c r="DL198" s="231"/>
      <c r="DM198" s="231"/>
      <c r="DN198" s="231"/>
      <c r="DO198" s="231"/>
      <c r="DP198" s="231"/>
      <c r="DQ198" s="231"/>
      <c r="DR198" s="231"/>
      <c r="DS198" s="231"/>
      <c r="DT198" s="231"/>
      <c r="DU198" s="231"/>
      <c r="DV198" s="231"/>
      <c r="DW198" s="231"/>
      <c r="YS198" s="38" t="e">
        <f>RIGHT(CONCATENATE(0,#REF!),7)</f>
        <v>#REF!</v>
      </c>
    </row>
    <row r="199" spans="38:669" hidden="1">
      <c r="AL199" s="231"/>
      <c r="AM199" s="231"/>
      <c r="AN199" s="231"/>
      <c r="AO199" s="231"/>
      <c r="AP199" s="231"/>
      <c r="AQ199" s="231"/>
      <c r="AR199" s="231"/>
      <c r="AS199" s="231"/>
      <c r="AT199" s="231"/>
      <c r="AU199" s="231"/>
      <c r="AV199" s="231"/>
      <c r="AW199" s="231"/>
      <c r="AX199" s="231"/>
      <c r="AY199" s="231"/>
      <c r="AZ199" s="231"/>
      <c r="BA199" s="231"/>
      <c r="BB199" s="231"/>
      <c r="BC199" s="231"/>
      <c r="BD199" s="231"/>
      <c r="BE199" s="231"/>
      <c r="BF199" s="231"/>
      <c r="BG199" s="231"/>
      <c r="BH199" s="231"/>
      <c r="BI199" s="231"/>
      <c r="BJ199" s="231"/>
      <c r="BK199" s="231"/>
      <c r="BL199" s="231"/>
      <c r="BM199" s="231"/>
      <c r="BN199" s="231"/>
      <c r="BO199" s="231"/>
      <c r="BP199" s="231"/>
      <c r="BQ199" s="231"/>
      <c r="BR199" s="231"/>
      <c r="BS199" s="231"/>
      <c r="BT199" s="231"/>
      <c r="BU199" s="231"/>
      <c r="BV199" s="231"/>
      <c r="BW199" s="231"/>
      <c r="BX199" s="231"/>
      <c r="BY199" s="231"/>
      <c r="BZ199" s="231"/>
      <c r="CA199" s="231"/>
      <c r="CB199" s="231"/>
      <c r="CC199" s="231"/>
      <c r="CD199" s="231"/>
      <c r="CE199" s="231"/>
      <c r="CF199" s="231"/>
      <c r="CG199" s="231"/>
      <c r="CH199" s="231"/>
      <c r="CI199" s="231"/>
      <c r="CJ199" s="231"/>
      <c r="CK199" s="231"/>
      <c r="CL199" s="231"/>
      <c r="CM199" s="231"/>
      <c r="CN199" s="231"/>
      <c r="CO199" s="231"/>
      <c r="CP199" s="231"/>
      <c r="CQ199" s="231"/>
      <c r="CR199" s="231"/>
      <c r="CS199" s="231"/>
      <c r="CT199" s="231"/>
      <c r="CU199" s="231"/>
      <c r="CV199" s="231"/>
      <c r="CW199" s="231"/>
      <c r="CX199" s="231"/>
      <c r="CY199" s="231"/>
      <c r="CZ199" s="231"/>
      <c r="DA199" s="231"/>
      <c r="DB199" s="231"/>
      <c r="DC199" s="231"/>
      <c r="DD199" s="231"/>
      <c r="DE199" s="231"/>
      <c r="DF199" s="231"/>
      <c r="DG199" s="231"/>
      <c r="DH199" s="231"/>
      <c r="DI199" s="231"/>
      <c r="DJ199" s="231"/>
      <c r="DK199" s="231"/>
      <c r="DL199" s="231"/>
      <c r="DM199" s="231"/>
      <c r="DN199" s="231"/>
      <c r="DO199" s="231"/>
      <c r="DP199" s="231"/>
      <c r="DQ199" s="231"/>
      <c r="DR199" s="231"/>
      <c r="DS199" s="231"/>
      <c r="DT199" s="231"/>
      <c r="DU199" s="231"/>
      <c r="DV199" s="231"/>
      <c r="DW199" s="231"/>
      <c r="YS199" s="38" t="e">
        <f>RIGHT(CONCATENATE(0,#REF!),7)</f>
        <v>#REF!</v>
      </c>
    </row>
    <row r="200" spans="38:669" hidden="1">
      <c r="AL200" s="231"/>
      <c r="AM200" s="231"/>
      <c r="AN200" s="231"/>
      <c r="AO200" s="231"/>
      <c r="AP200" s="231"/>
      <c r="AQ200" s="231"/>
      <c r="AR200" s="231"/>
      <c r="AS200" s="231"/>
      <c r="AT200" s="231"/>
      <c r="AU200" s="231"/>
      <c r="AV200" s="231"/>
      <c r="AW200" s="231"/>
      <c r="AX200" s="231"/>
      <c r="AY200" s="231"/>
      <c r="AZ200" s="231"/>
      <c r="BA200" s="231"/>
      <c r="BB200" s="231"/>
      <c r="BC200" s="231"/>
      <c r="BD200" s="231"/>
      <c r="BE200" s="231"/>
      <c r="BF200" s="231"/>
      <c r="BG200" s="231"/>
      <c r="BH200" s="231"/>
      <c r="BI200" s="231"/>
      <c r="BJ200" s="231"/>
      <c r="BK200" s="231"/>
      <c r="BL200" s="231"/>
      <c r="BM200" s="231"/>
      <c r="BN200" s="231"/>
      <c r="BO200" s="231"/>
      <c r="BP200" s="231"/>
      <c r="BQ200" s="231"/>
      <c r="BR200" s="231"/>
      <c r="BS200" s="231"/>
      <c r="BT200" s="231"/>
      <c r="BU200" s="231"/>
      <c r="BV200" s="231"/>
      <c r="BW200" s="231"/>
      <c r="BX200" s="231"/>
      <c r="BY200" s="231"/>
      <c r="BZ200" s="231"/>
      <c r="CA200" s="231"/>
      <c r="CB200" s="231"/>
      <c r="CC200" s="231"/>
      <c r="CD200" s="231"/>
      <c r="CE200" s="231"/>
      <c r="CF200" s="231"/>
      <c r="CG200" s="231"/>
      <c r="CH200" s="231"/>
      <c r="CI200" s="231"/>
      <c r="CJ200" s="231"/>
      <c r="CK200" s="231"/>
      <c r="CL200" s="231"/>
      <c r="CM200" s="231"/>
      <c r="CN200" s="231"/>
      <c r="CO200" s="231"/>
      <c r="CP200" s="231"/>
      <c r="CQ200" s="231"/>
      <c r="CR200" s="231"/>
      <c r="CS200" s="231"/>
      <c r="CT200" s="231"/>
      <c r="CU200" s="231"/>
      <c r="CV200" s="231"/>
      <c r="CW200" s="231"/>
      <c r="CX200" s="231"/>
      <c r="CY200" s="231"/>
      <c r="CZ200" s="231"/>
      <c r="DA200" s="231"/>
      <c r="DB200" s="231"/>
      <c r="DC200" s="231"/>
      <c r="DD200" s="231"/>
      <c r="DE200" s="231"/>
      <c r="DF200" s="231"/>
      <c r="DG200" s="231"/>
      <c r="DH200" s="231"/>
      <c r="DI200" s="231"/>
      <c r="DJ200" s="231"/>
      <c r="DK200" s="231"/>
      <c r="DL200" s="231"/>
      <c r="DM200" s="231"/>
      <c r="DN200" s="231"/>
      <c r="DO200" s="231"/>
      <c r="DP200" s="231"/>
      <c r="DQ200" s="231"/>
      <c r="DR200" s="231"/>
      <c r="DS200" s="231"/>
      <c r="DT200" s="231"/>
      <c r="DU200" s="231"/>
      <c r="DV200" s="231"/>
      <c r="DW200" s="231"/>
      <c r="YS200" s="38" t="e">
        <f>RIGHT(CONCATENATE(0,#REF!),7)</f>
        <v>#REF!</v>
      </c>
    </row>
    <row r="201" spans="38:669" hidden="1">
      <c r="AL201" s="231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1"/>
      <c r="BR201" s="231"/>
      <c r="BS201" s="231"/>
      <c r="BT201" s="231"/>
      <c r="BU201" s="231"/>
      <c r="BV201" s="231"/>
      <c r="BW201" s="231"/>
      <c r="BX201" s="231"/>
      <c r="BY201" s="231"/>
      <c r="BZ201" s="231"/>
      <c r="CA201" s="231"/>
      <c r="CB201" s="231"/>
      <c r="CC201" s="231"/>
      <c r="CD201" s="231"/>
      <c r="CE201" s="231"/>
      <c r="CF201" s="231"/>
      <c r="CG201" s="231"/>
      <c r="CH201" s="231"/>
      <c r="CI201" s="231"/>
      <c r="CJ201" s="231"/>
      <c r="CK201" s="231"/>
      <c r="CL201" s="231"/>
      <c r="CM201" s="231"/>
      <c r="CN201" s="231"/>
      <c r="CO201" s="231"/>
      <c r="CP201" s="231"/>
      <c r="CQ201" s="231"/>
      <c r="CR201" s="231"/>
      <c r="CS201" s="231"/>
      <c r="CT201" s="231"/>
      <c r="CU201" s="231"/>
      <c r="CV201" s="231"/>
      <c r="CW201" s="231"/>
      <c r="CX201" s="231"/>
      <c r="CY201" s="231"/>
      <c r="CZ201" s="231"/>
      <c r="DA201" s="231"/>
      <c r="DB201" s="231"/>
      <c r="DC201" s="231"/>
      <c r="DD201" s="231"/>
      <c r="DE201" s="231"/>
      <c r="DF201" s="231"/>
      <c r="DG201" s="231"/>
      <c r="DH201" s="231"/>
      <c r="DI201" s="231"/>
      <c r="DJ201" s="231"/>
      <c r="DK201" s="231"/>
      <c r="DL201" s="231"/>
      <c r="DM201" s="231"/>
      <c r="DN201" s="231"/>
      <c r="DO201" s="231"/>
      <c r="DP201" s="231"/>
      <c r="DQ201" s="231"/>
      <c r="DR201" s="231"/>
      <c r="DS201" s="231"/>
      <c r="DT201" s="231"/>
      <c r="DU201" s="231"/>
      <c r="DV201" s="231"/>
      <c r="DW201" s="231"/>
      <c r="YS201" s="38" t="e">
        <f>RIGHT(CONCATENATE(0,#REF!),7)</f>
        <v>#REF!</v>
      </c>
    </row>
    <row r="202" spans="38:669" hidden="1">
      <c r="AL202" s="231"/>
      <c r="AM202" s="231"/>
      <c r="AN202" s="231"/>
      <c r="AO202" s="231"/>
      <c r="AP202" s="231"/>
      <c r="AQ202" s="231"/>
      <c r="AR202" s="231"/>
      <c r="AS202" s="231"/>
      <c r="AT202" s="231"/>
      <c r="AU202" s="231"/>
      <c r="AV202" s="231"/>
      <c r="AW202" s="231"/>
      <c r="AX202" s="231"/>
      <c r="AY202" s="231"/>
      <c r="AZ202" s="231"/>
      <c r="BA202" s="231"/>
      <c r="BB202" s="231"/>
      <c r="BC202" s="231"/>
      <c r="BD202" s="231"/>
      <c r="BE202" s="231"/>
      <c r="BF202" s="231"/>
      <c r="BG202" s="231"/>
      <c r="BH202" s="231"/>
      <c r="BI202" s="231"/>
      <c r="BJ202" s="231"/>
      <c r="BK202" s="231"/>
      <c r="BL202" s="231"/>
      <c r="BM202" s="231"/>
      <c r="BN202" s="231"/>
      <c r="BO202" s="231"/>
      <c r="BP202" s="231"/>
      <c r="BQ202" s="231"/>
      <c r="BR202" s="231"/>
      <c r="BS202" s="231"/>
      <c r="BT202" s="231"/>
      <c r="BU202" s="231"/>
      <c r="BV202" s="231"/>
      <c r="BW202" s="231"/>
      <c r="BX202" s="231"/>
      <c r="BY202" s="231"/>
      <c r="BZ202" s="231"/>
      <c r="CA202" s="231"/>
      <c r="CB202" s="231"/>
      <c r="CC202" s="231"/>
      <c r="CD202" s="231"/>
      <c r="CE202" s="231"/>
      <c r="CF202" s="231"/>
      <c r="CG202" s="231"/>
      <c r="CH202" s="231"/>
      <c r="CI202" s="231"/>
      <c r="CJ202" s="231"/>
      <c r="CK202" s="231"/>
      <c r="CL202" s="231"/>
      <c r="CM202" s="231"/>
      <c r="CN202" s="231"/>
      <c r="CO202" s="231"/>
      <c r="CP202" s="231"/>
      <c r="CQ202" s="231"/>
      <c r="CR202" s="231"/>
      <c r="CS202" s="231"/>
      <c r="CT202" s="231"/>
      <c r="CU202" s="231"/>
      <c r="CV202" s="231"/>
      <c r="CW202" s="231"/>
      <c r="CX202" s="231"/>
      <c r="CY202" s="231"/>
      <c r="CZ202" s="231"/>
      <c r="DA202" s="231"/>
      <c r="DB202" s="231"/>
      <c r="DC202" s="231"/>
      <c r="DD202" s="231"/>
      <c r="DE202" s="231"/>
      <c r="DF202" s="231"/>
      <c r="DG202" s="231"/>
      <c r="DH202" s="231"/>
      <c r="DI202" s="231"/>
      <c r="DJ202" s="231"/>
      <c r="DK202" s="231"/>
      <c r="DL202" s="231"/>
      <c r="DM202" s="231"/>
      <c r="DN202" s="231"/>
      <c r="DO202" s="231"/>
      <c r="DP202" s="231"/>
      <c r="DQ202" s="231"/>
      <c r="DR202" s="231"/>
      <c r="DS202" s="231"/>
      <c r="DT202" s="231"/>
      <c r="DU202" s="231"/>
      <c r="DV202" s="231"/>
      <c r="DW202" s="231"/>
      <c r="YS202" s="38" t="e">
        <f>RIGHT(CONCATENATE(0,#REF!),7)</f>
        <v>#REF!</v>
      </c>
    </row>
    <row r="203" spans="38:669" hidden="1">
      <c r="AL203" s="231"/>
      <c r="AM203" s="231"/>
      <c r="AN203" s="231"/>
      <c r="AO203" s="231"/>
      <c r="AP203" s="231"/>
      <c r="AQ203" s="231"/>
      <c r="AR203" s="231"/>
      <c r="AS203" s="231"/>
      <c r="AT203" s="231"/>
      <c r="AU203" s="231"/>
      <c r="AV203" s="231"/>
      <c r="AW203" s="231"/>
      <c r="AX203" s="231"/>
      <c r="AY203" s="231"/>
      <c r="AZ203" s="231"/>
      <c r="BA203" s="231"/>
      <c r="BB203" s="231"/>
      <c r="BC203" s="231"/>
      <c r="BD203" s="231"/>
      <c r="BE203" s="231"/>
      <c r="BF203" s="231"/>
      <c r="BG203" s="231"/>
      <c r="BH203" s="231"/>
      <c r="BI203" s="231"/>
      <c r="BJ203" s="231"/>
      <c r="BK203" s="231"/>
      <c r="BL203" s="231"/>
      <c r="BM203" s="231"/>
      <c r="BN203" s="231"/>
      <c r="BO203" s="231"/>
      <c r="BP203" s="231"/>
      <c r="BQ203" s="231"/>
      <c r="BR203" s="231"/>
      <c r="BS203" s="231"/>
      <c r="BT203" s="231"/>
      <c r="BU203" s="231"/>
      <c r="BV203" s="231"/>
      <c r="BW203" s="231"/>
      <c r="BX203" s="231"/>
      <c r="BY203" s="231"/>
      <c r="BZ203" s="231"/>
      <c r="CA203" s="231"/>
      <c r="CB203" s="231"/>
      <c r="CC203" s="231"/>
      <c r="CD203" s="231"/>
      <c r="CE203" s="231"/>
      <c r="CF203" s="231"/>
      <c r="CG203" s="231"/>
      <c r="CH203" s="231"/>
      <c r="CI203" s="231"/>
      <c r="CJ203" s="231"/>
      <c r="CK203" s="231"/>
      <c r="CL203" s="231"/>
      <c r="CM203" s="231"/>
      <c r="CN203" s="231"/>
      <c r="CO203" s="231"/>
      <c r="CP203" s="231"/>
      <c r="CQ203" s="231"/>
      <c r="CR203" s="231"/>
      <c r="CS203" s="231"/>
      <c r="CT203" s="231"/>
      <c r="CU203" s="231"/>
      <c r="CV203" s="231"/>
      <c r="CW203" s="231"/>
      <c r="CX203" s="231"/>
      <c r="CY203" s="231"/>
      <c r="CZ203" s="231"/>
      <c r="DA203" s="231"/>
      <c r="DB203" s="231"/>
      <c r="DC203" s="231"/>
      <c r="DD203" s="231"/>
      <c r="DE203" s="231"/>
      <c r="DF203" s="231"/>
      <c r="DG203" s="231"/>
      <c r="DH203" s="231"/>
      <c r="DI203" s="231"/>
      <c r="DJ203" s="231"/>
      <c r="DK203" s="231"/>
      <c r="DL203" s="231"/>
      <c r="DM203" s="231"/>
      <c r="DN203" s="231"/>
      <c r="DO203" s="231"/>
      <c r="DP203" s="231"/>
      <c r="DQ203" s="231"/>
      <c r="DR203" s="231"/>
      <c r="DS203" s="231"/>
      <c r="DT203" s="231"/>
      <c r="DU203" s="231"/>
      <c r="DV203" s="231"/>
      <c r="DW203" s="231"/>
      <c r="YS203" s="38" t="e">
        <f>RIGHT(CONCATENATE(0,#REF!),7)</f>
        <v>#REF!</v>
      </c>
    </row>
    <row r="204" spans="38:669" hidden="1">
      <c r="AL204" s="231"/>
      <c r="AM204" s="231"/>
      <c r="AN204" s="231"/>
      <c r="AO204" s="231"/>
      <c r="AP204" s="231"/>
      <c r="AQ204" s="231"/>
      <c r="AR204" s="231"/>
      <c r="AS204" s="231"/>
      <c r="AT204" s="231"/>
      <c r="AU204" s="231"/>
      <c r="AV204" s="231"/>
      <c r="AW204" s="231"/>
      <c r="AX204" s="231"/>
      <c r="AY204" s="231"/>
      <c r="AZ204" s="231"/>
      <c r="BA204" s="231"/>
      <c r="BB204" s="231"/>
      <c r="BC204" s="231"/>
      <c r="BD204" s="231"/>
      <c r="BE204" s="231"/>
      <c r="BF204" s="231"/>
      <c r="BG204" s="231"/>
      <c r="BH204" s="231"/>
      <c r="BI204" s="231"/>
      <c r="BJ204" s="231"/>
      <c r="BK204" s="231"/>
      <c r="BL204" s="231"/>
      <c r="BM204" s="231"/>
      <c r="BN204" s="231"/>
      <c r="BO204" s="231"/>
      <c r="BP204" s="231"/>
      <c r="BQ204" s="231"/>
      <c r="BR204" s="231"/>
      <c r="BS204" s="231"/>
      <c r="BT204" s="231"/>
      <c r="BU204" s="231"/>
      <c r="BV204" s="231"/>
      <c r="BW204" s="231"/>
      <c r="BX204" s="231"/>
      <c r="BY204" s="231"/>
      <c r="BZ204" s="231"/>
      <c r="CA204" s="231"/>
      <c r="CB204" s="231"/>
      <c r="CC204" s="231"/>
      <c r="CD204" s="231"/>
      <c r="CE204" s="231"/>
      <c r="CF204" s="231"/>
      <c r="CG204" s="231"/>
      <c r="CH204" s="231"/>
      <c r="CI204" s="231"/>
      <c r="CJ204" s="231"/>
      <c r="CK204" s="231"/>
      <c r="CL204" s="231"/>
      <c r="CM204" s="231"/>
      <c r="CN204" s="231"/>
      <c r="CO204" s="231"/>
      <c r="CP204" s="231"/>
      <c r="CQ204" s="231"/>
      <c r="CR204" s="231"/>
      <c r="CS204" s="231"/>
      <c r="CT204" s="231"/>
      <c r="CU204" s="231"/>
      <c r="CV204" s="231"/>
      <c r="CW204" s="231"/>
      <c r="CX204" s="231"/>
      <c r="CY204" s="231"/>
      <c r="CZ204" s="231"/>
      <c r="DA204" s="231"/>
      <c r="DB204" s="231"/>
      <c r="DC204" s="231"/>
      <c r="DD204" s="231"/>
      <c r="DE204" s="231"/>
      <c r="DF204" s="231"/>
      <c r="DG204" s="231"/>
      <c r="DH204" s="231"/>
      <c r="DI204" s="231"/>
      <c r="DJ204" s="231"/>
      <c r="DK204" s="231"/>
      <c r="DL204" s="231"/>
      <c r="DM204" s="231"/>
      <c r="DN204" s="231"/>
      <c r="DO204" s="231"/>
      <c r="DP204" s="231"/>
      <c r="DQ204" s="231"/>
      <c r="DR204" s="231"/>
      <c r="DS204" s="231"/>
      <c r="DT204" s="231"/>
      <c r="DU204" s="231"/>
      <c r="DV204" s="231"/>
      <c r="DW204" s="231"/>
      <c r="YS204" s="38" t="e">
        <f>RIGHT(CONCATENATE(0,#REF!),7)</f>
        <v>#REF!</v>
      </c>
    </row>
    <row r="205" spans="38:669" hidden="1">
      <c r="AL205" s="231"/>
      <c r="AM205" s="231"/>
      <c r="AN205" s="231"/>
      <c r="AO205" s="231"/>
      <c r="AP205" s="231"/>
      <c r="AQ205" s="231"/>
      <c r="AR205" s="231"/>
      <c r="AS205" s="231"/>
      <c r="AT205" s="231"/>
      <c r="AU205" s="231"/>
      <c r="AV205" s="231"/>
      <c r="AW205" s="231"/>
      <c r="AX205" s="231"/>
      <c r="AY205" s="231"/>
      <c r="AZ205" s="231"/>
      <c r="BA205" s="231"/>
      <c r="BB205" s="231"/>
      <c r="BC205" s="231"/>
      <c r="BD205" s="231"/>
      <c r="BE205" s="231"/>
      <c r="BF205" s="231"/>
      <c r="BG205" s="231"/>
      <c r="BH205" s="231"/>
      <c r="BI205" s="231"/>
      <c r="BJ205" s="231"/>
      <c r="BK205" s="231"/>
      <c r="BL205" s="231"/>
      <c r="BM205" s="231"/>
      <c r="BN205" s="231"/>
      <c r="BO205" s="231"/>
      <c r="BP205" s="231"/>
      <c r="BQ205" s="231"/>
      <c r="BR205" s="231"/>
      <c r="BS205" s="231"/>
      <c r="BT205" s="231"/>
      <c r="BU205" s="231"/>
      <c r="BV205" s="231"/>
      <c r="BW205" s="231"/>
      <c r="BX205" s="231"/>
      <c r="BY205" s="231"/>
      <c r="BZ205" s="231"/>
      <c r="CA205" s="231"/>
      <c r="CB205" s="231"/>
      <c r="CC205" s="231"/>
      <c r="CD205" s="231"/>
      <c r="CE205" s="231"/>
      <c r="CF205" s="231"/>
      <c r="CG205" s="231"/>
      <c r="CH205" s="231"/>
      <c r="CI205" s="231"/>
      <c r="CJ205" s="231"/>
      <c r="CK205" s="231"/>
      <c r="CL205" s="231"/>
      <c r="CM205" s="231"/>
      <c r="CN205" s="231"/>
      <c r="CO205" s="231"/>
      <c r="CP205" s="231"/>
      <c r="CQ205" s="231"/>
      <c r="CR205" s="231"/>
      <c r="CS205" s="231"/>
      <c r="CT205" s="231"/>
      <c r="CU205" s="231"/>
      <c r="CV205" s="231"/>
      <c r="CW205" s="231"/>
      <c r="CX205" s="231"/>
      <c r="CY205" s="231"/>
      <c r="CZ205" s="231"/>
      <c r="DA205" s="231"/>
      <c r="DB205" s="231"/>
      <c r="DC205" s="231"/>
      <c r="DD205" s="231"/>
      <c r="DE205" s="231"/>
      <c r="DF205" s="231"/>
      <c r="DG205" s="231"/>
      <c r="DH205" s="231"/>
      <c r="DI205" s="231"/>
      <c r="DJ205" s="231"/>
      <c r="DK205" s="231"/>
      <c r="DL205" s="231"/>
      <c r="DM205" s="231"/>
      <c r="DN205" s="231"/>
      <c r="DO205" s="231"/>
      <c r="DP205" s="231"/>
      <c r="DQ205" s="231"/>
      <c r="DR205" s="231"/>
      <c r="DS205" s="231"/>
      <c r="DT205" s="231"/>
      <c r="DU205" s="231"/>
      <c r="DV205" s="231"/>
      <c r="DW205" s="231"/>
      <c r="YS205" s="38" t="e">
        <f>RIGHT(CONCATENATE(0,#REF!),7)</f>
        <v>#REF!</v>
      </c>
    </row>
    <row r="206" spans="38:669" hidden="1">
      <c r="AL206" s="231"/>
      <c r="AM206" s="231"/>
      <c r="AN206" s="231"/>
      <c r="AO206" s="231"/>
      <c r="AP206" s="231"/>
      <c r="AQ206" s="231"/>
      <c r="AR206" s="231"/>
      <c r="AS206" s="231"/>
      <c r="AT206" s="231"/>
      <c r="AU206" s="231"/>
      <c r="AV206" s="231"/>
      <c r="AW206" s="231"/>
      <c r="AX206" s="231"/>
      <c r="AY206" s="231"/>
      <c r="AZ206" s="231"/>
      <c r="BA206" s="231"/>
      <c r="BB206" s="231"/>
      <c r="BC206" s="231"/>
      <c r="BD206" s="231"/>
      <c r="BE206" s="231"/>
      <c r="BF206" s="231"/>
      <c r="BG206" s="231"/>
      <c r="BH206" s="231"/>
      <c r="BI206" s="231"/>
      <c r="BJ206" s="231"/>
      <c r="BK206" s="231"/>
      <c r="BL206" s="231"/>
      <c r="BM206" s="231"/>
      <c r="BN206" s="231"/>
      <c r="BO206" s="231"/>
      <c r="BP206" s="231"/>
      <c r="BQ206" s="231"/>
      <c r="BR206" s="231"/>
      <c r="BS206" s="231"/>
      <c r="BT206" s="231"/>
      <c r="BU206" s="231"/>
      <c r="BV206" s="231"/>
      <c r="BW206" s="231"/>
      <c r="BX206" s="231"/>
      <c r="BY206" s="231"/>
      <c r="BZ206" s="231"/>
      <c r="CA206" s="231"/>
      <c r="CB206" s="231"/>
      <c r="CC206" s="231"/>
      <c r="CD206" s="231"/>
      <c r="CE206" s="231"/>
      <c r="CF206" s="231"/>
      <c r="CG206" s="231"/>
      <c r="CH206" s="231"/>
      <c r="CI206" s="231"/>
      <c r="CJ206" s="231"/>
      <c r="CK206" s="231"/>
      <c r="CL206" s="231"/>
      <c r="CM206" s="231"/>
      <c r="CN206" s="231"/>
      <c r="CO206" s="231"/>
      <c r="CP206" s="231"/>
      <c r="CQ206" s="231"/>
      <c r="CR206" s="231"/>
      <c r="CS206" s="231"/>
      <c r="CT206" s="231"/>
      <c r="CU206" s="231"/>
      <c r="CV206" s="231"/>
      <c r="CW206" s="231"/>
      <c r="CX206" s="231"/>
      <c r="CY206" s="231"/>
      <c r="CZ206" s="231"/>
      <c r="DA206" s="231"/>
      <c r="DB206" s="231"/>
      <c r="DC206" s="231"/>
      <c r="DD206" s="231"/>
      <c r="DE206" s="231"/>
      <c r="DF206" s="231"/>
      <c r="DG206" s="231"/>
      <c r="DH206" s="231"/>
      <c r="DI206" s="231"/>
      <c r="DJ206" s="231"/>
      <c r="DK206" s="231"/>
      <c r="DL206" s="231"/>
      <c r="DM206" s="231"/>
      <c r="DN206" s="231"/>
      <c r="DO206" s="231"/>
      <c r="DP206" s="231"/>
      <c r="DQ206" s="231"/>
      <c r="DR206" s="231"/>
      <c r="DS206" s="231"/>
      <c r="DT206" s="231"/>
      <c r="DU206" s="231"/>
      <c r="DV206" s="231"/>
      <c r="DW206" s="231"/>
      <c r="YS206" s="38" t="e">
        <f>RIGHT(CONCATENATE(0,#REF!),7)</f>
        <v>#REF!</v>
      </c>
    </row>
    <row r="207" spans="38:669" hidden="1">
      <c r="AL207" s="231"/>
      <c r="AM207" s="231"/>
      <c r="AN207" s="231"/>
      <c r="AO207" s="231"/>
      <c r="AP207" s="231"/>
      <c r="AQ207" s="231"/>
      <c r="AR207" s="231"/>
      <c r="AS207" s="231"/>
      <c r="AT207" s="231"/>
      <c r="AU207" s="231"/>
      <c r="AV207" s="231"/>
      <c r="AW207" s="231"/>
      <c r="AX207" s="231"/>
      <c r="AY207" s="231"/>
      <c r="AZ207" s="231"/>
      <c r="BA207" s="231"/>
      <c r="BB207" s="231"/>
      <c r="BC207" s="231"/>
      <c r="BD207" s="231"/>
      <c r="BE207" s="231"/>
      <c r="BF207" s="231"/>
      <c r="BG207" s="231"/>
      <c r="BH207" s="231"/>
      <c r="BI207" s="231"/>
      <c r="BJ207" s="231"/>
      <c r="BK207" s="231"/>
      <c r="BL207" s="231"/>
      <c r="BM207" s="231"/>
      <c r="BN207" s="231"/>
      <c r="BO207" s="231"/>
      <c r="BP207" s="231"/>
      <c r="BQ207" s="231"/>
      <c r="BR207" s="231"/>
      <c r="BS207" s="231"/>
      <c r="BT207" s="231"/>
      <c r="BU207" s="231"/>
      <c r="BV207" s="231"/>
      <c r="BW207" s="231"/>
      <c r="BX207" s="231"/>
      <c r="BY207" s="231"/>
      <c r="BZ207" s="231"/>
      <c r="CA207" s="231"/>
      <c r="CB207" s="231"/>
      <c r="CC207" s="231"/>
      <c r="CD207" s="231"/>
      <c r="CE207" s="231"/>
      <c r="CF207" s="231"/>
      <c r="CG207" s="231"/>
      <c r="CH207" s="231"/>
      <c r="CI207" s="231"/>
      <c r="CJ207" s="231"/>
      <c r="CK207" s="231"/>
      <c r="CL207" s="231"/>
      <c r="CM207" s="231"/>
      <c r="CN207" s="231"/>
      <c r="CO207" s="231"/>
      <c r="CP207" s="231"/>
      <c r="CQ207" s="231"/>
      <c r="CR207" s="231"/>
      <c r="CS207" s="231"/>
      <c r="CT207" s="231"/>
      <c r="CU207" s="231"/>
      <c r="CV207" s="231"/>
      <c r="CW207" s="231"/>
      <c r="CX207" s="231"/>
      <c r="CY207" s="231"/>
      <c r="CZ207" s="231"/>
      <c r="DA207" s="231"/>
      <c r="DB207" s="231"/>
      <c r="DC207" s="231"/>
      <c r="DD207" s="231"/>
      <c r="DE207" s="231"/>
      <c r="DF207" s="231"/>
      <c r="DG207" s="231"/>
      <c r="DH207" s="231"/>
      <c r="DI207" s="231"/>
      <c r="DJ207" s="231"/>
      <c r="DK207" s="231"/>
      <c r="DL207" s="231"/>
      <c r="DM207" s="231"/>
      <c r="DN207" s="231"/>
      <c r="DO207" s="231"/>
      <c r="DP207" s="231"/>
      <c r="DQ207" s="231"/>
      <c r="DR207" s="231"/>
      <c r="DS207" s="231"/>
      <c r="DT207" s="231"/>
      <c r="DU207" s="231"/>
      <c r="DV207" s="231"/>
      <c r="DW207" s="231"/>
      <c r="YS207" s="38" t="e">
        <f>RIGHT(CONCATENATE(0,#REF!),7)</f>
        <v>#REF!</v>
      </c>
    </row>
    <row r="208" spans="38:669" hidden="1">
      <c r="AL208" s="231"/>
      <c r="AM208" s="231"/>
      <c r="AN208" s="231"/>
      <c r="AO208" s="231"/>
      <c r="AP208" s="231"/>
      <c r="AQ208" s="231"/>
      <c r="AR208" s="231"/>
      <c r="AS208" s="231"/>
      <c r="AT208" s="231"/>
      <c r="AU208" s="231"/>
      <c r="AV208" s="231"/>
      <c r="AW208" s="231"/>
      <c r="AX208" s="231"/>
      <c r="AY208" s="231"/>
      <c r="AZ208" s="231"/>
      <c r="BA208" s="231"/>
      <c r="BB208" s="231"/>
      <c r="BC208" s="231"/>
      <c r="BD208" s="231"/>
      <c r="BE208" s="231"/>
      <c r="BF208" s="231"/>
      <c r="BG208" s="231"/>
      <c r="BH208" s="231"/>
      <c r="BI208" s="231"/>
      <c r="BJ208" s="231"/>
      <c r="BK208" s="231"/>
      <c r="BL208" s="231"/>
      <c r="BM208" s="231"/>
      <c r="BN208" s="231"/>
      <c r="BO208" s="231"/>
      <c r="BP208" s="231"/>
      <c r="BQ208" s="231"/>
      <c r="BR208" s="231"/>
      <c r="BS208" s="231"/>
      <c r="BT208" s="231"/>
      <c r="BU208" s="231"/>
      <c r="BV208" s="231"/>
      <c r="BW208" s="231"/>
      <c r="BX208" s="231"/>
      <c r="BY208" s="231"/>
      <c r="BZ208" s="231"/>
      <c r="CA208" s="231"/>
      <c r="CB208" s="231"/>
      <c r="CC208" s="231"/>
      <c r="CD208" s="231"/>
      <c r="CE208" s="231"/>
      <c r="CF208" s="231"/>
      <c r="CG208" s="231"/>
      <c r="CH208" s="231"/>
      <c r="CI208" s="231"/>
      <c r="CJ208" s="231"/>
      <c r="CK208" s="231"/>
      <c r="CL208" s="231"/>
      <c r="CM208" s="231"/>
      <c r="CN208" s="231"/>
      <c r="CO208" s="231"/>
      <c r="CP208" s="231"/>
      <c r="CQ208" s="231"/>
      <c r="CR208" s="231"/>
      <c r="CS208" s="231"/>
      <c r="CT208" s="231"/>
      <c r="CU208" s="231"/>
      <c r="CV208" s="231"/>
      <c r="CW208" s="231"/>
      <c r="CX208" s="231"/>
      <c r="CY208" s="231"/>
      <c r="CZ208" s="231"/>
      <c r="DA208" s="231"/>
      <c r="DB208" s="231"/>
      <c r="DC208" s="231"/>
      <c r="DD208" s="231"/>
      <c r="DE208" s="231"/>
      <c r="DF208" s="231"/>
      <c r="DG208" s="231"/>
      <c r="DH208" s="231"/>
      <c r="DI208" s="231"/>
      <c r="DJ208" s="231"/>
      <c r="DK208" s="231"/>
      <c r="DL208" s="231"/>
      <c r="DM208" s="231"/>
      <c r="DN208" s="231"/>
      <c r="DO208" s="231"/>
      <c r="DP208" s="231"/>
      <c r="DQ208" s="231"/>
      <c r="DR208" s="231"/>
      <c r="DS208" s="231"/>
      <c r="DT208" s="231"/>
      <c r="DU208" s="231"/>
      <c r="DV208" s="231"/>
      <c r="DW208" s="231"/>
      <c r="YS208" s="38" t="e">
        <f>RIGHT(CONCATENATE(0,#REF!),7)</f>
        <v>#REF!</v>
      </c>
    </row>
    <row r="209" spans="38:669" hidden="1">
      <c r="AL209" s="231"/>
      <c r="AM209" s="231"/>
      <c r="AN209" s="231"/>
      <c r="AO209" s="231"/>
      <c r="AP209" s="231"/>
      <c r="AQ209" s="231"/>
      <c r="AR209" s="231"/>
      <c r="AS209" s="231"/>
      <c r="AT209" s="231"/>
      <c r="AU209" s="231"/>
      <c r="AV209" s="231"/>
      <c r="AW209" s="231"/>
      <c r="AX209" s="231"/>
      <c r="AY209" s="231"/>
      <c r="AZ209" s="231"/>
      <c r="BA209" s="231"/>
      <c r="BB209" s="231"/>
      <c r="BC209" s="231"/>
      <c r="BD209" s="231"/>
      <c r="BE209" s="231"/>
      <c r="BF209" s="231"/>
      <c r="BG209" s="231"/>
      <c r="BH209" s="231"/>
      <c r="BI209" s="231"/>
      <c r="BJ209" s="231"/>
      <c r="BK209" s="231"/>
      <c r="BL209" s="231"/>
      <c r="BM209" s="231"/>
      <c r="BN209" s="231"/>
      <c r="BO209" s="231"/>
      <c r="BP209" s="231"/>
      <c r="BQ209" s="231"/>
      <c r="BR209" s="231"/>
      <c r="BS209" s="231"/>
      <c r="BT209" s="231"/>
      <c r="BU209" s="231"/>
      <c r="BV209" s="231"/>
      <c r="BW209" s="231"/>
      <c r="BX209" s="231"/>
      <c r="BY209" s="231"/>
      <c r="BZ209" s="231"/>
      <c r="CA209" s="231"/>
      <c r="CB209" s="231"/>
      <c r="CC209" s="231"/>
      <c r="CD209" s="231"/>
      <c r="CE209" s="231"/>
      <c r="CF209" s="231"/>
      <c r="CG209" s="231"/>
      <c r="CH209" s="231"/>
      <c r="CI209" s="231"/>
      <c r="CJ209" s="231"/>
      <c r="CK209" s="231"/>
      <c r="CL209" s="231"/>
      <c r="CM209" s="231"/>
      <c r="CN209" s="231"/>
      <c r="CO209" s="231"/>
      <c r="CP209" s="231"/>
      <c r="CQ209" s="231"/>
      <c r="CR209" s="231"/>
      <c r="CS209" s="231"/>
      <c r="CT209" s="231"/>
      <c r="CU209" s="231"/>
      <c r="CV209" s="231"/>
      <c r="CW209" s="231"/>
      <c r="CX209" s="231"/>
      <c r="CY209" s="231"/>
      <c r="CZ209" s="231"/>
      <c r="DA209" s="231"/>
      <c r="DB209" s="231"/>
      <c r="DC209" s="231"/>
      <c r="DD209" s="231"/>
      <c r="DE209" s="231"/>
      <c r="DF209" s="231"/>
      <c r="DG209" s="231"/>
      <c r="DH209" s="231"/>
      <c r="DI209" s="231"/>
      <c r="DJ209" s="231"/>
      <c r="DK209" s="231"/>
      <c r="DL209" s="231"/>
      <c r="DM209" s="231"/>
      <c r="DN209" s="231"/>
      <c r="DO209" s="231"/>
      <c r="DP209" s="231"/>
      <c r="DQ209" s="231"/>
      <c r="DR209" s="231"/>
      <c r="DS209" s="231"/>
      <c r="DT209" s="231"/>
      <c r="DU209" s="231"/>
      <c r="DV209" s="231"/>
      <c r="DW209" s="231"/>
      <c r="YS209" s="38" t="e">
        <f>RIGHT(CONCATENATE(0,#REF!),7)</f>
        <v>#REF!</v>
      </c>
    </row>
    <row r="210" spans="38:669" hidden="1">
      <c r="AL210" s="231"/>
      <c r="AM210" s="231"/>
      <c r="AN210" s="231"/>
      <c r="AO210" s="231"/>
      <c r="AP210" s="231"/>
      <c r="AQ210" s="231"/>
      <c r="AR210" s="231"/>
      <c r="AS210" s="231"/>
      <c r="AT210" s="231"/>
      <c r="AU210" s="231"/>
      <c r="AV210" s="231"/>
      <c r="AW210" s="231"/>
      <c r="AX210" s="231"/>
      <c r="AY210" s="231"/>
      <c r="AZ210" s="231"/>
      <c r="BA210" s="231"/>
      <c r="BB210" s="231"/>
      <c r="BC210" s="231"/>
      <c r="BD210" s="231"/>
      <c r="BE210" s="231"/>
      <c r="BF210" s="231"/>
      <c r="BG210" s="231"/>
      <c r="BH210" s="231"/>
      <c r="BI210" s="231"/>
      <c r="BJ210" s="231"/>
      <c r="BK210" s="231"/>
      <c r="BL210" s="231"/>
      <c r="BM210" s="231"/>
      <c r="BN210" s="231"/>
      <c r="BO210" s="231"/>
      <c r="BP210" s="231"/>
      <c r="BQ210" s="231"/>
      <c r="BR210" s="231"/>
      <c r="BS210" s="231"/>
      <c r="BT210" s="231"/>
      <c r="BU210" s="231"/>
      <c r="BV210" s="231"/>
      <c r="BW210" s="231"/>
      <c r="BX210" s="231"/>
      <c r="BY210" s="231"/>
      <c r="BZ210" s="231"/>
      <c r="CA210" s="231"/>
      <c r="CB210" s="231"/>
      <c r="CC210" s="231"/>
      <c r="CD210" s="231"/>
      <c r="CE210" s="231"/>
      <c r="CF210" s="231"/>
      <c r="CG210" s="231"/>
      <c r="CH210" s="231"/>
      <c r="CI210" s="231"/>
      <c r="CJ210" s="231"/>
      <c r="CK210" s="231"/>
      <c r="CL210" s="231"/>
      <c r="CM210" s="231"/>
      <c r="CN210" s="231"/>
      <c r="CO210" s="231"/>
      <c r="CP210" s="231"/>
      <c r="CQ210" s="231"/>
      <c r="CR210" s="231"/>
      <c r="CS210" s="231"/>
      <c r="CT210" s="231"/>
      <c r="CU210" s="231"/>
      <c r="CV210" s="231"/>
      <c r="CW210" s="231"/>
      <c r="CX210" s="231"/>
      <c r="CY210" s="231"/>
      <c r="CZ210" s="231"/>
      <c r="DA210" s="231"/>
      <c r="DB210" s="231"/>
      <c r="DC210" s="231"/>
      <c r="DD210" s="231"/>
      <c r="DE210" s="231"/>
      <c r="DF210" s="231"/>
      <c r="DG210" s="231"/>
      <c r="DH210" s="231"/>
      <c r="DI210" s="231"/>
      <c r="DJ210" s="231"/>
      <c r="DK210" s="231"/>
      <c r="DL210" s="231"/>
      <c r="DM210" s="231"/>
      <c r="DN210" s="231"/>
      <c r="DO210" s="231"/>
      <c r="DP210" s="231"/>
      <c r="DQ210" s="231"/>
      <c r="DR210" s="231"/>
      <c r="DS210" s="231"/>
      <c r="DT210" s="231"/>
      <c r="DU210" s="231"/>
      <c r="DV210" s="231"/>
      <c r="DW210" s="231"/>
      <c r="YS210" s="38" t="e">
        <f>RIGHT(CONCATENATE(0,#REF!),7)</f>
        <v>#REF!</v>
      </c>
    </row>
    <row r="211" spans="38:669" hidden="1">
      <c r="AL211" s="231"/>
      <c r="AM211" s="231"/>
      <c r="AN211" s="231"/>
      <c r="AO211" s="231"/>
      <c r="AP211" s="231"/>
      <c r="AQ211" s="231"/>
      <c r="AR211" s="231"/>
      <c r="AS211" s="231"/>
      <c r="AT211" s="231"/>
      <c r="AU211" s="231"/>
      <c r="AV211" s="231"/>
      <c r="AW211" s="231"/>
      <c r="AX211" s="231"/>
      <c r="AY211" s="231"/>
      <c r="AZ211" s="231"/>
      <c r="BA211" s="231"/>
      <c r="BB211" s="231"/>
      <c r="BC211" s="231"/>
      <c r="BD211" s="231"/>
      <c r="BE211" s="231"/>
      <c r="BF211" s="231"/>
      <c r="BG211" s="231"/>
      <c r="BH211" s="231"/>
      <c r="BI211" s="231"/>
      <c r="BJ211" s="231"/>
      <c r="BK211" s="231"/>
      <c r="BL211" s="231"/>
      <c r="BM211" s="231"/>
      <c r="BN211" s="231"/>
      <c r="BO211" s="231"/>
      <c r="BP211" s="231"/>
      <c r="BQ211" s="231"/>
      <c r="BR211" s="231"/>
      <c r="BS211" s="231"/>
      <c r="BT211" s="231"/>
      <c r="BU211" s="231"/>
      <c r="BV211" s="231"/>
      <c r="BW211" s="231"/>
      <c r="BX211" s="231"/>
      <c r="BY211" s="231"/>
      <c r="BZ211" s="231"/>
      <c r="CA211" s="231"/>
      <c r="CB211" s="231"/>
      <c r="CC211" s="231"/>
      <c r="CD211" s="231"/>
      <c r="CE211" s="231"/>
      <c r="CF211" s="231"/>
      <c r="CG211" s="231"/>
      <c r="CH211" s="231"/>
      <c r="CI211" s="231"/>
      <c r="CJ211" s="231"/>
      <c r="CK211" s="231"/>
      <c r="CL211" s="231"/>
      <c r="CM211" s="231"/>
      <c r="CN211" s="231"/>
      <c r="CO211" s="231"/>
      <c r="CP211" s="231"/>
      <c r="CQ211" s="231"/>
      <c r="CR211" s="231"/>
      <c r="CS211" s="231"/>
      <c r="CT211" s="231"/>
      <c r="CU211" s="231"/>
      <c r="CV211" s="231"/>
      <c r="CW211" s="231"/>
      <c r="CX211" s="231"/>
      <c r="CY211" s="231"/>
      <c r="CZ211" s="231"/>
      <c r="DA211" s="231"/>
      <c r="DB211" s="231"/>
      <c r="DC211" s="231"/>
      <c r="DD211" s="231"/>
      <c r="DE211" s="231"/>
      <c r="DF211" s="231"/>
      <c r="DG211" s="231"/>
      <c r="DH211" s="231"/>
      <c r="DI211" s="231"/>
      <c r="DJ211" s="231"/>
      <c r="DK211" s="231"/>
      <c r="DL211" s="231"/>
      <c r="DM211" s="231"/>
      <c r="DN211" s="231"/>
      <c r="DO211" s="231"/>
      <c r="DP211" s="231"/>
      <c r="DQ211" s="231"/>
      <c r="DR211" s="231"/>
      <c r="DS211" s="231"/>
      <c r="DT211" s="231"/>
      <c r="DU211" s="231"/>
      <c r="DV211" s="231"/>
      <c r="DW211" s="231"/>
      <c r="YS211" s="38" t="e">
        <f>RIGHT(CONCATENATE(0,#REF!),7)</f>
        <v>#REF!</v>
      </c>
    </row>
    <row r="212" spans="38:669" hidden="1">
      <c r="AL212" s="231"/>
      <c r="AM212" s="231"/>
      <c r="AN212" s="231"/>
      <c r="AO212" s="231"/>
      <c r="AP212" s="231"/>
      <c r="AQ212" s="231"/>
      <c r="AR212" s="231"/>
      <c r="AS212" s="231"/>
      <c r="AT212" s="231"/>
      <c r="AU212" s="231"/>
      <c r="AV212" s="231"/>
      <c r="AW212" s="231"/>
      <c r="AX212" s="231"/>
      <c r="AY212" s="231"/>
      <c r="AZ212" s="231"/>
      <c r="BA212" s="231"/>
      <c r="BB212" s="231"/>
      <c r="BC212" s="231"/>
      <c r="BD212" s="231"/>
      <c r="BE212" s="231"/>
      <c r="BF212" s="231"/>
      <c r="BG212" s="231"/>
      <c r="BH212" s="231"/>
      <c r="BI212" s="231"/>
      <c r="BJ212" s="231"/>
      <c r="BK212" s="231"/>
      <c r="BL212" s="231"/>
      <c r="BM212" s="231"/>
      <c r="BN212" s="231"/>
      <c r="BO212" s="231"/>
      <c r="BP212" s="231"/>
      <c r="BQ212" s="231"/>
      <c r="BR212" s="231"/>
      <c r="BS212" s="231"/>
      <c r="BT212" s="231"/>
      <c r="BU212" s="231"/>
      <c r="BV212" s="231"/>
      <c r="BW212" s="231"/>
      <c r="BX212" s="231"/>
      <c r="BY212" s="231"/>
      <c r="BZ212" s="231"/>
      <c r="CA212" s="231"/>
      <c r="CB212" s="231"/>
      <c r="CC212" s="231"/>
      <c r="CD212" s="231"/>
      <c r="CE212" s="231"/>
      <c r="CF212" s="231"/>
      <c r="CG212" s="231"/>
      <c r="CH212" s="231"/>
      <c r="CI212" s="231"/>
      <c r="CJ212" s="231"/>
      <c r="CK212" s="231"/>
      <c r="CL212" s="231"/>
      <c r="CM212" s="231"/>
      <c r="CN212" s="231"/>
      <c r="CO212" s="231"/>
      <c r="CP212" s="231"/>
      <c r="CQ212" s="231"/>
      <c r="CR212" s="231"/>
      <c r="CS212" s="231"/>
      <c r="CT212" s="231"/>
      <c r="CU212" s="231"/>
      <c r="CV212" s="231"/>
      <c r="CW212" s="231"/>
      <c r="CX212" s="231"/>
      <c r="CY212" s="231"/>
      <c r="CZ212" s="231"/>
      <c r="DA212" s="231"/>
      <c r="DB212" s="231"/>
      <c r="DC212" s="231"/>
      <c r="DD212" s="231"/>
      <c r="DE212" s="231"/>
      <c r="DF212" s="231"/>
      <c r="DG212" s="231"/>
      <c r="DH212" s="231"/>
      <c r="DI212" s="231"/>
      <c r="DJ212" s="231"/>
      <c r="DK212" s="231"/>
      <c r="DL212" s="231"/>
      <c r="DM212" s="231"/>
      <c r="DN212" s="231"/>
      <c r="DO212" s="231"/>
      <c r="DP212" s="231"/>
      <c r="DQ212" s="231"/>
      <c r="DR212" s="231"/>
      <c r="DS212" s="231"/>
      <c r="DT212" s="231"/>
      <c r="DU212" s="231"/>
      <c r="DV212" s="231"/>
      <c r="DW212" s="231"/>
      <c r="YS212" s="38" t="e">
        <f>RIGHT(CONCATENATE(0,#REF!),7)</f>
        <v>#REF!</v>
      </c>
    </row>
    <row r="213" spans="38:669" hidden="1">
      <c r="AL213" s="231"/>
      <c r="AM213" s="231"/>
      <c r="AN213" s="231"/>
      <c r="AO213" s="231"/>
      <c r="AP213" s="231"/>
      <c r="AQ213" s="231"/>
      <c r="AR213" s="231"/>
      <c r="AS213" s="231"/>
      <c r="AT213" s="231"/>
      <c r="AU213" s="231"/>
      <c r="AV213" s="231"/>
      <c r="AW213" s="231"/>
      <c r="AX213" s="231"/>
      <c r="AY213" s="231"/>
      <c r="AZ213" s="231"/>
      <c r="BA213" s="231"/>
      <c r="BB213" s="231"/>
      <c r="BC213" s="231"/>
      <c r="BD213" s="231"/>
      <c r="BE213" s="231"/>
      <c r="BF213" s="231"/>
      <c r="BG213" s="231"/>
      <c r="BH213" s="231"/>
      <c r="BI213" s="231"/>
      <c r="BJ213" s="231"/>
      <c r="BK213" s="231"/>
      <c r="BL213" s="231"/>
      <c r="BM213" s="231"/>
      <c r="BN213" s="231"/>
      <c r="BO213" s="231"/>
      <c r="BP213" s="231"/>
      <c r="BQ213" s="231"/>
      <c r="BR213" s="231"/>
      <c r="BS213" s="231"/>
      <c r="BT213" s="231"/>
      <c r="BU213" s="231"/>
      <c r="BV213" s="231"/>
      <c r="BW213" s="231"/>
      <c r="BX213" s="231"/>
      <c r="BY213" s="231"/>
      <c r="BZ213" s="231"/>
      <c r="CA213" s="231"/>
      <c r="CB213" s="231"/>
      <c r="CC213" s="231"/>
      <c r="CD213" s="231"/>
      <c r="CE213" s="231"/>
      <c r="CF213" s="231"/>
      <c r="CG213" s="231"/>
      <c r="CH213" s="231"/>
      <c r="CI213" s="231"/>
      <c r="CJ213" s="231"/>
      <c r="CK213" s="231"/>
      <c r="CL213" s="231"/>
      <c r="CM213" s="231"/>
      <c r="CN213" s="231"/>
      <c r="CO213" s="231"/>
      <c r="CP213" s="231"/>
      <c r="CQ213" s="231"/>
      <c r="CR213" s="231"/>
      <c r="CS213" s="231"/>
      <c r="CT213" s="231"/>
      <c r="CU213" s="231"/>
      <c r="CV213" s="231"/>
      <c r="CW213" s="231"/>
      <c r="CX213" s="231"/>
      <c r="CY213" s="231"/>
      <c r="CZ213" s="231"/>
      <c r="DA213" s="231"/>
      <c r="DB213" s="231"/>
      <c r="DC213" s="231"/>
      <c r="DD213" s="231"/>
      <c r="DE213" s="231"/>
      <c r="DF213" s="231"/>
      <c r="DG213" s="231"/>
      <c r="DH213" s="231"/>
      <c r="DI213" s="231"/>
      <c r="DJ213" s="231"/>
      <c r="DK213" s="231"/>
      <c r="DL213" s="231"/>
      <c r="DM213" s="231"/>
      <c r="DN213" s="231"/>
      <c r="DO213" s="231"/>
      <c r="DP213" s="231"/>
      <c r="DQ213" s="231"/>
      <c r="DR213" s="231"/>
      <c r="DS213" s="231"/>
      <c r="DT213" s="231"/>
      <c r="DU213" s="231"/>
      <c r="DV213" s="231"/>
      <c r="DW213" s="231"/>
      <c r="YS213" s="38" t="e">
        <f>RIGHT(CONCATENATE(0,#REF!),7)</f>
        <v>#REF!</v>
      </c>
    </row>
    <row r="214" spans="38:669" hidden="1">
      <c r="AL214" s="231"/>
      <c r="AM214" s="231"/>
      <c r="AN214" s="231"/>
      <c r="AO214" s="231"/>
      <c r="AP214" s="231"/>
      <c r="AQ214" s="231"/>
      <c r="AR214" s="231"/>
      <c r="AS214" s="231"/>
      <c r="AT214" s="231"/>
      <c r="AU214" s="231"/>
      <c r="AV214" s="231"/>
      <c r="AW214" s="231"/>
      <c r="AX214" s="231"/>
      <c r="AY214" s="231"/>
      <c r="AZ214" s="231"/>
      <c r="BA214" s="231"/>
      <c r="BB214" s="231"/>
      <c r="BC214" s="231"/>
      <c r="BD214" s="231"/>
      <c r="BE214" s="231"/>
      <c r="BF214" s="231"/>
      <c r="BG214" s="231"/>
      <c r="BH214" s="231"/>
      <c r="BI214" s="231"/>
      <c r="BJ214" s="231"/>
      <c r="BK214" s="231"/>
      <c r="BL214" s="231"/>
      <c r="BM214" s="231"/>
      <c r="BN214" s="231"/>
      <c r="BO214" s="231"/>
      <c r="BP214" s="231"/>
      <c r="BQ214" s="231"/>
      <c r="BR214" s="231"/>
      <c r="BS214" s="231"/>
      <c r="BT214" s="231"/>
      <c r="BU214" s="231"/>
      <c r="BV214" s="231"/>
      <c r="BW214" s="231"/>
      <c r="BX214" s="231"/>
      <c r="BY214" s="231"/>
      <c r="BZ214" s="231"/>
      <c r="CA214" s="231"/>
      <c r="CB214" s="231"/>
      <c r="CC214" s="231"/>
      <c r="CD214" s="231"/>
      <c r="CE214" s="231"/>
      <c r="CF214" s="231"/>
      <c r="CG214" s="231"/>
      <c r="CH214" s="231"/>
      <c r="CI214" s="231"/>
      <c r="CJ214" s="231"/>
      <c r="CK214" s="231"/>
      <c r="CL214" s="231"/>
      <c r="CM214" s="231"/>
      <c r="CN214" s="231"/>
      <c r="CO214" s="231"/>
      <c r="CP214" s="231"/>
      <c r="CQ214" s="231"/>
      <c r="CR214" s="231"/>
      <c r="CS214" s="231"/>
      <c r="CT214" s="231"/>
      <c r="CU214" s="231"/>
      <c r="CV214" s="231"/>
      <c r="CW214" s="231"/>
      <c r="CX214" s="231"/>
      <c r="CY214" s="231"/>
      <c r="CZ214" s="231"/>
      <c r="DA214" s="231"/>
      <c r="DB214" s="231"/>
      <c r="DC214" s="231"/>
      <c r="DD214" s="231"/>
      <c r="DE214" s="231"/>
      <c r="DF214" s="231"/>
      <c r="DG214" s="231"/>
      <c r="DH214" s="231"/>
      <c r="DI214" s="231"/>
      <c r="DJ214" s="231"/>
      <c r="DK214" s="231"/>
      <c r="DL214" s="231"/>
      <c r="DM214" s="231"/>
      <c r="DN214" s="231"/>
      <c r="DO214" s="231"/>
      <c r="DP214" s="231"/>
      <c r="DQ214" s="231"/>
      <c r="DR214" s="231"/>
      <c r="DS214" s="231"/>
      <c r="DT214" s="231"/>
      <c r="DU214" s="231"/>
      <c r="DV214" s="231"/>
      <c r="DW214" s="231"/>
      <c r="YS214" s="38" t="e">
        <f>RIGHT(CONCATENATE(0,#REF!),7)</f>
        <v>#REF!</v>
      </c>
    </row>
    <row r="215" spans="38:669" hidden="1">
      <c r="AL215" s="231"/>
      <c r="AM215" s="231"/>
      <c r="AN215" s="231"/>
      <c r="AO215" s="231"/>
      <c r="AP215" s="231"/>
      <c r="AQ215" s="231"/>
      <c r="AR215" s="231"/>
      <c r="AS215" s="231"/>
      <c r="AT215" s="231"/>
      <c r="AU215" s="231"/>
      <c r="AV215" s="231"/>
      <c r="AW215" s="231"/>
      <c r="AX215" s="231"/>
      <c r="AY215" s="231"/>
      <c r="AZ215" s="231"/>
      <c r="BA215" s="231"/>
      <c r="BB215" s="231"/>
      <c r="BC215" s="231"/>
      <c r="BD215" s="231"/>
      <c r="BE215" s="231"/>
      <c r="BF215" s="231"/>
      <c r="BG215" s="231"/>
      <c r="BH215" s="231"/>
      <c r="BI215" s="231"/>
      <c r="BJ215" s="231"/>
      <c r="BK215" s="231"/>
      <c r="BL215" s="231"/>
      <c r="BM215" s="231"/>
      <c r="BN215" s="231"/>
      <c r="BO215" s="231"/>
      <c r="BP215" s="231"/>
      <c r="BQ215" s="231"/>
      <c r="BR215" s="231"/>
      <c r="BS215" s="231"/>
      <c r="BT215" s="231"/>
      <c r="BU215" s="231"/>
      <c r="BV215" s="231"/>
      <c r="BW215" s="231"/>
      <c r="BX215" s="231"/>
      <c r="BY215" s="231"/>
      <c r="BZ215" s="231"/>
      <c r="CA215" s="231"/>
      <c r="CB215" s="231"/>
      <c r="CC215" s="231"/>
      <c r="CD215" s="231"/>
      <c r="CE215" s="231"/>
      <c r="CF215" s="231"/>
      <c r="CG215" s="231"/>
      <c r="CH215" s="231"/>
      <c r="CI215" s="231"/>
      <c r="CJ215" s="231"/>
      <c r="CK215" s="231"/>
      <c r="CL215" s="231"/>
      <c r="CM215" s="231"/>
      <c r="CN215" s="231"/>
      <c r="CO215" s="231"/>
      <c r="CP215" s="231"/>
      <c r="CQ215" s="231"/>
      <c r="CR215" s="231"/>
      <c r="CS215" s="231"/>
      <c r="CT215" s="231"/>
      <c r="CU215" s="231"/>
      <c r="CV215" s="231"/>
      <c r="CW215" s="231"/>
      <c r="CX215" s="231"/>
      <c r="CY215" s="231"/>
      <c r="CZ215" s="231"/>
      <c r="DA215" s="231"/>
      <c r="DB215" s="231"/>
      <c r="DC215" s="231"/>
      <c r="DD215" s="231"/>
      <c r="DE215" s="231"/>
      <c r="DF215" s="231"/>
      <c r="DG215" s="231"/>
      <c r="DH215" s="231"/>
      <c r="DI215" s="231"/>
      <c r="DJ215" s="231"/>
      <c r="DK215" s="231"/>
      <c r="DL215" s="231"/>
      <c r="DM215" s="231"/>
      <c r="DN215" s="231"/>
      <c r="DO215" s="231"/>
      <c r="DP215" s="231"/>
      <c r="DQ215" s="231"/>
      <c r="DR215" s="231"/>
      <c r="DS215" s="231"/>
      <c r="DT215" s="231"/>
      <c r="DU215" s="231"/>
      <c r="DV215" s="231"/>
      <c r="DW215" s="231"/>
      <c r="YS215" s="38" t="e">
        <f>RIGHT(CONCATENATE(0,#REF!),7)</f>
        <v>#REF!</v>
      </c>
    </row>
    <row r="216" spans="38:669" hidden="1">
      <c r="AL216" s="231"/>
      <c r="AM216" s="231"/>
      <c r="AN216" s="231"/>
      <c r="AO216" s="231"/>
      <c r="AP216" s="231"/>
      <c r="AQ216" s="231"/>
      <c r="AR216" s="231"/>
      <c r="AS216" s="231"/>
      <c r="AT216" s="231"/>
      <c r="AU216" s="231"/>
      <c r="AV216" s="231"/>
      <c r="AW216" s="231"/>
      <c r="AX216" s="231"/>
      <c r="AY216" s="231"/>
      <c r="AZ216" s="231"/>
      <c r="BA216" s="231"/>
      <c r="BB216" s="231"/>
      <c r="BC216" s="231"/>
      <c r="BD216" s="231"/>
      <c r="BE216" s="231"/>
      <c r="BF216" s="231"/>
      <c r="BG216" s="231"/>
      <c r="BH216" s="231"/>
      <c r="BI216" s="231"/>
      <c r="BJ216" s="231"/>
      <c r="BK216" s="231"/>
      <c r="BL216" s="231"/>
      <c r="BM216" s="231"/>
      <c r="BN216" s="231"/>
      <c r="BO216" s="231"/>
      <c r="BP216" s="231"/>
      <c r="BQ216" s="231"/>
      <c r="BR216" s="231"/>
      <c r="BS216" s="231"/>
      <c r="BT216" s="231"/>
      <c r="BU216" s="231"/>
      <c r="BV216" s="231"/>
      <c r="BW216" s="231"/>
      <c r="BX216" s="231"/>
      <c r="BY216" s="231"/>
      <c r="BZ216" s="231"/>
      <c r="CA216" s="231"/>
      <c r="CB216" s="231"/>
      <c r="CC216" s="231"/>
      <c r="CD216" s="231"/>
      <c r="CE216" s="231"/>
      <c r="CF216" s="231"/>
      <c r="CG216" s="231"/>
      <c r="CH216" s="231"/>
      <c r="CI216" s="231"/>
      <c r="CJ216" s="231"/>
      <c r="CK216" s="231"/>
      <c r="CL216" s="231"/>
      <c r="CM216" s="231"/>
      <c r="CN216" s="231"/>
      <c r="CO216" s="231"/>
      <c r="CP216" s="231"/>
      <c r="CQ216" s="231"/>
      <c r="CR216" s="231"/>
      <c r="CS216" s="231"/>
      <c r="CT216" s="231"/>
      <c r="CU216" s="231"/>
      <c r="CV216" s="231"/>
      <c r="CW216" s="231"/>
      <c r="CX216" s="231"/>
      <c r="CY216" s="231"/>
      <c r="CZ216" s="231"/>
      <c r="DA216" s="231"/>
      <c r="DB216" s="231"/>
      <c r="DC216" s="231"/>
      <c r="DD216" s="231"/>
      <c r="DE216" s="231"/>
      <c r="DF216" s="231"/>
      <c r="DG216" s="231"/>
      <c r="DH216" s="231"/>
      <c r="DI216" s="231"/>
      <c r="DJ216" s="231"/>
      <c r="DK216" s="231"/>
      <c r="DL216" s="231"/>
      <c r="DM216" s="231"/>
      <c r="DN216" s="231"/>
      <c r="DO216" s="231"/>
      <c r="DP216" s="231"/>
      <c r="DQ216" s="231"/>
      <c r="DR216" s="231"/>
      <c r="DS216" s="231"/>
      <c r="DT216" s="231"/>
      <c r="DU216" s="231"/>
      <c r="DV216" s="231"/>
      <c r="DW216" s="231"/>
      <c r="YS216" s="38" t="e">
        <f>RIGHT(CONCATENATE(0,#REF!),7)</f>
        <v>#REF!</v>
      </c>
    </row>
    <row r="217" spans="38:669" hidden="1">
      <c r="AL217" s="231"/>
      <c r="AM217" s="231"/>
      <c r="AN217" s="231"/>
      <c r="AO217" s="231"/>
      <c r="AP217" s="231"/>
      <c r="AQ217" s="231"/>
      <c r="AR217" s="231"/>
      <c r="AS217" s="231"/>
      <c r="AT217" s="231"/>
      <c r="AU217" s="231"/>
      <c r="AV217" s="231"/>
      <c r="AW217" s="231"/>
      <c r="AX217" s="231"/>
      <c r="AY217" s="231"/>
      <c r="AZ217" s="231"/>
      <c r="BA217" s="231"/>
      <c r="BB217" s="231"/>
      <c r="BC217" s="231"/>
      <c r="BD217" s="231"/>
      <c r="BE217" s="231"/>
      <c r="BF217" s="231"/>
      <c r="BG217" s="231"/>
      <c r="BH217" s="231"/>
      <c r="BI217" s="231"/>
      <c r="BJ217" s="231"/>
      <c r="BK217" s="231"/>
      <c r="BL217" s="231"/>
      <c r="BM217" s="231"/>
      <c r="BN217" s="231"/>
      <c r="BO217" s="231"/>
      <c r="BP217" s="231"/>
      <c r="BQ217" s="231"/>
      <c r="BR217" s="231"/>
      <c r="BS217" s="231"/>
      <c r="BT217" s="231"/>
      <c r="BU217" s="231"/>
      <c r="BV217" s="231"/>
      <c r="BW217" s="231"/>
      <c r="BX217" s="231"/>
      <c r="BY217" s="231"/>
      <c r="BZ217" s="231"/>
      <c r="CA217" s="231"/>
      <c r="CB217" s="231"/>
      <c r="CC217" s="231"/>
      <c r="CD217" s="231"/>
      <c r="CE217" s="231"/>
      <c r="CF217" s="231"/>
      <c r="CG217" s="231"/>
      <c r="CH217" s="231"/>
      <c r="CI217" s="231"/>
      <c r="CJ217" s="231"/>
      <c r="CK217" s="231"/>
      <c r="CL217" s="231"/>
      <c r="CM217" s="231"/>
      <c r="CN217" s="231"/>
      <c r="CO217" s="231"/>
      <c r="CP217" s="231"/>
      <c r="CQ217" s="231"/>
      <c r="CR217" s="231"/>
      <c r="CS217" s="231"/>
      <c r="CT217" s="231"/>
      <c r="CU217" s="231"/>
      <c r="CV217" s="231"/>
      <c r="CW217" s="231"/>
      <c r="CX217" s="231"/>
      <c r="CY217" s="231"/>
      <c r="CZ217" s="231"/>
      <c r="DA217" s="231"/>
      <c r="DB217" s="231"/>
      <c r="DC217" s="231"/>
      <c r="DD217" s="231"/>
      <c r="DE217" s="231"/>
      <c r="DF217" s="231"/>
      <c r="DG217" s="231"/>
      <c r="DH217" s="231"/>
      <c r="DI217" s="231"/>
      <c r="DJ217" s="231"/>
      <c r="DK217" s="231"/>
      <c r="DL217" s="231"/>
      <c r="DM217" s="231"/>
      <c r="DN217" s="231"/>
      <c r="DO217" s="231"/>
      <c r="DP217" s="231"/>
      <c r="DQ217" s="231"/>
      <c r="DR217" s="231"/>
      <c r="DS217" s="231"/>
      <c r="DT217" s="231"/>
      <c r="DU217" s="231"/>
      <c r="DV217" s="231"/>
      <c r="DW217" s="231"/>
      <c r="YS217" s="38" t="e">
        <f>RIGHT(CONCATENATE(0,#REF!),7)</f>
        <v>#REF!</v>
      </c>
    </row>
    <row r="218" spans="38:669" hidden="1">
      <c r="AL218" s="231"/>
      <c r="AM218" s="231"/>
      <c r="AN218" s="231"/>
      <c r="AO218" s="231"/>
      <c r="AP218" s="231"/>
      <c r="AQ218" s="231"/>
      <c r="AR218" s="231"/>
      <c r="AS218" s="231"/>
      <c r="AT218" s="231"/>
      <c r="AU218" s="231"/>
      <c r="AV218" s="231"/>
      <c r="AW218" s="231"/>
      <c r="AX218" s="231"/>
      <c r="AY218" s="231"/>
      <c r="AZ218" s="231"/>
      <c r="BA218" s="231"/>
      <c r="BB218" s="231"/>
      <c r="BC218" s="231"/>
      <c r="BD218" s="231"/>
      <c r="BE218" s="231"/>
      <c r="BF218" s="231"/>
      <c r="BG218" s="231"/>
      <c r="BH218" s="231"/>
      <c r="BI218" s="231"/>
      <c r="BJ218" s="231"/>
      <c r="BK218" s="231"/>
      <c r="BL218" s="231"/>
      <c r="BM218" s="231"/>
      <c r="BN218" s="231"/>
      <c r="BO218" s="231"/>
      <c r="BP218" s="231"/>
      <c r="BQ218" s="231"/>
      <c r="BR218" s="231"/>
      <c r="BS218" s="231"/>
      <c r="BT218" s="231"/>
      <c r="BU218" s="231"/>
      <c r="BV218" s="231"/>
      <c r="BW218" s="231"/>
      <c r="BX218" s="231"/>
      <c r="BY218" s="231"/>
      <c r="BZ218" s="231"/>
      <c r="CA218" s="231"/>
      <c r="CB218" s="231"/>
      <c r="CC218" s="231"/>
      <c r="CD218" s="231"/>
      <c r="CE218" s="231"/>
      <c r="CF218" s="231"/>
      <c r="CG218" s="231"/>
      <c r="CH218" s="231"/>
      <c r="CI218" s="231"/>
      <c r="CJ218" s="231"/>
      <c r="CK218" s="231"/>
      <c r="CL218" s="231"/>
      <c r="CM218" s="231"/>
      <c r="CN218" s="231"/>
      <c r="CO218" s="231"/>
      <c r="CP218" s="231"/>
      <c r="CQ218" s="231"/>
      <c r="CR218" s="231"/>
      <c r="CS218" s="231"/>
      <c r="CT218" s="231"/>
      <c r="CU218" s="231"/>
      <c r="CV218" s="231"/>
      <c r="CW218" s="231"/>
      <c r="CX218" s="231"/>
      <c r="CY218" s="231"/>
      <c r="CZ218" s="231"/>
      <c r="DA218" s="231"/>
      <c r="DB218" s="231"/>
      <c r="DC218" s="231"/>
      <c r="DD218" s="231"/>
      <c r="DE218" s="231"/>
      <c r="DF218" s="231"/>
      <c r="DG218" s="231"/>
      <c r="DH218" s="231"/>
      <c r="DI218" s="231"/>
      <c r="DJ218" s="231"/>
      <c r="DK218" s="231"/>
      <c r="DL218" s="231"/>
      <c r="DM218" s="231"/>
      <c r="DN218" s="231"/>
      <c r="DO218" s="231"/>
      <c r="DP218" s="231"/>
      <c r="DQ218" s="231"/>
      <c r="DR218" s="231"/>
      <c r="DS218" s="231"/>
      <c r="DT218" s="231"/>
      <c r="DU218" s="231"/>
      <c r="DV218" s="231"/>
      <c r="DW218" s="231"/>
      <c r="YS218" s="38" t="e">
        <f>RIGHT(CONCATENATE(0,#REF!),7)</f>
        <v>#REF!</v>
      </c>
    </row>
    <row r="219" spans="38:669" hidden="1">
      <c r="AL219" s="231"/>
      <c r="AM219" s="231"/>
      <c r="AN219" s="231"/>
      <c r="AO219" s="231"/>
      <c r="AP219" s="231"/>
      <c r="AQ219" s="231"/>
      <c r="AR219" s="231"/>
      <c r="AS219" s="231"/>
      <c r="AT219" s="231"/>
      <c r="AU219" s="231"/>
      <c r="AV219" s="231"/>
      <c r="AW219" s="231"/>
      <c r="AX219" s="231"/>
      <c r="AY219" s="231"/>
      <c r="AZ219" s="231"/>
      <c r="BA219" s="231"/>
      <c r="BB219" s="231"/>
      <c r="BC219" s="231"/>
      <c r="BD219" s="231"/>
      <c r="BE219" s="231"/>
      <c r="BF219" s="231"/>
      <c r="BG219" s="231"/>
      <c r="BH219" s="231"/>
      <c r="BI219" s="231"/>
      <c r="BJ219" s="231"/>
      <c r="BK219" s="231"/>
      <c r="BL219" s="231"/>
      <c r="BM219" s="231"/>
      <c r="BN219" s="231"/>
      <c r="BO219" s="231"/>
      <c r="BP219" s="231"/>
      <c r="BQ219" s="231"/>
      <c r="BR219" s="231"/>
      <c r="BS219" s="231"/>
      <c r="BT219" s="231"/>
      <c r="BU219" s="231"/>
      <c r="BV219" s="231"/>
      <c r="BW219" s="231"/>
      <c r="BX219" s="231"/>
      <c r="BY219" s="231"/>
      <c r="BZ219" s="231"/>
      <c r="CA219" s="231"/>
      <c r="CB219" s="231"/>
      <c r="CC219" s="231"/>
      <c r="CD219" s="231"/>
      <c r="CE219" s="231"/>
      <c r="CF219" s="231"/>
      <c r="CG219" s="231"/>
      <c r="CH219" s="231"/>
      <c r="CI219" s="231"/>
      <c r="CJ219" s="231"/>
      <c r="CK219" s="231"/>
      <c r="CL219" s="231"/>
      <c r="CM219" s="231"/>
      <c r="CN219" s="231"/>
      <c r="CO219" s="231"/>
      <c r="CP219" s="231"/>
      <c r="CQ219" s="231"/>
      <c r="CR219" s="231"/>
      <c r="CS219" s="231"/>
      <c r="CT219" s="231"/>
      <c r="CU219" s="231"/>
      <c r="CV219" s="231"/>
      <c r="CW219" s="231"/>
      <c r="CX219" s="231"/>
      <c r="CY219" s="231"/>
      <c r="CZ219" s="231"/>
      <c r="DA219" s="231"/>
      <c r="DB219" s="231"/>
      <c r="DC219" s="231"/>
      <c r="DD219" s="231"/>
      <c r="DE219" s="231"/>
      <c r="DF219" s="231"/>
      <c r="DG219" s="231"/>
      <c r="DH219" s="231"/>
      <c r="DI219" s="231"/>
      <c r="DJ219" s="231"/>
      <c r="DK219" s="231"/>
      <c r="DL219" s="231"/>
      <c r="DM219" s="231"/>
      <c r="DN219" s="231"/>
      <c r="DO219" s="231"/>
      <c r="DP219" s="231"/>
      <c r="DQ219" s="231"/>
      <c r="DR219" s="231"/>
      <c r="DS219" s="231"/>
      <c r="DT219" s="231"/>
      <c r="DU219" s="231"/>
      <c r="DV219" s="231"/>
      <c r="DW219" s="231"/>
      <c r="YS219" s="38" t="e">
        <f>RIGHT(CONCATENATE(0,#REF!),7)</f>
        <v>#REF!</v>
      </c>
    </row>
    <row r="220" spans="38:669" hidden="1">
      <c r="AL220" s="231"/>
      <c r="AM220" s="231"/>
      <c r="AN220" s="231"/>
      <c r="AO220" s="231"/>
      <c r="AP220" s="231"/>
      <c r="AQ220" s="231"/>
      <c r="AR220" s="231"/>
      <c r="AS220" s="231"/>
      <c r="AT220" s="231"/>
      <c r="AU220" s="231"/>
      <c r="AV220" s="231"/>
      <c r="AW220" s="231"/>
      <c r="AX220" s="231"/>
      <c r="AY220" s="231"/>
      <c r="AZ220" s="231"/>
      <c r="BA220" s="231"/>
      <c r="BB220" s="231"/>
      <c r="BC220" s="231"/>
      <c r="BD220" s="231"/>
      <c r="BE220" s="231"/>
      <c r="BF220" s="231"/>
      <c r="BG220" s="231"/>
      <c r="BH220" s="231"/>
      <c r="BI220" s="231"/>
      <c r="BJ220" s="231"/>
      <c r="BK220" s="231"/>
      <c r="BL220" s="231"/>
      <c r="BM220" s="231"/>
      <c r="BN220" s="231"/>
      <c r="BO220" s="231"/>
      <c r="BP220" s="231"/>
      <c r="BQ220" s="231"/>
      <c r="BR220" s="231"/>
      <c r="BS220" s="231"/>
      <c r="BT220" s="231"/>
      <c r="BU220" s="231"/>
      <c r="BV220" s="231"/>
      <c r="BW220" s="231"/>
      <c r="BX220" s="231"/>
      <c r="BY220" s="231"/>
      <c r="BZ220" s="231"/>
      <c r="CA220" s="231"/>
      <c r="CB220" s="231"/>
      <c r="CC220" s="231"/>
      <c r="CD220" s="231"/>
      <c r="CE220" s="231"/>
      <c r="CF220" s="231"/>
      <c r="CG220" s="231"/>
      <c r="CH220" s="231"/>
      <c r="CI220" s="231"/>
      <c r="CJ220" s="231"/>
      <c r="CK220" s="231"/>
      <c r="CL220" s="231"/>
      <c r="CM220" s="231"/>
      <c r="CN220" s="231"/>
      <c r="CO220" s="231"/>
      <c r="CP220" s="231"/>
      <c r="CQ220" s="231"/>
      <c r="CR220" s="231"/>
      <c r="CS220" s="231"/>
      <c r="CT220" s="231"/>
      <c r="CU220" s="231"/>
      <c r="CV220" s="231"/>
      <c r="CW220" s="231"/>
      <c r="CX220" s="231"/>
      <c r="CY220" s="231"/>
      <c r="CZ220" s="231"/>
      <c r="DA220" s="231"/>
      <c r="DB220" s="231"/>
      <c r="DC220" s="231"/>
      <c r="DD220" s="231"/>
      <c r="DE220" s="231"/>
      <c r="DF220" s="231"/>
      <c r="DG220" s="231"/>
      <c r="DH220" s="231"/>
      <c r="DI220" s="231"/>
      <c r="DJ220" s="231"/>
      <c r="DK220" s="231"/>
      <c r="DL220" s="231"/>
      <c r="DM220" s="231"/>
      <c r="DN220" s="231"/>
      <c r="DO220" s="231"/>
      <c r="DP220" s="231"/>
      <c r="DQ220" s="231"/>
      <c r="DR220" s="231"/>
      <c r="DS220" s="231"/>
      <c r="DT220" s="231"/>
      <c r="DU220" s="231"/>
      <c r="DV220" s="231"/>
      <c r="DW220" s="231"/>
      <c r="YS220" s="38" t="e">
        <f>RIGHT(CONCATENATE(0,#REF!),7)</f>
        <v>#REF!</v>
      </c>
    </row>
    <row r="221" spans="38:669" hidden="1">
      <c r="AL221" s="231"/>
      <c r="AM221" s="231"/>
      <c r="AN221" s="231"/>
      <c r="AO221" s="231"/>
      <c r="AP221" s="231"/>
      <c r="AQ221" s="231"/>
      <c r="AR221" s="231"/>
      <c r="AS221" s="231"/>
      <c r="AT221" s="231"/>
      <c r="AU221" s="231"/>
      <c r="AV221" s="231"/>
      <c r="AW221" s="231"/>
      <c r="AX221" s="231"/>
      <c r="AY221" s="231"/>
      <c r="AZ221" s="231"/>
      <c r="BA221" s="231"/>
      <c r="BB221" s="231"/>
      <c r="BC221" s="231"/>
      <c r="BD221" s="231"/>
      <c r="BE221" s="231"/>
      <c r="BF221" s="231"/>
      <c r="BG221" s="231"/>
      <c r="BH221" s="231"/>
      <c r="BI221" s="231"/>
      <c r="BJ221" s="231"/>
      <c r="BK221" s="231"/>
      <c r="BL221" s="231"/>
      <c r="BM221" s="231"/>
      <c r="BN221" s="231"/>
      <c r="BO221" s="231"/>
      <c r="BP221" s="231"/>
      <c r="BQ221" s="231"/>
      <c r="BR221" s="231"/>
      <c r="BS221" s="231"/>
      <c r="BT221" s="231"/>
      <c r="BU221" s="231"/>
      <c r="BV221" s="231"/>
      <c r="BW221" s="231"/>
      <c r="BX221" s="231"/>
      <c r="BY221" s="231"/>
      <c r="BZ221" s="231"/>
      <c r="CA221" s="231"/>
      <c r="CB221" s="231"/>
      <c r="CC221" s="231"/>
      <c r="CD221" s="231"/>
      <c r="CE221" s="231"/>
      <c r="CF221" s="231"/>
      <c r="CG221" s="231"/>
      <c r="CH221" s="231"/>
      <c r="CI221" s="231"/>
      <c r="CJ221" s="231"/>
      <c r="CK221" s="231"/>
      <c r="CL221" s="231"/>
      <c r="CM221" s="231"/>
      <c r="CN221" s="231"/>
      <c r="CO221" s="231"/>
      <c r="CP221" s="231"/>
      <c r="CQ221" s="231"/>
      <c r="CR221" s="231"/>
      <c r="CS221" s="231"/>
      <c r="CT221" s="231"/>
      <c r="CU221" s="231"/>
      <c r="CV221" s="231"/>
      <c r="CW221" s="231"/>
      <c r="CX221" s="231"/>
      <c r="CY221" s="231"/>
      <c r="CZ221" s="231"/>
      <c r="DA221" s="231"/>
      <c r="DB221" s="231"/>
      <c r="DC221" s="231"/>
      <c r="DD221" s="231"/>
      <c r="DE221" s="231"/>
      <c r="DF221" s="231"/>
      <c r="DG221" s="231"/>
      <c r="DH221" s="231"/>
      <c r="DI221" s="231"/>
      <c r="DJ221" s="231"/>
      <c r="DK221" s="231"/>
      <c r="DL221" s="231"/>
      <c r="DM221" s="231"/>
      <c r="DN221" s="231"/>
      <c r="DO221" s="231"/>
      <c r="DP221" s="231"/>
      <c r="DQ221" s="231"/>
      <c r="DR221" s="231"/>
      <c r="DS221" s="231"/>
      <c r="DT221" s="231"/>
      <c r="DU221" s="231"/>
      <c r="DV221" s="231"/>
      <c r="DW221" s="231"/>
      <c r="YS221" s="38" t="e">
        <f>RIGHT(CONCATENATE(0,#REF!),7)</f>
        <v>#REF!</v>
      </c>
    </row>
    <row r="222" spans="38:669" hidden="1">
      <c r="AL222" s="231"/>
      <c r="AM222" s="231"/>
      <c r="AN222" s="231"/>
      <c r="AO222" s="231"/>
      <c r="AP222" s="231"/>
      <c r="AQ222" s="231"/>
      <c r="AR222" s="231"/>
      <c r="AS222" s="231"/>
      <c r="AT222" s="231"/>
      <c r="AU222" s="231"/>
      <c r="AV222" s="231"/>
      <c r="AW222" s="231"/>
      <c r="AX222" s="231"/>
      <c r="AY222" s="231"/>
      <c r="AZ222" s="231"/>
      <c r="BA222" s="231"/>
      <c r="BB222" s="231"/>
      <c r="BC222" s="231"/>
      <c r="BD222" s="231"/>
      <c r="BE222" s="231"/>
      <c r="BF222" s="231"/>
      <c r="BG222" s="231"/>
      <c r="BH222" s="231"/>
      <c r="BI222" s="231"/>
      <c r="BJ222" s="231"/>
      <c r="BK222" s="231"/>
      <c r="BL222" s="231"/>
      <c r="BM222" s="231"/>
      <c r="BN222" s="231"/>
      <c r="BO222" s="231"/>
      <c r="BP222" s="231"/>
      <c r="BQ222" s="231"/>
      <c r="BR222" s="231"/>
      <c r="BS222" s="231"/>
      <c r="BT222" s="231"/>
      <c r="BU222" s="231"/>
      <c r="BV222" s="231"/>
      <c r="BW222" s="231"/>
      <c r="BX222" s="231"/>
      <c r="BY222" s="231"/>
      <c r="BZ222" s="231"/>
      <c r="CA222" s="231"/>
      <c r="CB222" s="231"/>
      <c r="CC222" s="231"/>
      <c r="CD222" s="231"/>
      <c r="CE222" s="231"/>
      <c r="CF222" s="231"/>
      <c r="CG222" s="231"/>
      <c r="CH222" s="231"/>
      <c r="CI222" s="231"/>
      <c r="CJ222" s="231"/>
      <c r="CK222" s="231"/>
      <c r="CL222" s="231"/>
      <c r="CM222" s="231"/>
      <c r="CN222" s="231"/>
      <c r="CO222" s="231"/>
      <c r="CP222" s="231"/>
      <c r="CQ222" s="231"/>
      <c r="CR222" s="231"/>
      <c r="CS222" s="231"/>
      <c r="CT222" s="231"/>
      <c r="CU222" s="231"/>
      <c r="CV222" s="231"/>
      <c r="CW222" s="231"/>
      <c r="CX222" s="231"/>
      <c r="CY222" s="231"/>
      <c r="CZ222" s="231"/>
      <c r="DA222" s="231"/>
      <c r="DB222" s="231"/>
      <c r="DC222" s="231"/>
      <c r="DD222" s="231"/>
      <c r="DE222" s="231"/>
      <c r="DF222" s="231"/>
      <c r="DG222" s="231"/>
      <c r="DH222" s="231"/>
      <c r="DI222" s="231"/>
      <c r="DJ222" s="231"/>
      <c r="DK222" s="231"/>
      <c r="DL222" s="231"/>
      <c r="DM222" s="231"/>
      <c r="DN222" s="231"/>
      <c r="DO222" s="231"/>
      <c r="DP222" s="231"/>
      <c r="DQ222" s="231"/>
      <c r="DR222" s="231"/>
      <c r="DS222" s="231"/>
      <c r="DT222" s="231"/>
      <c r="DU222" s="231"/>
      <c r="DV222" s="231"/>
      <c r="DW222" s="231"/>
      <c r="YS222" s="38" t="e">
        <f>RIGHT(CONCATENATE(0,#REF!),7)</f>
        <v>#REF!</v>
      </c>
    </row>
    <row r="223" spans="38:669" hidden="1">
      <c r="AL223" s="231"/>
      <c r="AM223" s="231"/>
      <c r="AN223" s="231"/>
      <c r="AO223" s="231"/>
      <c r="AP223" s="231"/>
      <c r="AQ223" s="231"/>
      <c r="AR223" s="231"/>
      <c r="AS223" s="231"/>
      <c r="AT223" s="231"/>
      <c r="AU223" s="231"/>
      <c r="AV223" s="231"/>
      <c r="AW223" s="231"/>
      <c r="AX223" s="231"/>
      <c r="AY223" s="231"/>
      <c r="AZ223" s="231"/>
      <c r="BA223" s="231"/>
      <c r="BB223" s="231"/>
      <c r="BC223" s="231"/>
      <c r="BD223" s="231"/>
      <c r="BE223" s="231"/>
      <c r="BF223" s="231"/>
      <c r="BG223" s="231"/>
      <c r="BH223" s="231"/>
      <c r="BI223" s="231"/>
      <c r="BJ223" s="231"/>
      <c r="BK223" s="231"/>
      <c r="BL223" s="231"/>
      <c r="BM223" s="231"/>
      <c r="BN223" s="231"/>
      <c r="BO223" s="231"/>
      <c r="BP223" s="231"/>
      <c r="BQ223" s="231"/>
      <c r="BR223" s="231"/>
      <c r="BS223" s="231"/>
      <c r="BT223" s="231"/>
      <c r="BU223" s="231"/>
      <c r="BV223" s="231"/>
      <c r="BW223" s="231"/>
      <c r="BX223" s="231"/>
      <c r="BY223" s="231"/>
      <c r="BZ223" s="231"/>
      <c r="CA223" s="231"/>
      <c r="CB223" s="231"/>
      <c r="CC223" s="231"/>
      <c r="CD223" s="231"/>
      <c r="CE223" s="231"/>
      <c r="CF223" s="231"/>
      <c r="CG223" s="231"/>
      <c r="CH223" s="231"/>
      <c r="CI223" s="231"/>
      <c r="CJ223" s="231"/>
      <c r="CK223" s="231"/>
      <c r="CL223" s="231"/>
      <c r="CM223" s="231"/>
      <c r="CN223" s="231"/>
      <c r="CO223" s="231"/>
      <c r="CP223" s="231"/>
      <c r="CQ223" s="231"/>
      <c r="CR223" s="231"/>
      <c r="CS223" s="231"/>
      <c r="CT223" s="231"/>
      <c r="CU223" s="231"/>
      <c r="CV223" s="231"/>
      <c r="CW223" s="231"/>
      <c r="CX223" s="231"/>
      <c r="CY223" s="231"/>
      <c r="CZ223" s="231"/>
      <c r="DA223" s="231"/>
      <c r="DB223" s="231"/>
      <c r="DC223" s="231"/>
      <c r="DD223" s="231"/>
      <c r="DE223" s="231"/>
      <c r="DF223" s="231"/>
      <c r="DG223" s="231"/>
      <c r="DH223" s="231"/>
      <c r="DI223" s="231"/>
      <c r="DJ223" s="231"/>
      <c r="DK223" s="231"/>
      <c r="DL223" s="231"/>
      <c r="DM223" s="231"/>
      <c r="DN223" s="231"/>
      <c r="DO223" s="231"/>
      <c r="DP223" s="231"/>
      <c r="DQ223" s="231"/>
      <c r="DR223" s="231"/>
      <c r="DS223" s="231"/>
      <c r="DT223" s="231"/>
      <c r="DU223" s="231"/>
      <c r="DV223" s="231"/>
      <c r="DW223" s="231"/>
      <c r="YS223" s="38" t="e">
        <f>RIGHT(CONCATENATE(0,#REF!),7)</f>
        <v>#REF!</v>
      </c>
    </row>
    <row r="224" spans="38:669" hidden="1">
      <c r="AL224" s="231"/>
      <c r="AM224" s="231"/>
      <c r="AN224" s="231"/>
      <c r="AO224" s="231"/>
      <c r="AP224" s="231"/>
      <c r="AQ224" s="231"/>
      <c r="AR224" s="231"/>
      <c r="AS224" s="231"/>
      <c r="AT224" s="231"/>
      <c r="AU224" s="231"/>
      <c r="AV224" s="231"/>
      <c r="AW224" s="231"/>
      <c r="AX224" s="231"/>
      <c r="AY224" s="231"/>
      <c r="AZ224" s="231"/>
      <c r="BA224" s="231"/>
      <c r="BB224" s="231"/>
      <c r="BC224" s="231"/>
      <c r="BD224" s="231"/>
      <c r="BE224" s="231"/>
      <c r="BF224" s="231"/>
      <c r="BG224" s="231"/>
      <c r="BH224" s="231"/>
      <c r="BI224" s="231"/>
      <c r="BJ224" s="231"/>
      <c r="BK224" s="231"/>
      <c r="BL224" s="231"/>
      <c r="BM224" s="231"/>
      <c r="BN224" s="231"/>
      <c r="BO224" s="231"/>
      <c r="BP224" s="231"/>
      <c r="BQ224" s="231"/>
      <c r="BR224" s="231"/>
      <c r="BS224" s="231"/>
      <c r="BT224" s="231"/>
      <c r="BU224" s="231"/>
      <c r="BV224" s="231"/>
      <c r="BW224" s="231"/>
      <c r="BX224" s="231"/>
      <c r="BY224" s="231"/>
      <c r="BZ224" s="231"/>
      <c r="CA224" s="231"/>
      <c r="CB224" s="231"/>
      <c r="CC224" s="231"/>
      <c r="CD224" s="231"/>
      <c r="CE224" s="231"/>
      <c r="CF224" s="231"/>
      <c r="CG224" s="231"/>
      <c r="CH224" s="231"/>
      <c r="CI224" s="231"/>
      <c r="CJ224" s="231"/>
      <c r="CK224" s="231"/>
      <c r="CL224" s="231"/>
      <c r="CM224" s="231"/>
      <c r="CN224" s="231"/>
      <c r="CO224" s="231"/>
      <c r="CP224" s="231"/>
      <c r="CQ224" s="231"/>
      <c r="CR224" s="231"/>
      <c r="CS224" s="231"/>
      <c r="CT224" s="231"/>
      <c r="CU224" s="231"/>
      <c r="CV224" s="231"/>
      <c r="CW224" s="231"/>
      <c r="CX224" s="231"/>
      <c r="CY224" s="231"/>
      <c r="CZ224" s="231"/>
      <c r="DA224" s="231"/>
      <c r="DB224" s="231"/>
      <c r="DC224" s="231"/>
      <c r="DD224" s="231"/>
      <c r="DE224" s="231"/>
      <c r="DF224" s="231"/>
      <c r="DG224" s="231"/>
      <c r="DH224" s="231"/>
      <c r="DI224" s="231"/>
      <c r="DJ224" s="231"/>
      <c r="DK224" s="231"/>
      <c r="DL224" s="231"/>
      <c r="DM224" s="231"/>
      <c r="DN224" s="231"/>
      <c r="DO224" s="231"/>
      <c r="DP224" s="231"/>
      <c r="DQ224" s="231"/>
      <c r="DR224" s="231"/>
      <c r="DS224" s="231"/>
      <c r="DT224" s="231"/>
      <c r="DU224" s="231"/>
      <c r="DV224" s="231"/>
      <c r="DW224" s="231"/>
      <c r="YS224" s="38" t="e">
        <f>RIGHT(CONCATENATE(0,#REF!),7)</f>
        <v>#REF!</v>
      </c>
    </row>
    <row r="225" spans="38:669" hidden="1">
      <c r="AL225" s="231"/>
      <c r="AM225" s="231"/>
      <c r="AN225" s="231"/>
      <c r="AO225" s="231"/>
      <c r="AP225" s="231"/>
      <c r="AQ225" s="231"/>
      <c r="AR225" s="231"/>
      <c r="AS225" s="231"/>
      <c r="AT225" s="231"/>
      <c r="AU225" s="231"/>
      <c r="AV225" s="231"/>
      <c r="AW225" s="231"/>
      <c r="AX225" s="231"/>
      <c r="AY225" s="231"/>
      <c r="AZ225" s="231"/>
      <c r="BA225" s="231"/>
      <c r="BB225" s="231"/>
      <c r="BC225" s="231"/>
      <c r="BD225" s="231"/>
      <c r="BE225" s="231"/>
      <c r="BF225" s="231"/>
      <c r="BG225" s="231"/>
      <c r="BH225" s="231"/>
      <c r="BI225" s="231"/>
      <c r="BJ225" s="231"/>
      <c r="BK225" s="231"/>
      <c r="BL225" s="231"/>
      <c r="BM225" s="231"/>
      <c r="BN225" s="231"/>
      <c r="BO225" s="231"/>
      <c r="BP225" s="231"/>
      <c r="BQ225" s="231"/>
      <c r="BR225" s="231"/>
      <c r="BS225" s="231"/>
      <c r="BT225" s="231"/>
      <c r="BU225" s="231"/>
      <c r="BV225" s="231"/>
      <c r="BW225" s="231"/>
      <c r="BX225" s="231"/>
      <c r="BY225" s="231"/>
      <c r="BZ225" s="231"/>
      <c r="CA225" s="231"/>
      <c r="CB225" s="231"/>
      <c r="CC225" s="231"/>
      <c r="CD225" s="231"/>
      <c r="CE225" s="231"/>
      <c r="CF225" s="231"/>
      <c r="CG225" s="231"/>
      <c r="CH225" s="231"/>
      <c r="CI225" s="231"/>
      <c r="CJ225" s="231"/>
      <c r="CK225" s="231"/>
      <c r="CL225" s="231"/>
      <c r="CM225" s="231"/>
      <c r="CN225" s="231"/>
      <c r="CO225" s="231"/>
      <c r="CP225" s="231"/>
      <c r="CQ225" s="231"/>
      <c r="CR225" s="231"/>
      <c r="CS225" s="231"/>
      <c r="CT225" s="231"/>
      <c r="CU225" s="231"/>
      <c r="CV225" s="231"/>
      <c r="CW225" s="231"/>
      <c r="CX225" s="231"/>
      <c r="CY225" s="231"/>
      <c r="CZ225" s="231"/>
      <c r="DA225" s="231"/>
      <c r="DB225" s="231"/>
      <c r="DC225" s="231"/>
      <c r="DD225" s="231"/>
      <c r="DE225" s="231"/>
      <c r="DF225" s="231"/>
      <c r="DG225" s="231"/>
      <c r="DH225" s="231"/>
      <c r="DI225" s="231"/>
      <c r="DJ225" s="231"/>
      <c r="DK225" s="231"/>
      <c r="DL225" s="231"/>
      <c r="DM225" s="231"/>
      <c r="DN225" s="231"/>
      <c r="DO225" s="231"/>
      <c r="DP225" s="231"/>
      <c r="DQ225" s="231"/>
      <c r="DR225" s="231"/>
      <c r="DS225" s="231"/>
      <c r="DT225" s="231"/>
      <c r="DU225" s="231"/>
      <c r="DV225" s="231"/>
      <c r="DW225" s="231"/>
      <c r="YS225" s="38" t="e">
        <f>RIGHT(CONCATENATE(0,#REF!),7)</f>
        <v>#REF!</v>
      </c>
    </row>
    <row r="226" spans="38:669" hidden="1">
      <c r="AL226" s="231"/>
      <c r="AM226" s="231"/>
      <c r="AN226" s="231"/>
      <c r="AO226" s="231"/>
      <c r="AP226" s="231"/>
      <c r="AQ226" s="231"/>
      <c r="AR226" s="231"/>
      <c r="AS226" s="231"/>
      <c r="AT226" s="231"/>
      <c r="AU226" s="231"/>
      <c r="AV226" s="231"/>
      <c r="AW226" s="231"/>
      <c r="AX226" s="231"/>
      <c r="AY226" s="231"/>
      <c r="AZ226" s="231"/>
      <c r="BA226" s="231"/>
      <c r="BB226" s="231"/>
      <c r="BC226" s="231"/>
      <c r="BD226" s="231"/>
      <c r="BE226" s="231"/>
      <c r="BF226" s="231"/>
      <c r="BG226" s="231"/>
      <c r="BH226" s="231"/>
      <c r="BI226" s="231"/>
      <c r="BJ226" s="231"/>
      <c r="BK226" s="231"/>
      <c r="BL226" s="231"/>
      <c r="BM226" s="231"/>
      <c r="BN226" s="231"/>
      <c r="BO226" s="231"/>
      <c r="BP226" s="231"/>
      <c r="BQ226" s="231"/>
      <c r="BR226" s="231"/>
      <c r="BS226" s="231"/>
      <c r="BT226" s="231"/>
      <c r="BU226" s="231"/>
      <c r="BV226" s="231"/>
      <c r="BW226" s="231"/>
      <c r="BX226" s="231"/>
      <c r="BY226" s="231"/>
      <c r="BZ226" s="231"/>
      <c r="CA226" s="231"/>
      <c r="CB226" s="231"/>
      <c r="CC226" s="231"/>
      <c r="CD226" s="231"/>
      <c r="CE226" s="231"/>
      <c r="CF226" s="231"/>
      <c r="CG226" s="231"/>
      <c r="CH226" s="231"/>
      <c r="CI226" s="231"/>
      <c r="CJ226" s="231"/>
      <c r="CK226" s="231"/>
      <c r="CL226" s="231"/>
      <c r="CM226" s="231"/>
      <c r="CN226" s="231"/>
      <c r="CO226" s="231"/>
      <c r="CP226" s="231"/>
      <c r="CQ226" s="231"/>
      <c r="CR226" s="231"/>
      <c r="CS226" s="231"/>
      <c r="CT226" s="231"/>
      <c r="CU226" s="231"/>
      <c r="CV226" s="231"/>
      <c r="CW226" s="231"/>
      <c r="CX226" s="231"/>
      <c r="CY226" s="231"/>
      <c r="CZ226" s="231"/>
      <c r="DA226" s="231"/>
      <c r="DB226" s="231"/>
      <c r="DC226" s="231"/>
      <c r="DD226" s="231"/>
      <c r="DE226" s="231"/>
      <c r="DF226" s="231"/>
      <c r="DG226" s="231"/>
      <c r="DH226" s="231"/>
      <c r="DI226" s="231"/>
      <c r="DJ226" s="231"/>
      <c r="DK226" s="231"/>
      <c r="DL226" s="231"/>
      <c r="DM226" s="231"/>
      <c r="DN226" s="231"/>
      <c r="DO226" s="231"/>
      <c r="DP226" s="231"/>
      <c r="DQ226" s="231"/>
      <c r="DR226" s="231"/>
      <c r="DS226" s="231"/>
      <c r="DT226" s="231"/>
      <c r="DU226" s="231"/>
      <c r="DV226" s="231"/>
      <c r="DW226" s="231"/>
      <c r="YS226" s="38" t="e">
        <f>RIGHT(CONCATENATE(0,#REF!),7)</f>
        <v>#REF!</v>
      </c>
    </row>
    <row r="227" spans="38:669" hidden="1">
      <c r="AL227" s="231"/>
      <c r="AM227" s="231"/>
      <c r="AN227" s="231"/>
      <c r="AO227" s="231"/>
      <c r="AP227" s="231"/>
      <c r="AQ227" s="231"/>
      <c r="AR227" s="231"/>
      <c r="AS227" s="231"/>
      <c r="AT227" s="231"/>
      <c r="AU227" s="231"/>
      <c r="AV227" s="231"/>
      <c r="AW227" s="231"/>
      <c r="AX227" s="231"/>
      <c r="AY227" s="231"/>
      <c r="AZ227" s="231"/>
      <c r="BA227" s="231"/>
      <c r="BB227" s="231"/>
      <c r="BC227" s="231"/>
      <c r="BD227" s="231"/>
      <c r="BE227" s="231"/>
      <c r="BF227" s="231"/>
      <c r="BG227" s="231"/>
      <c r="BH227" s="231"/>
      <c r="BI227" s="231"/>
      <c r="BJ227" s="231"/>
      <c r="BK227" s="231"/>
      <c r="BL227" s="231"/>
      <c r="BM227" s="231"/>
      <c r="BN227" s="231"/>
      <c r="BO227" s="231"/>
      <c r="BP227" s="231"/>
      <c r="BQ227" s="231"/>
      <c r="BR227" s="231"/>
      <c r="BS227" s="231"/>
      <c r="BT227" s="231"/>
      <c r="BU227" s="231"/>
      <c r="BV227" s="231"/>
      <c r="BW227" s="231"/>
      <c r="BX227" s="231"/>
      <c r="BY227" s="231"/>
      <c r="BZ227" s="231"/>
      <c r="CA227" s="231"/>
      <c r="CB227" s="231"/>
      <c r="CC227" s="231"/>
      <c r="CD227" s="231"/>
      <c r="CE227" s="231"/>
      <c r="CF227" s="231"/>
      <c r="CG227" s="231"/>
      <c r="CH227" s="231"/>
      <c r="CI227" s="231"/>
      <c r="CJ227" s="231"/>
      <c r="CK227" s="231"/>
      <c r="CL227" s="231"/>
      <c r="CM227" s="231"/>
      <c r="CN227" s="231"/>
      <c r="CO227" s="231"/>
      <c r="CP227" s="231"/>
      <c r="CQ227" s="231"/>
      <c r="CR227" s="231"/>
      <c r="CS227" s="231"/>
      <c r="CT227" s="231"/>
      <c r="CU227" s="231"/>
      <c r="CV227" s="231"/>
      <c r="CW227" s="231"/>
      <c r="CX227" s="231"/>
      <c r="CY227" s="231"/>
      <c r="CZ227" s="231"/>
      <c r="DA227" s="231"/>
      <c r="DB227" s="231"/>
      <c r="DC227" s="231"/>
      <c r="DD227" s="231"/>
      <c r="DE227" s="231"/>
      <c r="DF227" s="231"/>
      <c r="DG227" s="231"/>
      <c r="DH227" s="231"/>
      <c r="DI227" s="231"/>
      <c r="DJ227" s="231"/>
      <c r="DK227" s="231"/>
      <c r="DL227" s="231"/>
      <c r="DM227" s="231"/>
      <c r="DN227" s="231"/>
      <c r="DO227" s="231"/>
      <c r="DP227" s="231"/>
      <c r="DQ227" s="231"/>
      <c r="DR227" s="231"/>
      <c r="DS227" s="231"/>
      <c r="DT227" s="231"/>
      <c r="DU227" s="231"/>
      <c r="DV227" s="231"/>
      <c r="DW227" s="231"/>
      <c r="YS227" s="38" t="e">
        <f>RIGHT(CONCATENATE(0,#REF!),7)</f>
        <v>#REF!</v>
      </c>
    </row>
    <row r="228" spans="38:669" hidden="1">
      <c r="AL228" s="231"/>
      <c r="AM228" s="231"/>
      <c r="AN228" s="231"/>
      <c r="AO228" s="231"/>
      <c r="AP228" s="231"/>
      <c r="AQ228" s="231"/>
      <c r="AR228" s="231"/>
      <c r="AS228" s="231"/>
      <c r="AT228" s="231"/>
      <c r="AU228" s="231"/>
      <c r="AV228" s="231"/>
      <c r="AW228" s="231"/>
      <c r="AX228" s="231"/>
      <c r="AY228" s="231"/>
      <c r="AZ228" s="231"/>
      <c r="BA228" s="231"/>
      <c r="BB228" s="231"/>
      <c r="BC228" s="231"/>
      <c r="BD228" s="231"/>
      <c r="BE228" s="231"/>
      <c r="BF228" s="231"/>
      <c r="BG228" s="231"/>
      <c r="BH228" s="231"/>
      <c r="BI228" s="231"/>
      <c r="BJ228" s="231"/>
      <c r="BK228" s="231"/>
      <c r="BL228" s="231"/>
      <c r="BM228" s="231"/>
      <c r="BN228" s="231"/>
      <c r="BO228" s="231"/>
      <c r="BP228" s="231"/>
      <c r="BQ228" s="231"/>
      <c r="BR228" s="231"/>
      <c r="BS228" s="231"/>
      <c r="BT228" s="231"/>
      <c r="BU228" s="231"/>
      <c r="BV228" s="231"/>
      <c r="BW228" s="231"/>
      <c r="BX228" s="231"/>
      <c r="BY228" s="231"/>
      <c r="BZ228" s="231"/>
      <c r="CA228" s="231"/>
      <c r="CB228" s="231"/>
      <c r="CC228" s="231"/>
      <c r="CD228" s="231"/>
      <c r="CE228" s="231"/>
      <c r="CF228" s="231"/>
      <c r="CG228" s="231"/>
      <c r="CH228" s="231"/>
      <c r="CI228" s="231"/>
      <c r="CJ228" s="231"/>
      <c r="CK228" s="231"/>
      <c r="CL228" s="231"/>
      <c r="CM228" s="231"/>
      <c r="CN228" s="231"/>
      <c r="CO228" s="231"/>
      <c r="CP228" s="231"/>
      <c r="CQ228" s="231"/>
      <c r="CR228" s="231"/>
      <c r="CS228" s="231"/>
      <c r="CT228" s="231"/>
      <c r="CU228" s="231"/>
      <c r="CV228" s="231"/>
      <c r="CW228" s="231"/>
      <c r="CX228" s="231"/>
      <c r="CY228" s="231"/>
      <c r="CZ228" s="231"/>
      <c r="DA228" s="231"/>
      <c r="DB228" s="231"/>
      <c r="DC228" s="231"/>
      <c r="DD228" s="231"/>
      <c r="DE228" s="231"/>
      <c r="DF228" s="231"/>
      <c r="DG228" s="231"/>
      <c r="DH228" s="231"/>
      <c r="DI228" s="231"/>
      <c r="DJ228" s="231"/>
      <c r="DK228" s="231"/>
      <c r="DL228" s="231"/>
      <c r="DM228" s="231"/>
      <c r="DN228" s="231"/>
      <c r="DO228" s="231"/>
      <c r="DP228" s="231"/>
      <c r="DQ228" s="231"/>
      <c r="DR228" s="231"/>
      <c r="DS228" s="231"/>
      <c r="DT228" s="231"/>
      <c r="DU228" s="231"/>
      <c r="DV228" s="231"/>
      <c r="DW228" s="231"/>
      <c r="YS228" s="38" t="e">
        <f>RIGHT(CONCATENATE(0,#REF!),7)</f>
        <v>#REF!</v>
      </c>
    </row>
    <row r="229" spans="38:669" hidden="1">
      <c r="AL229" s="231"/>
      <c r="AM229" s="231"/>
      <c r="AN229" s="231"/>
      <c r="AO229" s="231"/>
      <c r="AP229" s="231"/>
      <c r="AQ229" s="231"/>
      <c r="AR229" s="231"/>
      <c r="AS229" s="231"/>
      <c r="AT229" s="231"/>
      <c r="AU229" s="231"/>
      <c r="AV229" s="231"/>
      <c r="AW229" s="231"/>
      <c r="AX229" s="231"/>
      <c r="AY229" s="231"/>
      <c r="AZ229" s="231"/>
      <c r="BA229" s="231"/>
      <c r="BB229" s="231"/>
      <c r="BC229" s="231"/>
      <c r="BD229" s="231"/>
      <c r="BE229" s="231"/>
      <c r="BF229" s="231"/>
      <c r="BG229" s="231"/>
      <c r="BH229" s="231"/>
      <c r="BI229" s="231"/>
      <c r="BJ229" s="231"/>
      <c r="BK229" s="231"/>
      <c r="BL229" s="231"/>
      <c r="BM229" s="231"/>
      <c r="BN229" s="231"/>
      <c r="BO229" s="231"/>
      <c r="BP229" s="231"/>
      <c r="BQ229" s="231"/>
      <c r="BR229" s="231"/>
      <c r="BS229" s="231"/>
      <c r="BT229" s="231"/>
      <c r="BU229" s="231"/>
      <c r="BV229" s="231"/>
      <c r="BW229" s="231"/>
      <c r="BX229" s="231"/>
      <c r="BY229" s="231"/>
      <c r="BZ229" s="231"/>
      <c r="CA229" s="231"/>
      <c r="CB229" s="231"/>
      <c r="CC229" s="231"/>
      <c r="CD229" s="231"/>
      <c r="CE229" s="231"/>
      <c r="CF229" s="231"/>
      <c r="CG229" s="231"/>
      <c r="CH229" s="231"/>
      <c r="CI229" s="231"/>
      <c r="CJ229" s="231"/>
      <c r="CK229" s="231"/>
      <c r="CL229" s="231"/>
      <c r="CM229" s="231"/>
      <c r="CN229" s="231"/>
      <c r="CO229" s="231"/>
      <c r="CP229" s="231"/>
      <c r="CQ229" s="231"/>
      <c r="CR229" s="231"/>
      <c r="CS229" s="231"/>
      <c r="CT229" s="231"/>
      <c r="CU229" s="231"/>
      <c r="CV229" s="231"/>
      <c r="CW229" s="231"/>
      <c r="CX229" s="231"/>
      <c r="CY229" s="231"/>
      <c r="CZ229" s="231"/>
      <c r="DA229" s="231"/>
      <c r="DB229" s="231"/>
      <c r="DC229" s="231"/>
      <c r="DD229" s="231"/>
      <c r="DE229" s="231"/>
      <c r="DF229" s="231"/>
      <c r="DG229" s="231"/>
      <c r="DH229" s="231"/>
      <c r="DI229" s="231"/>
      <c r="DJ229" s="231"/>
      <c r="DK229" s="231"/>
      <c r="DL229" s="231"/>
      <c r="DM229" s="231"/>
      <c r="DN229" s="231"/>
      <c r="DO229" s="231"/>
      <c r="DP229" s="231"/>
      <c r="DQ229" s="231"/>
      <c r="DR229" s="231"/>
      <c r="DS229" s="231"/>
      <c r="DT229" s="231"/>
      <c r="DU229" s="231"/>
      <c r="DV229" s="231"/>
      <c r="DW229" s="231"/>
      <c r="YS229" s="38" t="e">
        <f>RIGHT(CONCATENATE(0,#REF!),7)</f>
        <v>#REF!</v>
      </c>
    </row>
    <row r="230" spans="38:669" hidden="1">
      <c r="AL230" s="231"/>
      <c r="AM230" s="231"/>
      <c r="AN230" s="231"/>
      <c r="AO230" s="231"/>
      <c r="AP230" s="231"/>
      <c r="AQ230" s="231"/>
      <c r="AR230" s="231"/>
      <c r="AS230" s="231"/>
      <c r="AT230" s="231"/>
      <c r="AU230" s="231"/>
      <c r="AV230" s="231"/>
      <c r="AW230" s="231"/>
      <c r="AX230" s="231"/>
      <c r="AY230" s="231"/>
      <c r="AZ230" s="231"/>
      <c r="BA230" s="231"/>
      <c r="BB230" s="231"/>
      <c r="BC230" s="231"/>
      <c r="BD230" s="231"/>
      <c r="BE230" s="231"/>
      <c r="BF230" s="231"/>
      <c r="BG230" s="231"/>
      <c r="BH230" s="231"/>
      <c r="BI230" s="231"/>
      <c r="BJ230" s="231"/>
      <c r="BK230" s="231"/>
      <c r="BL230" s="231"/>
      <c r="BM230" s="231"/>
      <c r="BN230" s="231"/>
      <c r="BO230" s="231"/>
      <c r="BP230" s="231"/>
      <c r="BQ230" s="231"/>
      <c r="BR230" s="231"/>
      <c r="BS230" s="231"/>
      <c r="BT230" s="231"/>
      <c r="BU230" s="231"/>
      <c r="BV230" s="231"/>
      <c r="BW230" s="231"/>
      <c r="BX230" s="231"/>
      <c r="BY230" s="231"/>
      <c r="BZ230" s="231"/>
      <c r="CA230" s="231"/>
      <c r="CB230" s="231"/>
      <c r="CC230" s="231"/>
      <c r="CD230" s="231"/>
      <c r="CE230" s="231"/>
      <c r="CF230" s="231"/>
      <c r="CG230" s="231"/>
      <c r="CH230" s="231"/>
      <c r="CI230" s="231"/>
      <c r="CJ230" s="231"/>
      <c r="CK230" s="231"/>
      <c r="CL230" s="231"/>
      <c r="CM230" s="231"/>
      <c r="CN230" s="231"/>
      <c r="CO230" s="231"/>
      <c r="CP230" s="231"/>
      <c r="CQ230" s="231"/>
      <c r="CR230" s="231"/>
      <c r="CS230" s="231"/>
      <c r="CT230" s="231"/>
      <c r="CU230" s="231"/>
      <c r="CV230" s="231"/>
      <c r="CW230" s="231"/>
      <c r="CX230" s="231"/>
      <c r="CY230" s="231"/>
      <c r="CZ230" s="231"/>
      <c r="DA230" s="231"/>
      <c r="DB230" s="231"/>
      <c r="DC230" s="231"/>
      <c r="DD230" s="231"/>
      <c r="DE230" s="231"/>
      <c r="DF230" s="231"/>
      <c r="DG230" s="231"/>
      <c r="DH230" s="231"/>
      <c r="DI230" s="231"/>
      <c r="DJ230" s="231"/>
      <c r="DK230" s="231"/>
      <c r="DL230" s="231"/>
      <c r="DM230" s="231"/>
      <c r="DN230" s="231"/>
      <c r="DO230" s="231"/>
      <c r="DP230" s="231"/>
      <c r="DQ230" s="231"/>
      <c r="DR230" s="231"/>
      <c r="DS230" s="231"/>
      <c r="DT230" s="231"/>
      <c r="DU230" s="231"/>
      <c r="DV230" s="231"/>
      <c r="DW230" s="231"/>
      <c r="YS230" s="38" t="e">
        <f>RIGHT(CONCATENATE(0,#REF!),7)</f>
        <v>#REF!</v>
      </c>
    </row>
    <row r="231" spans="38:669" hidden="1">
      <c r="AL231" s="231"/>
      <c r="AM231" s="231"/>
      <c r="AN231" s="231"/>
      <c r="AO231" s="231"/>
      <c r="AP231" s="231"/>
      <c r="AQ231" s="231"/>
      <c r="AR231" s="231"/>
      <c r="AS231" s="231"/>
      <c r="AT231" s="231"/>
      <c r="AU231" s="231"/>
      <c r="AV231" s="231"/>
      <c r="AW231" s="231"/>
      <c r="AX231" s="231"/>
      <c r="AY231" s="231"/>
      <c r="AZ231" s="231"/>
      <c r="BA231" s="231"/>
      <c r="BB231" s="231"/>
      <c r="BC231" s="231"/>
      <c r="BD231" s="231"/>
      <c r="BE231" s="231"/>
      <c r="BF231" s="231"/>
      <c r="BG231" s="231"/>
      <c r="BH231" s="231"/>
      <c r="BI231" s="231"/>
      <c r="BJ231" s="231"/>
      <c r="BK231" s="231"/>
      <c r="BL231" s="231"/>
      <c r="BM231" s="231"/>
      <c r="BN231" s="231"/>
      <c r="BO231" s="231"/>
      <c r="BP231" s="231"/>
      <c r="BQ231" s="231"/>
      <c r="BR231" s="231"/>
      <c r="BS231" s="231"/>
      <c r="BT231" s="231"/>
      <c r="BU231" s="231"/>
      <c r="BV231" s="231"/>
      <c r="BW231" s="231"/>
      <c r="BX231" s="231"/>
      <c r="BY231" s="231"/>
      <c r="BZ231" s="231"/>
      <c r="CA231" s="231"/>
      <c r="CB231" s="231"/>
      <c r="CC231" s="231"/>
      <c r="CD231" s="231"/>
      <c r="CE231" s="231"/>
      <c r="CF231" s="231"/>
      <c r="CG231" s="231"/>
      <c r="CH231" s="231"/>
      <c r="CI231" s="231"/>
      <c r="CJ231" s="231"/>
      <c r="CK231" s="231"/>
      <c r="CL231" s="231"/>
      <c r="CM231" s="231"/>
      <c r="CN231" s="231"/>
      <c r="CO231" s="231"/>
      <c r="CP231" s="231"/>
      <c r="CQ231" s="231"/>
      <c r="CR231" s="231"/>
      <c r="CS231" s="231"/>
      <c r="CT231" s="231"/>
      <c r="CU231" s="231"/>
      <c r="CV231" s="231"/>
      <c r="CW231" s="231"/>
      <c r="CX231" s="231"/>
      <c r="CY231" s="231"/>
      <c r="CZ231" s="231"/>
      <c r="DA231" s="231"/>
      <c r="DB231" s="231"/>
      <c r="DC231" s="231"/>
      <c r="DD231" s="231"/>
      <c r="DE231" s="231"/>
      <c r="DF231" s="231"/>
      <c r="DG231" s="231"/>
      <c r="DH231" s="231"/>
      <c r="DI231" s="231"/>
      <c r="DJ231" s="231"/>
      <c r="DK231" s="231"/>
      <c r="DL231" s="231"/>
      <c r="DM231" s="231"/>
      <c r="DN231" s="231"/>
      <c r="DO231" s="231"/>
      <c r="DP231" s="231"/>
      <c r="DQ231" s="231"/>
      <c r="DR231" s="231"/>
      <c r="DS231" s="231"/>
      <c r="DT231" s="231"/>
      <c r="DU231" s="231"/>
      <c r="DV231" s="231"/>
      <c r="DW231" s="231"/>
      <c r="YS231" s="38" t="e">
        <f>RIGHT(CONCATENATE(0,#REF!),7)</f>
        <v>#REF!</v>
      </c>
    </row>
    <row r="232" spans="38:669" hidden="1">
      <c r="AL232" s="231"/>
      <c r="AM232" s="231"/>
      <c r="AN232" s="231"/>
      <c r="AO232" s="231"/>
      <c r="AP232" s="231"/>
      <c r="AQ232" s="231"/>
      <c r="AR232" s="231"/>
      <c r="AS232" s="231"/>
      <c r="AT232" s="231"/>
      <c r="AU232" s="231"/>
      <c r="AV232" s="231"/>
      <c r="AW232" s="231"/>
      <c r="AX232" s="231"/>
      <c r="AY232" s="231"/>
      <c r="AZ232" s="231"/>
      <c r="BA232" s="231"/>
      <c r="BB232" s="231"/>
      <c r="BC232" s="231"/>
      <c r="BD232" s="231"/>
      <c r="BE232" s="231"/>
      <c r="BF232" s="231"/>
      <c r="BG232" s="231"/>
      <c r="BH232" s="231"/>
      <c r="BI232" s="231"/>
      <c r="BJ232" s="231"/>
      <c r="BK232" s="231"/>
      <c r="BL232" s="231"/>
      <c r="BM232" s="231"/>
      <c r="BN232" s="231"/>
      <c r="BO232" s="231"/>
      <c r="BP232" s="231"/>
      <c r="BQ232" s="231"/>
      <c r="BR232" s="231"/>
      <c r="BS232" s="231"/>
      <c r="BT232" s="231"/>
      <c r="BU232" s="231"/>
      <c r="BV232" s="231"/>
      <c r="BW232" s="231"/>
      <c r="BX232" s="231"/>
      <c r="BY232" s="231"/>
      <c r="BZ232" s="231"/>
      <c r="CA232" s="231"/>
      <c r="CB232" s="231"/>
      <c r="CC232" s="231"/>
      <c r="CD232" s="231"/>
      <c r="CE232" s="231"/>
      <c r="CF232" s="231"/>
      <c r="CG232" s="231"/>
      <c r="CH232" s="231"/>
      <c r="CI232" s="231"/>
      <c r="CJ232" s="231"/>
      <c r="CK232" s="231"/>
      <c r="CL232" s="231"/>
      <c r="CM232" s="231"/>
      <c r="CN232" s="231"/>
      <c r="CO232" s="231"/>
      <c r="CP232" s="231"/>
      <c r="CQ232" s="231"/>
      <c r="CR232" s="231"/>
      <c r="CS232" s="231"/>
      <c r="CT232" s="231"/>
      <c r="CU232" s="231"/>
      <c r="CV232" s="231"/>
      <c r="CW232" s="231"/>
      <c r="CX232" s="231"/>
      <c r="CY232" s="231"/>
      <c r="CZ232" s="231"/>
      <c r="DA232" s="231"/>
      <c r="DB232" s="231"/>
      <c r="DC232" s="231"/>
      <c r="DD232" s="231"/>
      <c r="DE232" s="231"/>
      <c r="DF232" s="231"/>
      <c r="DG232" s="231"/>
      <c r="DH232" s="231"/>
      <c r="DI232" s="231"/>
      <c r="DJ232" s="231"/>
      <c r="DK232" s="231"/>
      <c r="DL232" s="231"/>
      <c r="DM232" s="231"/>
      <c r="DN232" s="231"/>
      <c r="DO232" s="231"/>
      <c r="DP232" s="231"/>
      <c r="DQ232" s="231"/>
      <c r="DR232" s="231"/>
      <c r="DS232" s="231"/>
      <c r="DT232" s="231"/>
      <c r="DU232" s="231"/>
      <c r="DV232" s="231"/>
      <c r="DW232" s="231"/>
      <c r="YS232" s="38" t="e">
        <f>RIGHT(CONCATENATE(0,#REF!),7)</f>
        <v>#REF!</v>
      </c>
    </row>
    <row r="233" spans="38:669" hidden="1">
      <c r="AL233" s="231"/>
      <c r="AM233" s="231"/>
      <c r="AN233" s="231"/>
      <c r="AO233" s="231"/>
      <c r="AP233" s="231"/>
      <c r="AQ233" s="231"/>
      <c r="AR233" s="231"/>
      <c r="AS233" s="231"/>
      <c r="AT233" s="231"/>
      <c r="AU233" s="231"/>
      <c r="AV233" s="231"/>
      <c r="AW233" s="231"/>
      <c r="AX233" s="231"/>
      <c r="AY233" s="231"/>
      <c r="AZ233" s="231"/>
      <c r="BA233" s="231"/>
      <c r="BB233" s="231"/>
      <c r="BC233" s="231"/>
      <c r="BD233" s="231"/>
      <c r="BE233" s="231"/>
      <c r="BF233" s="231"/>
      <c r="BG233" s="231"/>
      <c r="BH233" s="231"/>
      <c r="BI233" s="231"/>
      <c r="BJ233" s="231"/>
      <c r="BK233" s="231"/>
      <c r="BL233" s="231"/>
      <c r="BM233" s="231"/>
      <c r="BN233" s="231"/>
      <c r="BO233" s="231"/>
      <c r="BP233" s="231"/>
      <c r="BQ233" s="231"/>
      <c r="BR233" s="231"/>
      <c r="BS233" s="231"/>
      <c r="BT233" s="231"/>
      <c r="BU233" s="231"/>
      <c r="BV233" s="231"/>
      <c r="BW233" s="231"/>
      <c r="BX233" s="231"/>
      <c r="BY233" s="231"/>
      <c r="BZ233" s="231"/>
      <c r="CA233" s="231"/>
      <c r="CB233" s="231"/>
      <c r="CC233" s="231"/>
      <c r="CD233" s="231"/>
      <c r="CE233" s="231"/>
      <c r="CF233" s="231"/>
      <c r="CG233" s="231"/>
      <c r="CH233" s="231"/>
      <c r="CI233" s="231"/>
      <c r="CJ233" s="231"/>
      <c r="CK233" s="231"/>
      <c r="CL233" s="231"/>
      <c r="CM233" s="231"/>
      <c r="CN233" s="231"/>
      <c r="CO233" s="231"/>
      <c r="CP233" s="231"/>
      <c r="CQ233" s="231"/>
      <c r="CR233" s="231"/>
      <c r="CS233" s="231"/>
      <c r="CT233" s="231"/>
      <c r="CU233" s="231"/>
      <c r="CV233" s="231"/>
      <c r="CW233" s="231"/>
      <c r="CX233" s="231"/>
      <c r="CY233" s="231"/>
      <c r="CZ233" s="231"/>
      <c r="DA233" s="231"/>
      <c r="DB233" s="231"/>
      <c r="DC233" s="231"/>
      <c r="DD233" s="231"/>
      <c r="DE233" s="231"/>
      <c r="DF233" s="231"/>
      <c r="DG233" s="231"/>
      <c r="DH233" s="231"/>
      <c r="DI233" s="231"/>
      <c r="DJ233" s="231"/>
      <c r="DK233" s="231"/>
      <c r="DL233" s="231"/>
      <c r="DM233" s="231"/>
      <c r="DN233" s="231"/>
      <c r="DO233" s="231"/>
      <c r="DP233" s="231"/>
      <c r="DQ233" s="231"/>
      <c r="DR233" s="231"/>
      <c r="DS233" s="231"/>
      <c r="DT233" s="231"/>
      <c r="DU233" s="231"/>
      <c r="DV233" s="231"/>
      <c r="DW233" s="231"/>
      <c r="YS233" s="38" t="e">
        <f>RIGHT(CONCATENATE(0,#REF!),7)</f>
        <v>#REF!</v>
      </c>
    </row>
    <row r="234" spans="38:669" hidden="1">
      <c r="AL234" s="231"/>
      <c r="AM234" s="231"/>
      <c r="AN234" s="231"/>
      <c r="AO234" s="231"/>
      <c r="AP234" s="231"/>
      <c r="AQ234" s="231"/>
      <c r="AR234" s="231"/>
      <c r="AS234" s="231"/>
      <c r="AT234" s="231"/>
      <c r="AU234" s="231"/>
      <c r="AV234" s="231"/>
      <c r="AW234" s="231"/>
      <c r="AX234" s="231"/>
      <c r="AY234" s="231"/>
      <c r="AZ234" s="231"/>
      <c r="BA234" s="231"/>
      <c r="BB234" s="231"/>
      <c r="BC234" s="231"/>
      <c r="BD234" s="231"/>
      <c r="BE234" s="231"/>
      <c r="BF234" s="231"/>
      <c r="BG234" s="231"/>
      <c r="BH234" s="231"/>
      <c r="BI234" s="231"/>
      <c r="BJ234" s="231"/>
      <c r="BK234" s="231"/>
      <c r="BL234" s="231"/>
      <c r="BM234" s="231"/>
      <c r="BN234" s="231"/>
      <c r="BO234" s="231"/>
      <c r="BP234" s="231"/>
      <c r="BQ234" s="231"/>
      <c r="BR234" s="231"/>
      <c r="BS234" s="231"/>
      <c r="BT234" s="231"/>
      <c r="BU234" s="231"/>
      <c r="BV234" s="231"/>
      <c r="BW234" s="231"/>
      <c r="BX234" s="231"/>
      <c r="BY234" s="231"/>
      <c r="BZ234" s="231"/>
      <c r="CA234" s="231"/>
      <c r="CB234" s="231"/>
      <c r="CC234" s="231"/>
      <c r="CD234" s="231"/>
      <c r="CE234" s="231"/>
      <c r="CF234" s="231"/>
      <c r="CG234" s="231"/>
      <c r="CH234" s="231"/>
      <c r="CI234" s="231"/>
      <c r="CJ234" s="231"/>
      <c r="CK234" s="231"/>
      <c r="CL234" s="231"/>
      <c r="CM234" s="231"/>
      <c r="CN234" s="231"/>
      <c r="CO234" s="231"/>
      <c r="CP234" s="231"/>
      <c r="CQ234" s="231"/>
      <c r="CR234" s="231"/>
      <c r="CS234" s="231"/>
      <c r="CT234" s="231"/>
      <c r="CU234" s="231"/>
      <c r="CV234" s="231"/>
      <c r="CW234" s="231"/>
      <c r="CX234" s="231"/>
      <c r="CY234" s="231"/>
      <c r="CZ234" s="231"/>
      <c r="DA234" s="231"/>
      <c r="DB234" s="231"/>
      <c r="DC234" s="231"/>
      <c r="DD234" s="231"/>
      <c r="DE234" s="231"/>
      <c r="DF234" s="231"/>
      <c r="DG234" s="231"/>
      <c r="DH234" s="231"/>
      <c r="DI234" s="231"/>
      <c r="DJ234" s="231"/>
      <c r="DK234" s="231"/>
      <c r="DL234" s="231"/>
      <c r="DM234" s="231"/>
      <c r="DN234" s="231"/>
      <c r="DO234" s="231"/>
      <c r="DP234" s="231"/>
      <c r="DQ234" s="231"/>
      <c r="DR234" s="231"/>
      <c r="DS234" s="231"/>
      <c r="DT234" s="231"/>
      <c r="DU234" s="231"/>
      <c r="DV234" s="231"/>
      <c r="DW234" s="231"/>
      <c r="YS234" s="38" t="e">
        <f>RIGHT(CONCATENATE(0,#REF!),7)</f>
        <v>#REF!</v>
      </c>
    </row>
    <row r="235" spans="38:669" hidden="1">
      <c r="AL235" s="231"/>
      <c r="AM235" s="231"/>
      <c r="AN235" s="231"/>
      <c r="AO235" s="231"/>
      <c r="AP235" s="231"/>
      <c r="AQ235" s="231"/>
      <c r="AR235" s="231"/>
      <c r="AS235" s="231"/>
      <c r="AT235" s="231"/>
      <c r="AU235" s="231"/>
      <c r="AV235" s="231"/>
      <c r="AW235" s="231"/>
      <c r="AX235" s="231"/>
      <c r="AY235" s="231"/>
      <c r="AZ235" s="231"/>
      <c r="BA235" s="231"/>
      <c r="BB235" s="231"/>
      <c r="BC235" s="231"/>
      <c r="BD235" s="231"/>
      <c r="BE235" s="231"/>
      <c r="BF235" s="231"/>
      <c r="BG235" s="231"/>
      <c r="BH235" s="231"/>
      <c r="BI235" s="231"/>
      <c r="BJ235" s="231"/>
      <c r="BK235" s="231"/>
      <c r="BL235" s="231"/>
      <c r="BM235" s="231"/>
      <c r="BN235" s="231"/>
      <c r="BO235" s="231"/>
      <c r="BP235" s="231"/>
      <c r="BQ235" s="231"/>
      <c r="BR235" s="231"/>
      <c r="BS235" s="231"/>
      <c r="BT235" s="231"/>
      <c r="BU235" s="231"/>
      <c r="BV235" s="231"/>
      <c r="BW235" s="231"/>
      <c r="BX235" s="231"/>
      <c r="BY235" s="231"/>
      <c r="BZ235" s="231"/>
      <c r="CA235" s="231"/>
      <c r="CB235" s="231"/>
      <c r="CC235" s="231"/>
      <c r="CD235" s="231"/>
      <c r="CE235" s="231"/>
      <c r="CF235" s="231"/>
      <c r="CG235" s="231"/>
      <c r="CH235" s="231"/>
      <c r="CI235" s="231"/>
      <c r="CJ235" s="231"/>
      <c r="CK235" s="231"/>
      <c r="CL235" s="231"/>
      <c r="CM235" s="231"/>
      <c r="CN235" s="231"/>
      <c r="CO235" s="231"/>
      <c r="CP235" s="231"/>
      <c r="CQ235" s="231"/>
      <c r="CR235" s="231"/>
      <c r="CS235" s="231"/>
      <c r="CT235" s="231"/>
      <c r="CU235" s="231"/>
      <c r="CV235" s="231"/>
      <c r="CW235" s="231"/>
      <c r="CX235" s="231"/>
      <c r="CY235" s="231"/>
      <c r="CZ235" s="231"/>
      <c r="DA235" s="231"/>
      <c r="DB235" s="231"/>
      <c r="DC235" s="231"/>
      <c r="DD235" s="231"/>
      <c r="DE235" s="231"/>
      <c r="DF235" s="231"/>
      <c r="DG235" s="231"/>
      <c r="DH235" s="231"/>
      <c r="DI235" s="231"/>
      <c r="DJ235" s="231"/>
      <c r="DK235" s="231"/>
      <c r="DL235" s="231"/>
      <c r="DM235" s="231"/>
      <c r="DN235" s="231"/>
      <c r="DO235" s="231"/>
      <c r="DP235" s="231"/>
      <c r="DQ235" s="231"/>
      <c r="DR235" s="231"/>
      <c r="DS235" s="231"/>
      <c r="DT235" s="231"/>
      <c r="DU235" s="231"/>
      <c r="DV235" s="231"/>
      <c r="DW235" s="231"/>
      <c r="YS235" s="38" t="e">
        <f>RIGHT(CONCATENATE(0,#REF!),7)</f>
        <v>#REF!</v>
      </c>
    </row>
    <row r="236" spans="38:669" hidden="1">
      <c r="AL236" s="231"/>
      <c r="AM236" s="231"/>
      <c r="AN236" s="231"/>
      <c r="AO236" s="231"/>
      <c r="AP236" s="231"/>
      <c r="AQ236" s="231"/>
      <c r="AR236" s="231"/>
      <c r="AS236" s="231"/>
      <c r="AT236" s="231"/>
      <c r="AU236" s="231"/>
      <c r="AV236" s="231"/>
      <c r="AW236" s="231"/>
      <c r="AX236" s="231"/>
      <c r="AY236" s="231"/>
      <c r="AZ236" s="231"/>
      <c r="BA236" s="231"/>
      <c r="BB236" s="231"/>
      <c r="BC236" s="231"/>
      <c r="BD236" s="231"/>
      <c r="BE236" s="231"/>
      <c r="BF236" s="231"/>
      <c r="BG236" s="231"/>
      <c r="BH236" s="231"/>
      <c r="BI236" s="231"/>
      <c r="BJ236" s="231"/>
      <c r="BK236" s="231"/>
      <c r="BL236" s="231"/>
      <c r="BM236" s="231"/>
      <c r="BN236" s="231"/>
      <c r="BO236" s="231"/>
      <c r="BP236" s="231"/>
      <c r="BQ236" s="231"/>
      <c r="BR236" s="231"/>
      <c r="BS236" s="231"/>
      <c r="BT236" s="231"/>
      <c r="BU236" s="231"/>
      <c r="BV236" s="231"/>
      <c r="BW236" s="231"/>
      <c r="BX236" s="231"/>
      <c r="BY236" s="231"/>
      <c r="BZ236" s="231"/>
      <c r="CA236" s="231"/>
      <c r="CB236" s="231"/>
      <c r="CC236" s="231"/>
      <c r="CD236" s="231"/>
      <c r="CE236" s="231"/>
      <c r="CF236" s="231"/>
      <c r="CG236" s="231"/>
      <c r="CH236" s="231"/>
      <c r="CI236" s="231"/>
      <c r="CJ236" s="231"/>
      <c r="CK236" s="231"/>
      <c r="CL236" s="231"/>
      <c r="CM236" s="231"/>
      <c r="CN236" s="231"/>
      <c r="CO236" s="231"/>
      <c r="CP236" s="231"/>
      <c r="CQ236" s="231"/>
      <c r="CR236" s="231"/>
      <c r="CS236" s="231"/>
      <c r="CT236" s="231"/>
      <c r="CU236" s="231"/>
      <c r="CV236" s="231"/>
      <c r="CW236" s="231"/>
      <c r="CX236" s="231"/>
      <c r="CY236" s="231"/>
      <c r="CZ236" s="231"/>
      <c r="DA236" s="231"/>
      <c r="DB236" s="231"/>
      <c r="DC236" s="231"/>
      <c r="DD236" s="231"/>
      <c r="DE236" s="231"/>
      <c r="DF236" s="231"/>
      <c r="DG236" s="231"/>
      <c r="DH236" s="231"/>
      <c r="DI236" s="231"/>
      <c r="DJ236" s="231"/>
      <c r="DK236" s="231"/>
      <c r="DL236" s="231"/>
      <c r="DM236" s="231"/>
      <c r="DN236" s="231"/>
      <c r="DO236" s="231"/>
      <c r="DP236" s="231"/>
      <c r="DQ236" s="231"/>
      <c r="DR236" s="231"/>
      <c r="DS236" s="231"/>
      <c r="DT236" s="231"/>
      <c r="DU236" s="231"/>
      <c r="DV236" s="231"/>
      <c r="DW236" s="231"/>
      <c r="YS236" s="38" t="e">
        <f>RIGHT(CONCATENATE(0,#REF!),7)</f>
        <v>#REF!</v>
      </c>
    </row>
    <row r="237" spans="38:669" hidden="1">
      <c r="AL237" s="231"/>
      <c r="AM237" s="231"/>
      <c r="AN237" s="231"/>
      <c r="AO237" s="231"/>
      <c r="AP237" s="231"/>
      <c r="AQ237" s="231"/>
      <c r="AR237" s="231"/>
      <c r="AS237" s="231"/>
      <c r="AT237" s="231"/>
      <c r="AU237" s="231"/>
      <c r="AV237" s="231"/>
      <c r="AW237" s="231"/>
      <c r="AX237" s="231"/>
      <c r="AY237" s="231"/>
      <c r="AZ237" s="231"/>
      <c r="BA237" s="231"/>
      <c r="BB237" s="231"/>
      <c r="BC237" s="231"/>
      <c r="BD237" s="231"/>
      <c r="BE237" s="231"/>
      <c r="BF237" s="231"/>
      <c r="BG237" s="231"/>
      <c r="BH237" s="231"/>
      <c r="BI237" s="231"/>
      <c r="BJ237" s="231"/>
      <c r="BK237" s="231"/>
      <c r="BL237" s="231"/>
      <c r="BM237" s="231"/>
      <c r="BN237" s="231"/>
      <c r="BO237" s="231"/>
      <c r="BP237" s="231"/>
      <c r="BQ237" s="231"/>
      <c r="BR237" s="231"/>
      <c r="BS237" s="231"/>
      <c r="BT237" s="231"/>
      <c r="BU237" s="231"/>
      <c r="BV237" s="231"/>
      <c r="BW237" s="231"/>
      <c r="BX237" s="231"/>
      <c r="BY237" s="231"/>
      <c r="BZ237" s="231"/>
      <c r="CA237" s="231"/>
      <c r="CB237" s="231"/>
      <c r="CC237" s="231"/>
      <c r="CD237" s="231"/>
      <c r="CE237" s="231"/>
      <c r="CF237" s="231"/>
      <c r="CG237" s="231"/>
      <c r="CH237" s="231"/>
      <c r="CI237" s="231"/>
      <c r="CJ237" s="231"/>
      <c r="CK237" s="231"/>
      <c r="CL237" s="231"/>
      <c r="CM237" s="231"/>
      <c r="CN237" s="231"/>
      <c r="CO237" s="231"/>
      <c r="CP237" s="231"/>
      <c r="CQ237" s="231"/>
      <c r="CR237" s="231"/>
      <c r="CS237" s="231"/>
      <c r="CT237" s="231"/>
      <c r="CU237" s="231"/>
      <c r="CV237" s="231"/>
      <c r="CW237" s="231"/>
      <c r="CX237" s="231"/>
      <c r="CY237" s="231"/>
      <c r="CZ237" s="231"/>
      <c r="DA237" s="231"/>
      <c r="DB237" s="231"/>
      <c r="DC237" s="231"/>
      <c r="DD237" s="231"/>
      <c r="DE237" s="231"/>
      <c r="DF237" s="231"/>
      <c r="DG237" s="231"/>
      <c r="DH237" s="231"/>
      <c r="DI237" s="231"/>
      <c r="DJ237" s="231"/>
      <c r="DK237" s="231"/>
      <c r="DL237" s="231"/>
      <c r="DM237" s="231"/>
      <c r="DN237" s="231"/>
      <c r="DO237" s="231"/>
      <c r="DP237" s="231"/>
      <c r="DQ237" s="231"/>
      <c r="DR237" s="231"/>
      <c r="DS237" s="231"/>
      <c r="DT237" s="231"/>
      <c r="DU237" s="231"/>
      <c r="DV237" s="231"/>
      <c r="DW237" s="231"/>
      <c r="YS237" s="38" t="e">
        <f>RIGHT(CONCATENATE(0,#REF!),7)</f>
        <v>#REF!</v>
      </c>
    </row>
    <row r="238" spans="38:669" hidden="1">
      <c r="AL238" s="231"/>
      <c r="AM238" s="231"/>
      <c r="AN238" s="231"/>
      <c r="AO238" s="231"/>
      <c r="AP238" s="231"/>
      <c r="AQ238" s="231"/>
      <c r="AR238" s="231"/>
      <c r="AS238" s="231"/>
      <c r="AT238" s="231"/>
      <c r="AU238" s="231"/>
      <c r="AV238" s="231"/>
      <c r="AW238" s="231"/>
      <c r="AX238" s="231"/>
      <c r="AY238" s="231"/>
      <c r="AZ238" s="231"/>
      <c r="BA238" s="231"/>
      <c r="BB238" s="231"/>
      <c r="BC238" s="231"/>
      <c r="BD238" s="231"/>
      <c r="BE238" s="231"/>
      <c r="BF238" s="231"/>
      <c r="BG238" s="231"/>
      <c r="BH238" s="231"/>
      <c r="BI238" s="231"/>
      <c r="BJ238" s="231"/>
      <c r="BK238" s="231"/>
      <c r="BL238" s="231"/>
      <c r="BM238" s="231"/>
      <c r="BN238" s="231"/>
      <c r="BO238" s="231"/>
      <c r="BP238" s="231"/>
      <c r="BQ238" s="231"/>
      <c r="BR238" s="231"/>
      <c r="BS238" s="231"/>
      <c r="BT238" s="231"/>
      <c r="BU238" s="231"/>
      <c r="BV238" s="231"/>
      <c r="BW238" s="231"/>
      <c r="BX238" s="231"/>
      <c r="BY238" s="231"/>
      <c r="BZ238" s="231"/>
      <c r="CA238" s="231"/>
      <c r="CB238" s="231"/>
      <c r="CC238" s="231"/>
      <c r="CD238" s="231"/>
      <c r="CE238" s="231"/>
      <c r="CF238" s="231"/>
      <c r="CG238" s="231"/>
      <c r="CH238" s="231"/>
      <c r="CI238" s="231"/>
      <c r="CJ238" s="231"/>
      <c r="CK238" s="231"/>
      <c r="CL238" s="231"/>
      <c r="CM238" s="231"/>
      <c r="CN238" s="231"/>
      <c r="CO238" s="231"/>
      <c r="CP238" s="231"/>
      <c r="CQ238" s="231"/>
      <c r="CR238" s="231"/>
      <c r="CS238" s="231"/>
      <c r="CT238" s="231"/>
      <c r="CU238" s="231"/>
      <c r="CV238" s="231"/>
      <c r="CW238" s="231"/>
      <c r="CX238" s="231"/>
      <c r="CY238" s="231"/>
      <c r="CZ238" s="231"/>
      <c r="DA238" s="231"/>
      <c r="DB238" s="231"/>
      <c r="DC238" s="231"/>
      <c r="DD238" s="231"/>
      <c r="DE238" s="231"/>
      <c r="DF238" s="231"/>
      <c r="DG238" s="231"/>
      <c r="DH238" s="231"/>
      <c r="DI238" s="231"/>
      <c r="DJ238" s="231"/>
      <c r="DK238" s="231"/>
      <c r="DL238" s="231"/>
      <c r="DM238" s="231"/>
      <c r="DN238" s="231"/>
      <c r="DO238" s="231"/>
      <c r="DP238" s="231"/>
      <c r="DQ238" s="231"/>
      <c r="DR238" s="231"/>
      <c r="DS238" s="231"/>
      <c r="DT238" s="231"/>
      <c r="DU238" s="231"/>
      <c r="DV238" s="231"/>
      <c r="DW238" s="231"/>
      <c r="YS238" s="38" t="e">
        <f>RIGHT(CONCATENATE(0,#REF!),7)</f>
        <v>#REF!</v>
      </c>
    </row>
    <row r="239" spans="38:669" hidden="1">
      <c r="AL239" s="231"/>
      <c r="AM239" s="231"/>
      <c r="AN239" s="231"/>
      <c r="AO239" s="231"/>
      <c r="AP239" s="231"/>
      <c r="AQ239" s="231"/>
      <c r="AR239" s="231"/>
      <c r="AS239" s="231"/>
      <c r="AT239" s="231"/>
      <c r="AU239" s="231"/>
      <c r="AV239" s="231"/>
      <c r="AW239" s="231"/>
      <c r="AX239" s="231"/>
      <c r="AY239" s="231"/>
      <c r="AZ239" s="231"/>
      <c r="BA239" s="231"/>
      <c r="BB239" s="231"/>
      <c r="BC239" s="231"/>
      <c r="BD239" s="231"/>
      <c r="BE239" s="231"/>
      <c r="BF239" s="231"/>
      <c r="BG239" s="231"/>
      <c r="BH239" s="231"/>
      <c r="BI239" s="231"/>
      <c r="BJ239" s="231"/>
      <c r="BK239" s="231"/>
      <c r="BL239" s="231"/>
      <c r="BM239" s="231"/>
      <c r="BN239" s="231"/>
      <c r="BO239" s="231"/>
      <c r="BP239" s="231"/>
      <c r="BQ239" s="231"/>
      <c r="BR239" s="231"/>
      <c r="BS239" s="231"/>
      <c r="BT239" s="231"/>
      <c r="BU239" s="231"/>
      <c r="BV239" s="231"/>
      <c r="BW239" s="231"/>
      <c r="BX239" s="231"/>
      <c r="BY239" s="231"/>
      <c r="BZ239" s="231"/>
      <c r="CA239" s="231"/>
      <c r="CB239" s="231"/>
      <c r="CC239" s="231"/>
      <c r="CD239" s="231"/>
      <c r="CE239" s="231"/>
      <c r="CF239" s="231"/>
      <c r="CG239" s="231"/>
      <c r="CH239" s="231"/>
      <c r="CI239" s="231"/>
      <c r="CJ239" s="231"/>
      <c r="CK239" s="231"/>
      <c r="CL239" s="231"/>
      <c r="CM239" s="231"/>
      <c r="CN239" s="231"/>
      <c r="CO239" s="231"/>
      <c r="CP239" s="231"/>
      <c r="CQ239" s="231"/>
      <c r="CR239" s="231"/>
      <c r="CS239" s="231"/>
      <c r="CT239" s="231"/>
      <c r="CU239" s="231"/>
      <c r="CV239" s="231"/>
      <c r="CW239" s="231"/>
      <c r="CX239" s="231"/>
      <c r="CY239" s="231"/>
      <c r="CZ239" s="231"/>
      <c r="DA239" s="231"/>
      <c r="DB239" s="231"/>
      <c r="DC239" s="231"/>
      <c r="DD239" s="231"/>
      <c r="DE239" s="231"/>
      <c r="DF239" s="231"/>
      <c r="DG239" s="231"/>
      <c r="DH239" s="231"/>
      <c r="DI239" s="231"/>
      <c r="DJ239" s="231"/>
      <c r="DK239" s="231"/>
      <c r="DL239" s="231"/>
      <c r="DM239" s="231"/>
      <c r="DN239" s="231"/>
      <c r="DO239" s="231"/>
      <c r="DP239" s="231"/>
      <c r="DQ239" s="231"/>
      <c r="DR239" s="231"/>
      <c r="DS239" s="231"/>
      <c r="DT239" s="231"/>
      <c r="DU239" s="231"/>
      <c r="DV239" s="231"/>
      <c r="DW239" s="231"/>
      <c r="YS239" s="38" t="e">
        <f>RIGHT(CONCATENATE(0,#REF!),7)</f>
        <v>#REF!</v>
      </c>
    </row>
    <row r="240" spans="38:669" hidden="1">
      <c r="AL240" s="231"/>
      <c r="AM240" s="231"/>
      <c r="AN240" s="231"/>
      <c r="AO240" s="231"/>
      <c r="AP240" s="231"/>
      <c r="AQ240" s="231"/>
      <c r="AR240" s="231"/>
      <c r="AS240" s="231"/>
      <c r="AT240" s="231"/>
      <c r="AU240" s="231"/>
      <c r="AV240" s="231"/>
      <c r="AW240" s="231"/>
      <c r="AX240" s="231"/>
      <c r="AY240" s="231"/>
      <c r="AZ240" s="231"/>
      <c r="BA240" s="231"/>
      <c r="BB240" s="231"/>
      <c r="BC240" s="231"/>
      <c r="BD240" s="231"/>
      <c r="BE240" s="231"/>
      <c r="BF240" s="231"/>
      <c r="BG240" s="231"/>
      <c r="BH240" s="231"/>
      <c r="BI240" s="231"/>
      <c r="BJ240" s="231"/>
      <c r="BK240" s="231"/>
      <c r="BL240" s="231"/>
      <c r="BM240" s="231"/>
      <c r="BN240" s="231"/>
      <c r="BO240" s="231"/>
      <c r="BP240" s="231"/>
      <c r="BQ240" s="231"/>
      <c r="BR240" s="231"/>
      <c r="BS240" s="231"/>
      <c r="BT240" s="231"/>
      <c r="BU240" s="231"/>
      <c r="BV240" s="231"/>
      <c r="BW240" s="231"/>
      <c r="BX240" s="231"/>
      <c r="BY240" s="231"/>
      <c r="BZ240" s="231"/>
      <c r="CA240" s="231"/>
      <c r="CB240" s="231"/>
      <c r="CC240" s="231"/>
      <c r="CD240" s="231"/>
      <c r="CE240" s="231"/>
      <c r="CF240" s="231"/>
      <c r="CG240" s="231"/>
      <c r="CH240" s="231"/>
      <c r="CI240" s="231"/>
      <c r="CJ240" s="231"/>
      <c r="CK240" s="231"/>
      <c r="CL240" s="231"/>
      <c r="CM240" s="231"/>
      <c r="CN240" s="231"/>
      <c r="CO240" s="231"/>
      <c r="CP240" s="231"/>
      <c r="CQ240" s="231"/>
      <c r="CR240" s="231"/>
      <c r="CS240" s="231"/>
      <c r="CT240" s="231"/>
      <c r="CU240" s="231"/>
      <c r="CV240" s="231"/>
      <c r="CW240" s="231"/>
      <c r="CX240" s="231"/>
      <c r="CY240" s="231"/>
      <c r="CZ240" s="231"/>
      <c r="DA240" s="231"/>
      <c r="DB240" s="231"/>
      <c r="DC240" s="231"/>
      <c r="DD240" s="231"/>
      <c r="DE240" s="231"/>
      <c r="DF240" s="231"/>
      <c r="DG240" s="231"/>
      <c r="DH240" s="231"/>
      <c r="DI240" s="231"/>
      <c r="DJ240" s="231"/>
      <c r="DK240" s="231"/>
      <c r="DL240" s="231"/>
      <c r="DM240" s="231"/>
      <c r="DN240" s="231"/>
      <c r="DO240" s="231"/>
      <c r="DP240" s="231"/>
      <c r="DQ240" s="231"/>
      <c r="DR240" s="231"/>
      <c r="DS240" s="231"/>
      <c r="DT240" s="231"/>
      <c r="DU240" s="231"/>
      <c r="DV240" s="231"/>
      <c r="DW240" s="231"/>
      <c r="YS240" s="38" t="e">
        <f>RIGHT(CONCATENATE(0,#REF!),7)</f>
        <v>#REF!</v>
      </c>
    </row>
    <row r="241" spans="2:669" hidden="1">
      <c r="AL241" s="231"/>
      <c r="AM241" s="231"/>
      <c r="AN241" s="231"/>
      <c r="AO241" s="231"/>
      <c r="AP241" s="231"/>
      <c r="AQ241" s="231"/>
      <c r="AR241" s="231"/>
      <c r="AS241" s="231"/>
      <c r="AT241" s="231"/>
      <c r="AU241" s="231"/>
      <c r="AV241" s="231"/>
      <c r="AW241" s="231"/>
      <c r="AX241" s="231"/>
      <c r="AY241" s="231"/>
      <c r="AZ241" s="231"/>
      <c r="BA241" s="231"/>
      <c r="BB241" s="231"/>
      <c r="BC241" s="231"/>
      <c r="BD241" s="231"/>
      <c r="BE241" s="231"/>
      <c r="BF241" s="231"/>
      <c r="BG241" s="231"/>
      <c r="BH241" s="231"/>
      <c r="BI241" s="231"/>
      <c r="BJ241" s="231"/>
      <c r="BK241" s="231"/>
      <c r="BL241" s="231"/>
      <c r="BM241" s="231"/>
      <c r="BN241" s="231"/>
      <c r="BO241" s="231"/>
      <c r="BP241" s="231"/>
      <c r="BQ241" s="231"/>
      <c r="BR241" s="231"/>
      <c r="BS241" s="231"/>
      <c r="BT241" s="231"/>
      <c r="BU241" s="231"/>
      <c r="BV241" s="231"/>
      <c r="BW241" s="231"/>
      <c r="BX241" s="231"/>
      <c r="BY241" s="231"/>
      <c r="BZ241" s="231"/>
      <c r="CA241" s="231"/>
      <c r="CB241" s="231"/>
      <c r="CC241" s="231"/>
      <c r="CD241" s="231"/>
      <c r="CE241" s="231"/>
      <c r="CF241" s="231"/>
      <c r="CG241" s="231"/>
      <c r="CH241" s="231"/>
      <c r="CI241" s="231"/>
      <c r="CJ241" s="231"/>
      <c r="CK241" s="231"/>
      <c r="CL241" s="231"/>
      <c r="CM241" s="231"/>
      <c r="CN241" s="231"/>
      <c r="CO241" s="231"/>
      <c r="CP241" s="231"/>
      <c r="CQ241" s="231"/>
      <c r="CR241" s="231"/>
      <c r="CS241" s="231"/>
      <c r="CT241" s="231"/>
      <c r="CU241" s="231"/>
      <c r="CV241" s="231"/>
      <c r="CW241" s="231"/>
      <c r="CX241" s="231"/>
      <c r="CY241" s="231"/>
      <c r="CZ241" s="231"/>
      <c r="DA241" s="231"/>
      <c r="DB241" s="231"/>
      <c r="DC241" s="231"/>
      <c r="DD241" s="231"/>
      <c r="DE241" s="231"/>
      <c r="DF241" s="231"/>
      <c r="DG241" s="231"/>
      <c r="DH241" s="231"/>
      <c r="DI241" s="231"/>
      <c r="DJ241" s="231"/>
      <c r="DK241" s="231"/>
      <c r="DL241" s="231"/>
      <c r="DM241" s="231"/>
      <c r="DN241" s="231"/>
      <c r="DO241" s="231"/>
      <c r="DP241" s="231"/>
      <c r="DQ241" s="231"/>
      <c r="DR241" s="231"/>
      <c r="DS241" s="231"/>
      <c r="DT241" s="231"/>
      <c r="DU241" s="231"/>
      <c r="DV241" s="231"/>
      <c r="DW241" s="231"/>
      <c r="YS241" s="38" t="e">
        <f>RIGHT(CONCATENATE(0,#REF!),7)</f>
        <v>#REF!</v>
      </c>
    </row>
    <row r="242" spans="2:669" hidden="1">
      <c r="AL242" s="231"/>
      <c r="AM242" s="231"/>
      <c r="AN242" s="231"/>
      <c r="AO242" s="231"/>
      <c r="AP242" s="231"/>
      <c r="AQ242" s="231"/>
      <c r="AR242" s="231"/>
      <c r="AS242" s="231"/>
      <c r="AT242" s="231"/>
      <c r="AU242" s="231"/>
      <c r="AV242" s="231"/>
      <c r="AW242" s="231"/>
      <c r="AX242" s="231"/>
      <c r="AY242" s="231"/>
      <c r="AZ242" s="231"/>
      <c r="BA242" s="231"/>
      <c r="BB242" s="231"/>
      <c r="BC242" s="231"/>
      <c r="BD242" s="231"/>
      <c r="BE242" s="231"/>
      <c r="BF242" s="231"/>
      <c r="BG242" s="231"/>
      <c r="BH242" s="231"/>
      <c r="BI242" s="231"/>
      <c r="BJ242" s="231"/>
      <c r="BK242" s="231"/>
      <c r="BL242" s="231"/>
      <c r="BM242" s="231"/>
      <c r="BN242" s="231"/>
      <c r="BO242" s="231"/>
      <c r="BP242" s="231"/>
      <c r="BQ242" s="231"/>
      <c r="BR242" s="231"/>
      <c r="BS242" s="231"/>
      <c r="BT242" s="231"/>
      <c r="BU242" s="231"/>
      <c r="BV242" s="231"/>
      <c r="BW242" s="231"/>
      <c r="BX242" s="231"/>
      <c r="BY242" s="231"/>
      <c r="BZ242" s="231"/>
      <c r="CA242" s="231"/>
      <c r="CB242" s="231"/>
      <c r="CC242" s="231"/>
      <c r="CD242" s="231"/>
      <c r="CE242" s="231"/>
      <c r="CF242" s="231"/>
      <c r="CG242" s="231"/>
      <c r="CH242" s="231"/>
      <c r="CI242" s="231"/>
      <c r="CJ242" s="231"/>
      <c r="CK242" s="231"/>
      <c r="CL242" s="231"/>
      <c r="CM242" s="231"/>
      <c r="CN242" s="231"/>
      <c r="CO242" s="231"/>
      <c r="CP242" s="231"/>
      <c r="CQ242" s="231"/>
      <c r="CR242" s="231"/>
      <c r="CS242" s="231"/>
      <c r="CT242" s="231"/>
      <c r="CU242" s="231"/>
      <c r="CV242" s="231"/>
      <c r="CW242" s="231"/>
      <c r="CX242" s="231"/>
      <c r="CY242" s="231"/>
      <c r="CZ242" s="231"/>
      <c r="DA242" s="231"/>
      <c r="DB242" s="231"/>
      <c r="DC242" s="231"/>
      <c r="DD242" s="231"/>
      <c r="DE242" s="231"/>
      <c r="DF242" s="231"/>
      <c r="DG242" s="231"/>
      <c r="DH242" s="231"/>
      <c r="DI242" s="231"/>
      <c r="DJ242" s="231"/>
      <c r="DK242" s="231"/>
      <c r="DL242" s="231"/>
      <c r="DM242" s="231"/>
      <c r="DN242" s="231"/>
      <c r="DO242" s="231"/>
      <c r="DP242" s="231"/>
      <c r="DQ242" s="231"/>
      <c r="DR242" s="231"/>
      <c r="DS242" s="231"/>
      <c r="DT242" s="231"/>
      <c r="DU242" s="231"/>
      <c r="DV242" s="231"/>
      <c r="DW242" s="231"/>
      <c r="YS242" s="38" t="e">
        <f>RIGHT(CONCATENATE(0,#REF!),7)</f>
        <v>#REF!</v>
      </c>
    </row>
    <row r="243" spans="2:669" hidden="1">
      <c r="AL243" s="231"/>
      <c r="AM243" s="231"/>
      <c r="AN243" s="231"/>
      <c r="AO243" s="231"/>
      <c r="AP243" s="231"/>
      <c r="AQ243" s="231"/>
      <c r="AR243" s="231"/>
      <c r="AS243" s="231"/>
      <c r="AT243" s="231"/>
      <c r="AU243" s="231"/>
      <c r="AV243" s="231"/>
      <c r="AW243" s="231"/>
      <c r="AX243" s="231"/>
      <c r="AY243" s="231"/>
      <c r="AZ243" s="231"/>
      <c r="BA243" s="231"/>
      <c r="BB243" s="231"/>
      <c r="BC243" s="231"/>
      <c r="BD243" s="231"/>
      <c r="BE243" s="231"/>
      <c r="BF243" s="231"/>
      <c r="BG243" s="231"/>
      <c r="BH243" s="231"/>
      <c r="BI243" s="231"/>
      <c r="BJ243" s="231"/>
      <c r="BK243" s="231"/>
      <c r="BL243" s="231"/>
      <c r="BM243" s="231"/>
      <c r="BN243" s="231"/>
      <c r="BO243" s="231"/>
      <c r="BP243" s="231"/>
      <c r="BQ243" s="231"/>
      <c r="BR243" s="231"/>
      <c r="BS243" s="231"/>
      <c r="BT243" s="231"/>
      <c r="BU243" s="231"/>
      <c r="BV243" s="231"/>
      <c r="BW243" s="231"/>
      <c r="BX243" s="231"/>
      <c r="BY243" s="231"/>
      <c r="BZ243" s="231"/>
      <c r="CA243" s="231"/>
      <c r="CB243" s="231"/>
      <c r="CC243" s="231"/>
      <c r="CD243" s="231"/>
      <c r="CE243" s="231"/>
      <c r="CF243" s="231"/>
      <c r="CG243" s="231"/>
      <c r="CH243" s="231"/>
      <c r="CI243" s="231"/>
      <c r="CJ243" s="231"/>
      <c r="CK243" s="231"/>
      <c r="CL243" s="231"/>
      <c r="CM243" s="231"/>
      <c r="CN243" s="231"/>
      <c r="CO243" s="231"/>
      <c r="CP243" s="231"/>
      <c r="CQ243" s="231"/>
      <c r="CR243" s="231"/>
      <c r="CS243" s="231"/>
      <c r="CT243" s="231"/>
      <c r="CU243" s="231"/>
      <c r="CV243" s="231"/>
      <c r="CW243" s="231"/>
      <c r="CX243" s="231"/>
      <c r="CY243" s="231"/>
      <c r="CZ243" s="231"/>
      <c r="DA243" s="231"/>
      <c r="DB243" s="231"/>
      <c r="DC243" s="231"/>
      <c r="DD243" s="231"/>
      <c r="DE243" s="231"/>
      <c r="DF243" s="231"/>
      <c r="DG243" s="231"/>
      <c r="DH243" s="231"/>
      <c r="DI243" s="231"/>
      <c r="DJ243" s="231"/>
      <c r="DK243" s="231"/>
      <c r="DL243" s="231"/>
      <c r="DM243" s="231"/>
      <c r="DN243" s="231"/>
      <c r="DO243" s="231"/>
      <c r="DP243" s="231"/>
      <c r="DQ243" s="231"/>
      <c r="DR243" s="231"/>
      <c r="DS243" s="231"/>
      <c r="DT243" s="231"/>
      <c r="DU243" s="231"/>
      <c r="DV243" s="231"/>
      <c r="DW243" s="231"/>
      <c r="YS243" s="38" t="e">
        <f>RIGHT(CONCATENATE(0,#REF!),7)</f>
        <v>#REF!</v>
      </c>
    </row>
    <row r="244" spans="2:669" hidden="1">
      <c r="AL244" s="231"/>
      <c r="AM244" s="231"/>
      <c r="AN244" s="231"/>
      <c r="AO244" s="231"/>
      <c r="AP244" s="231"/>
      <c r="AQ244" s="231"/>
      <c r="AR244" s="231"/>
      <c r="AS244" s="231"/>
      <c r="AT244" s="231"/>
      <c r="AU244" s="231"/>
      <c r="AV244" s="231"/>
      <c r="AW244" s="231"/>
      <c r="AX244" s="231"/>
      <c r="AY244" s="231"/>
      <c r="AZ244" s="231"/>
      <c r="BA244" s="231"/>
      <c r="BB244" s="231"/>
      <c r="BC244" s="231"/>
      <c r="BD244" s="231"/>
      <c r="BE244" s="231"/>
      <c r="BF244" s="231"/>
      <c r="BG244" s="231"/>
      <c r="BH244" s="231"/>
      <c r="BI244" s="231"/>
      <c r="BJ244" s="231"/>
      <c r="BK244" s="231"/>
      <c r="BL244" s="231"/>
      <c r="BM244" s="231"/>
      <c r="BN244" s="231"/>
      <c r="BO244" s="231"/>
      <c r="BP244" s="231"/>
      <c r="BQ244" s="231"/>
      <c r="BR244" s="231"/>
      <c r="BS244" s="231"/>
      <c r="BT244" s="231"/>
      <c r="BU244" s="231"/>
      <c r="BV244" s="231"/>
      <c r="BW244" s="231"/>
      <c r="BX244" s="231"/>
      <c r="BY244" s="231"/>
      <c r="BZ244" s="231"/>
      <c r="CA244" s="231"/>
      <c r="CB244" s="231"/>
      <c r="CC244" s="231"/>
      <c r="CD244" s="231"/>
      <c r="CE244" s="231"/>
      <c r="CF244" s="231"/>
      <c r="CG244" s="231"/>
      <c r="CH244" s="231"/>
      <c r="CI244" s="231"/>
      <c r="CJ244" s="231"/>
      <c r="CK244" s="231"/>
      <c r="CL244" s="231"/>
      <c r="CM244" s="231"/>
      <c r="CN244" s="231"/>
      <c r="CO244" s="231"/>
      <c r="CP244" s="231"/>
      <c r="CQ244" s="231"/>
      <c r="CR244" s="231"/>
      <c r="CS244" s="231"/>
      <c r="CT244" s="231"/>
      <c r="CU244" s="231"/>
      <c r="CV244" s="231"/>
      <c r="CW244" s="231"/>
      <c r="CX244" s="231"/>
      <c r="CY244" s="231"/>
      <c r="CZ244" s="231"/>
      <c r="DA244" s="231"/>
      <c r="DB244" s="231"/>
      <c r="DC244" s="231"/>
      <c r="DD244" s="231"/>
      <c r="DE244" s="231"/>
      <c r="DF244" s="231"/>
      <c r="DG244" s="231"/>
      <c r="DH244" s="231"/>
      <c r="DI244" s="231"/>
      <c r="DJ244" s="231"/>
      <c r="DK244" s="231"/>
      <c r="DL244" s="231"/>
      <c r="DM244" s="231"/>
      <c r="DN244" s="231"/>
      <c r="DO244" s="231"/>
      <c r="DP244" s="231"/>
      <c r="DQ244" s="231"/>
      <c r="DR244" s="231"/>
      <c r="DS244" s="231"/>
      <c r="DT244" s="231"/>
      <c r="DU244" s="231"/>
      <c r="DV244" s="231"/>
      <c r="DW244" s="231"/>
      <c r="YS244" s="38" t="e">
        <f>RIGHT(CONCATENATE(0,#REF!),7)</f>
        <v>#REF!</v>
      </c>
    </row>
    <row r="245" spans="2:669" hidden="1">
      <c r="AL245" s="231"/>
      <c r="AM245" s="231"/>
      <c r="AN245" s="231"/>
      <c r="AO245" s="231"/>
      <c r="AP245" s="231"/>
      <c r="AQ245" s="231"/>
      <c r="AR245" s="231"/>
      <c r="AS245" s="231"/>
      <c r="AT245" s="231"/>
      <c r="AU245" s="231"/>
      <c r="AV245" s="231"/>
      <c r="AW245" s="231"/>
      <c r="AX245" s="231"/>
      <c r="AY245" s="231"/>
      <c r="AZ245" s="231"/>
      <c r="BA245" s="231"/>
      <c r="BB245" s="231"/>
      <c r="BC245" s="231"/>
      <c r="BD245" s="231"/>
      <c r="BE245" s="231"/>
      <c r="BF245" s="231"/>
      <c r="BG245" s="231"/>
      <c r="BH245" s="231"/>
      <c r="BI245" s="231"/>
      <c r="BJ245" s="231"/>
      <c r="BK245" s="231"/>
      <c r="BL245" s="231"/>
      <c r="BM245" s="231"/>
      <c r="BN245" s="231"/>
      <c r="BO245" s="231"/>
      <c r="BP245" s="231"/>
      <c r="BQ245" s="231"/>
      <c r="BR245" s="231"/>
      <c r="BS245" s="231"/>
      <c r="BT245" s="231"/>
      <c r="BU245" s="231"/>
      <c r="BV245" s="231"/>
      <c r="BW245" s="231"/>
      <c r="BX245" s="231"/>
      <c r="BY245" s="231"/>
      <c r="BZ245" s="231"/>
      <c r="CA245" s="231"/>
      <c r="CB245" s="231"/>
      <c r="CC245" s="231"/>
      <c r="CD245" s="231"/>
      <c r="CE245" s="231"/>
      <c r="CF245" s="231"/>
      <c r="CG245" s="231"/>
      <c r="CH245" s="231"/>
      <c r="CI245" s="231"/>
      <c r="CJ245" s="231"/>
      <c r="CK245" s="231"/>
      <c r="CL245" s="231"/>
      <c r="CM245" s="231"/>
      <c r="CN245" s="231"/>
      <c r="CO245" s="231"/>
      <c r="CP245" s="231"/>
      <c r="CQ245" s="231"/>
      <c r="CR245" s="231"/>
      <c r="CS245" s="231"/>
      <c r="CT245" s="231"/>
      <c r="CU245" s="231"/>
      <c r="CV245" s="231"/>
      <c r="CW245" s="231"/>
      <c r="CX245" s="231"/>
      <c r="CY245" s="231"/>
      <c r="CZ245" s="231"/>
      <c r="DA245" s="231"/>
      <c r="DB245" s="231"/>
      <c r="DC245" s="231"/>
      <c r="DD245" s="231"/>
      <c r="DE245" s="231"/>
      <c r="DF245" s="231"/>
      <c r="DG245" s="231"/>
      <c r="DH245" s="231"/>
      <c r="DI245" s="231"/>
      <c r="DJ245" s="231"/>
      <c r="DK245" s="231"/>
      <c r="DL245" s="231"/>
      <c r="DM245" s="231"/>
      <c r="DN245" s="231"/>
      <c r="DO245" s="231"/>
      <c r="DP245" s="231"/>
      <c r="DQ245" s="231"/>
      <c r="DR245" s="231"/>
      <c r="DS245" s="231"/>
      <c r="DT245" s="231"/>
      <c r="DU245" s="231"/>
      <c r="DV245" s="231"/>
      <c r="DW245" s="231"/>
      <c r="YS245" s="38" t="e">
        <f>RIGHT(CONCATENATE(0,#REF!),7)</f>
        <v>#REF!</v>
      </c>
    </row>
    <row r="246" spans="2:669" hidden="1">
      <c r="AL246" s="231"/>
      <c r="AM246" s="231"/>
      <c r="AN246" s="231"/>
      <c r="AO246" s="231"/>
      <c r="AP246" s="231"/>
      <c r="AQ246" s="231"/>
      <c r="AR246" s="231"/>
      <c r="AS246" s="231"/>
      <c r="AT246" s="231"/>
      <c r="AU246" s="231"/>
      <c r="AV246" s="231"/>
      <c r="AW246" s="231"/>
      <c r="AX246" s="231"/>
      <c r="AY246" s="231"/>
      <c r="AZ246" s="231"/>
      <c r="BA246" s="231"/>
      <c r="BB246" s="231"/>
      <c r="BC246" s="231"/>
      <c r="BD246" s="231"/>
      <c r="BE246" s="231"/>
      <c r="BF246" s="231"/>
      <c r="BG246" s="231"/>
      <c r="BH246" s="231"/>
      <c r="BI246" s="231"/>
      <c r="BJ246" s="231"/>
      <c r="BK246" s="231"/>
      <c r="BL246" s="231"/>
      <c r="BM246" s="231"/>
      <c r="BN246" s="231"/>
      <c r="BO246" s="231"/>
      <c r="BP246" s="231"/>
      <c r="BQ246" s="231"/>
      <c r="BR246" s="231"/>
      <c r="BS246" s="231"/>
      <c r="BT246" s="231"/>
      <c r="BU246" s="231"/>
      <c r="BV246" s="231"/>
      <c r="BW246" s="231"/>
      <c r="BX246" s="231"/>
      <c r="BY246" s="231"/>
      <c r="BZ246" s="231"/>
      <c r="CA246" s="231"/>
      <c r="CB246" s="231"/>
      <c r="CC246" s="231"/>
      <c r="CD246" s="231"/>
      <c r="CE246" s="231"/>
      <c r="CF246" s="231"/>
      <c r="CG246" s="231"/>
      <c r="CH246" s="231"/>
      <c r="CI246" s="231"/>
      <c r="CJ246" s="231"/>
      <c r="CK246" s="231"/>
      <c r="CL246" s="231"/>
      <c r="CM246" s="231"/>
      <c r="CN246" s="231"/>
      <c r="CO246" s="231"/>
      <c r="CP246" s="231"/>
      <c r="CQ246" s="231"/>
      <c r="CR246" s="231"/>
      <c r="CS246" s="231"/>
      <c r="CT246" s="231"/>
      <c r="CU246" s="231"/>
      <c r="CV246" s="231"/>
      <c r="CW246" s="231"/>
      <c r="CX246" s="231"/>
      <c r="CY246" s="231"/>
      <c r="CZ246" s="231"/>
      <c r="DA246" s="231"/>
      <c r="DB246" s="231"/>
      <c r="DC246" s="231"/>
      <c r="DD246" s="231"/>
      <c r="DE246" s="231"/>
      <c r="DF246" s="231"/>
      <c r="DG246" s="231"/>
      <c r="DH246" s="231"/>
      <c r="DI246" s="231"/>
      <c r="DJ246" s="231"/>
      <c r="DK246" s="231"/>
      <c r="DL246" s="231"/>
      <c r="DM246" s="231"/>
      <c r="DN246" s="231"/>
      <c r="DO246" s="231"/>
      <c r="DP246" s="231"/>
      <c r="DQ246" s="231"/>
      <c r="DR246" s="231"/>
      <c r="DS246" s="231"/>
      <c r="DT246" s="231"/>
      <c r="DU246" s="231"/>
      <c r="DV246" s="231"/>
      <c r="DW246" s="231"/>
      <c r="YS246" s="38" t="e">
        <f>RIGHT(CONCATENATE(0,#REF!),7)</f>
        <v>#REF!</v>
      </c>
    </row>
    <row r="247" spans="2:669" hidden="1">
      <c r="AL247" s="231"/>
      <c r="AM247" s="231"/>
      <c r="AN247" s="231"/>
      <c r="AO247" s="231"/>
      <c r="AP247" s="231"/>
      <c r="AQ247" s="231"/>
      <c r="AR247" s="231"/>
      <c r="AS247" s="231"/>
      <c r="AT247" s="231"/>
      <c r="AU247" s="231"/>
      <c r="AV247" s="231"/>
      <c r="AW247" s="231"/>
      <c r="AX247" s="231"/>
      <c r="AY247" s="231"/>
      <c r="AZ247" s="231"/>
      <c r="BA247" s="231"/>
      <c r="BB247" s="231"/>
      <c r="BC247" s="231"/>
      <c r="BD247" s="231"/>
      <c r="BE247" s="231"/>
      <c r="BF247" s="231"/>
      <c r="BG247" s="231"/>
      <c r="BH247" s="231"/>
      <c r="BI247" s="231"/>
      <c r="BJ247" s="231"/>
      <c r="BK247" s="231"/>
      <c r="BL247" s="231"/>
      <c r="BM247" s="231"/>
      <c r="BN247" s="231"/>
      <c r="BO247" s="231"/>
      <c r="BP247" s="231"/>
      <c r="BQ247" s="231"/>
      <c r="BR247" s="231"/>
      <c r="BS247" s="231"/>
      <c r="BT247" s="231"/>
      <c r="BU247" s="231"/>
      <c r="BV247" s="231"/>
      <c r="BW247" s="231"/>
      <c r="BX247" s="231"/>
      <c r="BY247" s="231"/>
      <c r="BZ247" s="231"/>
      <c r="CA247" s="231"/>
      <c r="CB247" s="231"/>
      <c r="CC247" s="231"/>
      <c r="CD247" s="231"/>
      <c r="CE247" s="231"/>
      <c r="CF247" s="231"/>
      <c r="CG247" s="231"/>
      <c r="CH247" s="231"/>
      <c r="CI247" s="231"/>
      <c r="CJ247" s="231"/>
      <c r="CK247" s="231"/>
      <c r="CL247" s="231"/>
      <c r="CM247" s="231"/>
      <c r="CN247" s="231"/>
      <c r="CO247" s="231"/>
      <c r="CP247" s="231"/>
      <c r="CQ247" s="231"/>
      <c r="CR247" s="231"/>
      <c r="CS247" s="231"/>
      <c r="CT247" s="231"/>
      <c r="CU247" s="231"/>
      <c r="CV247" s="231"/>
      <c r="CW247" s="231"/>
      <c r="CX247" s="231"/>
      <c r="CY247" s="231"/>
      <c r="CZ247" s="231"/>
      <c r="DA247" s="231"/>
      <c r="DB247" s="231"/>
      <c r="DC247" s="231"/>
      <c r="DD247" s="231"/>
      <c r="DE247" s="231"/>
      <c r="DF247" s="231"/>
      <c r="DG247" s="231"/>
      <c r="DH247" s="231"/>
      <c r="DI247" s="231"/>
      <c r="DJ247" s="231"/>
      <c r="DK247" s="231"/>
      <c r="DL247" s="231"/>
      <c r="DM247" s="231"/>
      <c r="DN247" s="231"/>
      <c r="DO247" s="231"/>
      <c r="DP247" s="231"/>
      <c r="DQ247" s="231"/>
      <c r="DR247" s="231"/>
      <c r="DS247" s="231"/>
      <c r="DT247" s="231"/>
      <c r="DU247" s="231"/>
      <c r="DV247" s="231"/>
      <c r="DW247" s="231"/>
      <c r="YS247" s="38" t="e">
        <f>RIGHT(CONCATENATE(0,#REF!),7)</f>
        <v>#REF!</v>
      </c>
    </row>
    <row r="248" spans="2:669" hidden="1">
      <c r="B248" s="86"/>
      <c r="C248" s="86"/>
      <c r="AL248" s="231"/>
      <c r="AM248" s="231"/>
      <c r="AN248" s="231"/>
      <c r="AO248" s="231"/>
      <c r="AP248" s="231"/>
      <c r="AQ248" s="231"/>
      <c r="AR248" s="231"/>
      <c r="AS248" s="231"/>
      <c r="AT248" s="231"/>
      <c r="AU248" s="231"/>
      <c r="AV248" s="231"/>
      <c r="AW248" s="231"/>
      <c r="AX248" s="231"/>
      <c r="AY248" s="231"/>
      <c r="AZ248" s="231"/>
      <c r="BA248" s="231"/>
      <c r="BB248" s="231"/>
      <c r="BC248" s="231"/>
      <c r="BD248" s="231"/>
      <c r="BE248" s="231"/>
      <c r="BF248" s="231"/>
      <c r="BG248" s="231"/>
      <c r="BH248" s="231"/>
      <c r="BI248" s="231"/>
      <c r="BJ248" s="231"/>
      <c r="BK248" s="231"/>
      <c r="BL248" s="231"/>
      <c r="BM248" s="231"/>
      <c r="BN248" s="231"/>
      <c r="BO248" s="231"/>
      <c r="BP248" s="231"/>
      <c r="BQ248" s="231"/>
      <c r="BR248" s="231"/>
      <c r="BS248" s="231"/>
      <c r="BT248" s="231"/>
      <c r="BU248" s="231"/>
      <c r="BV248" s="231"/>
      <c r="BW248" s="231"/>
      <c r="BX248" s="231"/>
      <c r="BY248" s="231"/>
      <c r="BZ248" s="231"/>
      <c r="CA248" s="231"/>
      <c r="CB248" s="231"/>
      <c r="CC248" s="231"/>
      <c r="CD248" s="231"/>
      <c r="CE248" s="231"/>
      <c r="CF248" s="231"/>
      <c r="CG248" s="231"/>
      <c r="CH248" s="231"/>
      <c r="CI248" s="231"/>
      <c r="CJ248" s="231"/>
      <c r="CK248" s="231"/>
      <c r="CL248" s="231"/>
      <c r="CM248" s="231"/>
      <c r="CN248" s="231"/>
      <c r="CO248" s="231"/>
      <c r="CP248" s="231"/>
      <c r="CQ248" s="231"/>
      <c r="CR248" s="231"/>
      <c r="CS248" s="231"/>
      <c r="CT248" s="231"/>
      <c r="CU248" s="231"/>
      <c r="CV248" s="231"/>
      <c r="CW248" s="231"/>
      <c r="CX248" s="231"/>
      <c r="CY248" s="231"/>
      <c r="CZ248" s="231"/>
      <c r="DA248" s="231"/>
      <c r="DB248" s="231"/>
      <c r="DC248" s="231"/>
      <c r="DD248" s="231"/>
      <c r="DE248" s="231"/>
      <c r="DF248" s="231"/>
      <c r="DG248" s="231"/>
      <c r="DH248" s="231"/>
      <c r="DI248" s="231"/>
      <c r="DJ248" s="231"/>
      <c r="DK248" s="231"/>
      <c r="DL248" s="231"/>
      <c r="DM248" s="231"/>
      <c r="DN248" s="231"/>
      <c r="DO248" s="231"/>
      <c r="DP248" s="231"/>
      <c r="DQ248" s="231"/>
      <c r="DR248" s="231"/>
      <c r="DS248" s="231"/>
      <c r="DT248" s="231"/>
      <c r="DU248" s="231"/>
      <c r="DV248" s="231"/>
      <c r="DW248" s="231"/>
      <c r="YS248" s="38" t="e">
        <f>RIGHT(CONCATENATE(0,#REF!),7)</f>
        <v>#REF!</v>
      </c>
    </row>
    <row r="249" spans="2:669" hidden="1">
      <c r="B249" s="86"/>
      <c r="C249" s="86"/>
      <c r="AL249" s="231"/>
      <c r="AM249" s="231"/>
      <c r="AN249" s="231"/>
      <c r="AO249" s="231"/>
      <c r="AP249" s="231"/>
      <c r="AQ249" s="231"/>
      <c r="AR249" s="231"/>
      <c r="AS249" s="231"/>
      <c r="AT249" s="231"/>
      <c r="AU249" s="231"/>
      <c r="AV249" s="231"/>
      <c r="AW249" s="231"/>
      <c r="AX249" s="231"/>
      <c r="AY249" s="231"/>
      <c r="AZ249" s="231"/>
      <c r="BA249" s="231"/>
      <c r="BB249" s="231"/>
      <c r="BC249" s="231"/>
      <c r="BD249" s="231"/>
      <c r="BE249" s="231"/>
      <c r="BF249" s="231"/>
      <c r="BG249" s="231"/>
      <c r="BH249" s="231"/>
      <c r="BI249" s="231"/>
      <c r="BJ249" s="231"/>
      <c r="BK249" s="231"/>
      <c r="BL249" s="231"/>
      <c r="BM249" s="231"/>
      <c r="BN249" s="231"/>
      <c r="BO249" s="231"/>
      <c r="BP249" s="231"/>
      <c r="BQ249" s="231"/>
      <c r="BR249" s="231"/>
      <c r="BS249" s="231"/>
      <c r="BT249" s="231"/>
      <c r="BU249" s="231"/>
      <c r="BV249" s="231"/>
      <c r="BW249" s="231"/>
      <c r="BX249" s="231"/>
      <c r="BY249" s="231"/>
      <c r="BZ249" s="231"/>
      <c r="CA249" s="231"/>
      <c r="CB249" s="231"/>
      <c r="CC249" s="231"/>
      <c r="CD249" s="231"/>
      <c r="CE249" s="231"/>
      <c r="CF249" s="231"/>
      <c r="CG249" s="231"/>
      <c r="CH249" s="231"/>
      <c r="CI249" s="231"/>
      <c r="CJ249" s="231"/>
      <c r="CK249" s="231"/>
      <c r="CL249" s="231"/>
      <c r="CM249" s="231"/>
      <c r="CN249" s="231"/>
      <c r="CO249" s="231"/>
      <c r="CP249" s="231"/>
      <c r="CQ249" s="231"/>
      <c r="CR249" s="231"/>
      <c r="CS249" s="231"/>
      <c r="CT249" s="231"/>
      <c r="CU249" s="231"/>
      <c r="CV249" s="231"/>
      <c r="CW249" s="231"/>
      <c r="CX249" s="231"/>
      <c r="CY249" s="231"/>
      <c r="CZ249" s="231"/>
      <c r="DA249" s="231"/>
      <c r="DB249" s="231"/>
      <c r="DC249" s="231"/>
      <c r="DD249" s="231"/>
      <c r="DE249" s="231"/>
      <c r="DF249" s="231"/>
      <c r="DG249" s="231"/>
      <c r="DH249" s="231"/>
      <c r="DI249" s="231"/>
      <c r="DJ249" s="231"/>
      <c r="DK249" s="231"/>
      <c r="DL249" s="231"/>
      <c r="DM249" s="231"/>
      <c r="DN249" s="231"/>
      <c r="DO249" s="231"/>
      <c r="DP249" s="231"/>
      <c r="DQ249" s="231"/>
      <c r="DR249" s="231"/>
      <c r="DS249" s="231"/>
      <c r="DT249" s="231"/>
      <c r="DU249" s="231"/>
      <c r="DV249" s="231"/>
      <c r="DW249" s="231"/>
      <c r="YS249" s="38" t="e">
        <f>RIGHT(CONCATENATE(0,#REF!),7)</f>
        <v>#REF!</v>
      </c>
    </row>
    <row r="250" spans="2:669" hidden="1">
      <c r="AL250" s="231"/>
      <c r="AM250" s="231"/>
      <c r="AN250" s="231"/>
      <c r="AO250" s="231"/>
      <c r="AP250" s="231"/>
      <c r="AQ250" s="231"/>
      <c r="AR250" s="231"/>
      <c r="AS250" s="231"/>
      <c r="AT250" s="231"/>
      <c r="AU250" s="231"/>
      <c r="AV250" s="231"/>
      <c r="AW250" s="231"/>
      <c r="AX250" s="231"/>
      <c r="AY250" s="231"/>
      <c r="AZ250" s="231"/>
      <c r="BA250" s="231"/>
      <c r="BB250" s="231"/>
      <c r="BC250" s="231"/>
      <c r="BD250" s="231"/>
      <c r="BE250" s="231"/>
      <c r="BF250" s="231"/>
      <c r="BG250" s="231"/>
      <c r="BH250" s="231"/>
      <c r="BI250" s="231"/>
      <c r="BJ250" s="231"/>
      <c r="BK250" s="231"/>
      <c r="BL250" s="231"/>
      <c r="BM250" s="231"/>
      <c r="BN250" s="231"/>
      <c r="BO250" s="231"/>
      <c r="BP250" s="231"/>
      <c r="BQ250" s="231"/>
      <c r="BR250" s="231"/>
      <c r="BS250" s="231"/>
      <c r="BT250" s="231"/>
      <c r="BU250" s="231"/>
      <c r="BV250" s="231"/>
      <c r="BW250" s="231"/>
      <c r="BX250" s="231"/>
      <c r="BY250" s="231"/>
      <c r="BZ250" s="231"/>
      <c r="CA250" s="231"/>
      <c r="CB250" s="231"/>
      <c r="CC250" s="231"/>
      <c r="CD250" s="231"/>
      <c r="CE250" s="231"/>
      <c r="CF250" s="231"/>
      <c r="CG250" s="231"/>
      <c r="CH250" s="231"/>
      <c r="CI250" s="231"/>
      <c r="CJ250" s="231"/>
      <c r="CK250" s="231"/>
      <c r="CL250" s="231"/>
      <c r="CM250" s="231"/>
      <c r="CN250" s="231"/>
      <c r="CO250" s="231"/>
      <c r="CP250" s="231"/>
      <c r="CQ250" s="231"/>
      <c r="CR250" s="231"/>
      <c r="CS250" s="231"/>
      <c r="CT250" s="231"/>
      <c r="CU250" s="231"/>
      <c r="CV250" s="231"/>
      <c r="CW250" s="231"/>
      <c r="CX250" s="231"/>
      <c r="CY250" s="231"/>
      <c r="CZ250" s="231"/>
      <c r="DA250" s="231"/>
      <c r="DB250" s="231"/>
      <c r="DC250" s="231"/>
      <c r="DD250" s="231"/>
      <c r="DE250" s="231"/>
      <c r="DF250" s="231"/>
      <c r="DG250" s="231"/>
      <c r="DH250" s="231"/>
      <c r="DI250" s="231"/>
      <c r="DJ250" s="231"/>
      <c r="DK250" s="231"/>
      <c r="DL250" s="231"/>
      <c r="DM250" s="231"/>
      <c r="DN250" s="231"/>
      <c r="DO250" s="231"/>
      <c r="DP250" s="231"/>
      <c r="DQ250" s="231"/>
      <c r="DR250" s="231"/>
      <c r="DS250" s="231"/>
      <c r="DT250" s="231"/>
      <c r="DU250" s="231"/>
      <c r="DV250" s="231"/>
      <c r="DW250" s="231"/>
      <c r="YS250" s="38" t="e">
        <f>RIGHT(CONCATENATE(0,#REF!),7)</f>
        <v>#REF!</v>
      </c>
    </row>
    <row r="251" spans="2:669" hidden="1">
      <c r="AL251" s="231"/>
      <c r="AM251" s="231"/>
      <c r="AN251" s="231"/>
      <c r="AO251" s="231"/>
      <c r="AP251" s="231"/>
      <c r="AQ251" s="231"/>
      <c r="AR251" s="231"/>
      <c r="AS251" s="231"/>
      <c r="AT251" s="231"/>
      <c r="AU251" s="231"/>
      <c r="AV251" s="231"/>
      <c r="AW251" s="231"/>
      <c r="AX251" s="231"/>
      <c r="AY251" s="231"/>
      <c r="AZ251" s="231"/>
      <c r="BA251" s="231"/>
      <c r="BB251" s="231"/>
      <c r="BC251" s="231"/>
      <c r="BD251" s="231"/>
      <c r="BE251" s="231"/>
      <c r="BF251" s="231"/>
      <c r="BG251" s="231"/>
      <c r="BH251" s="231"/>
      <c r="BI251" s="231"/>
      <c r="BJ251" s="231"/>
      <c r="BK251" s="231"/>
      <c r="BL251" s="231"/>
      <c r="BM251" s="231"/>
      <c r="BN251" s="231"/>
      <c r="BO251" s="231"/>
      <c r="BP251" s="231"/>
      <c r="BQ251" s="231"/>
      <c r="BR251" s="231"/>
      <c r="BS251" s="231"/>
      <c r="BT251" s="231"/>
      <c r="BU251" s="231"/>
      <c r="BV251" s="231"/>
      <c r="BW251" s="231"/>
      <c r="BX251" s="231"/>
      <c r="BY251" s="231"/>
      <c r="BZ251" s="231"/>
      <c r="CA251" s="231"/>
      <c r="CB251" s="231"/>
      <c r="CC251" s="231"/>
      <c r="CD251" s="231"/>
      <c r="CE251" s="231"/>
      <c r="CF251" s="231"/>
      <c r="CG251" s="231"/>
      <c r="CH251" s="231"/>
      <c r="CI251" s="231"/>
      <c r="CJ251" s="231"/>
      <c r="CK251" s="231"/>
      <c r="CL251" s="231"/>
      <c r="CM251" s="231"/>
      <c r="CN251" s="231"/>
      <c r="CO251" s="231"/>
      <c r="CP251" s="231"/>
      <c r="CQ251" s="231"/>
      <c r="CR251" s="231"/>
      <c r="CS251" s="231"/>
      <c r="CT251" s="231"/>
      <c r="CU251" s="231"/>
      <c r="CV251" s="231"/>
      <c r="CW251" s="231"/>
      <c r="CX251" s="231"/>
      <c r="CY251" s="231"/>
      <c r="CZ251" s="231"/>
      <c r="DA251" s="231"/>
      <c r="DB251" s="231"/>
      <c r="DC251" s="231"/>
      <c r="DD251" s="231"/>
      <c r="DE251" s="231"/>
      <c r="DF251" s="231"/>
      <c r="DG251" s="231"/>
      <c r="DH251" s="231"/>
      <c r="DI251" s="231"/>
      <c r="DJ251" s="231"/>
      <c r="DK251" s="231"/>
      <c r="DL251" s="231"/>
      <c r="DM251" s="231"/>
      <c r="DN251" s="231"/>
      <c r="DO251" s="231"/>
      <c r="DP251" s="231"/>
      <c r="DQ251" s="231"/>
      <c r="DR251" s="231"/>
      <c r="DS251" s="231"/>
      <c r="DT251" s="231"/>
      <c r="DU251" s="231"/>
      <c r="DV251" s="231"/>
      <c r="DW251" s="231"/>
      <c r="YS251" s="38" t="e">
        <f>RIGHT(CONCATENATE(0,#REF!),7)</f>
        <v>#REF!</v>
      </c>
    </row>
    <row r="252" spans="2:669" hidden="1">
      <c r="AL252" s="231"/>
      <c r="AM252" s="231"/>
      <c r="AN252" s="231"/>
      <c r="AO252" s="231"/>
      <c r="AP252" s="231"/>
      <c r="AQ252" s="231"/>
      <c r="AR252" s="231"/>
      <c r="AS252" s="231"/>
      <c r="AT252" s="231"/>
      <c r="AU252" s="231"/>
      <c r="AV252" s="231"/>
      <c r="AW252" s="231"/>
      <c r="AX252" s="231"/>
      <c r="AY252" s="231"/>
      <c r="AZ252" s="231"/>
      <c r="BA252" s="231"/>
      <c r="BB252" s="231"/>
      <c r="BC252" s="231"/>
      <c r="BD252" s="231"/>
      <c r="BE252" s="231"/>
      <c r="BF252" s="231"/>
      <c r="BG252" s="231"/>
      <c r="BH252" s="231"/>
      <c r="BI252" s="231"/>
      <c r="BJ252" s="231"/>
      <c r="BK252" s="231"/>
      <c r="BL252" s="231"/>
      <c r="BM252" s="231"/>
      <c r="BN252" s="231"/>
      <c r="BO252" s="231"/>
      <c r="BP252" s="231"/>
      <c r="BQ252" s="231"/>
      <c r="BR252" s="231"/>
      <c r="BS252" s="231"/>
      <c r="BT252" s="231"/>
      <c r="BU252" s="231"/>
      <c r="BV252" s="231"/>
      <c r="BW252" s="231"/>
      <c r="BX252" s="231"/>
      <c r="BY252" s="231"/>
      <c r="BZ252" s="231"/>
      <c r="CA252" s="231"/>
      <c r="CB252" s="231"/>
      <c r="CC252" s="231"/>
      <c r="CD252" s="231"/>
      <c r="CE252" s="231"/>
      <c r="CF252" s="231"/>
      <c r="CG252" s="231"/>
      <c r="CH252" s="231"/>
      <c r="CI252" s="231"/>
      <c r="CJ252" s="231"/>
      <c r="CK252" s="231"/>
      <c r="CL252" s="231"/>
      <c r="CM252" s="231"/>
      <c r="CN252" s="231"/>
      <c r="CO252" s="231"/>
      <c r="CP252" s="231"/>
      <c r="CQ252" s="231"/>
      <c r="CR252" s="231"/>
      <c r="CS252" s="231"/>
      <c r="CT252" s="231"/>
      <c r="CU252" s="231"/>
      <c r="CV252" s="231"/>
      <c r="CW252" s="231"/>
      <c r="CX252" s="231"/>
      <c r="CY252" s="231"/>
      <c r="CZ252" s="231"/>
      <c r="DA252" s="231"/>
      <c r="DB252" s="231"/>
      <c r="DC252" s="231"/>
      <c r="DD252" s="231"/>
      <c r="DE252" s="231"/>
      <c r="DF252" s="231"/>
      <c r="DG252" s="231"/>
      <c r="DH252" s="231"/>
      <c r="DI252" s="231"/>
      <c r="DJ252" s="231"/>
      <c r="DK252" s="231"/>
      <c r="DL252" s="231"/>
      <c r="DM252" s="231"/>
      <c r="DN252" s="231"/>
      <c r="DO252" s="231"/>
      <c r="DP252" s="231"/>
      <c r="DQ252" s="231"/>
      <c r="DR252" s="231"/>
      <c r="DS252" s="231"/>
      <c r="DT252" s="231"/>
      <c r="DU252" s="231"/>
      <c r="DV252" s="231"/>
      <c r="DW252" s="231"/>
      <c r="YS252" s="38" t="e">
        <f>RIGHT(CONCATENATE(0,#REF!),7)</f>
        <v>#REF!</v>
      </c>
    </row>
    <row r="253" spans="2:669" hidden="1">
      <c r="AL253" s="231"/>
      <c r="AM253" s="231"/>
      <c r="AN253" s="231"/>
      <c r="AO253" s="231"/>
      <c r="AP253" s="231"/>
      <c r="AQ253" s="231"/>
      <c r="AR253" s="231"/>
      <c r="AS253" s="231"/>
      <c r="AT253" s="231"/>
      <c r="AU253" s="231"/>
      <c r="AV253" s="231"/>
      <c r="AW253" s="231"/>
      <c r="AX253" s="231"/>
      <c r="AY253" s="231"/>
      <c r="AZ253" s="231"/>
      <c r="BA253" s="231"/>
      <c r="BB253" s="231"/>
      <c r="BC253" s="231"/>
      <c r="BD253" s="231"/>
      <c r="BE253" s="231"/>
      <c r="BF253" s="231"/>
      <c r="BG253" s="231"/>
      <c r="BH253" s="231"/>
      <c r="BI253" s="231"/>
      <c r="BJ253" s="231"/>
      <c r="BK253" s="231"/>
      <c r="BL253" s="231"/>
      <c r="BM253" s="231"/>
      <c r="BN253" s="231"/>
      <c r="BO253" s="231"/>
      <c r="BP253" s="231"/>
      <c r="BQ253" s="231"/>
      <c r="BR253" s="231"/>
      <c r="BS253" s="231"/>
      <c r="BT253" s="231"/>
      <c r="BU253" s="231"/>
      <c r="BV253" s="231"/>
      <c r="BW253" s="231"/>
      <c r="BX253" s="231"/>
      <c r="BY253" s="231"/>
      <c r="BZ253" s="231"/>
      <c r="CA253" s="231"/>
      <c r="CB253" s="231"/>
      <c r="CC253" s="231"/>
      <c r="CD253" s="231"/>
      <c r="CE253" s="231"/>
      <c r="CF253" s="231"/>
      <c r="CG253" s="231"/>
      <c r="CH253" s="231"/>
      <c r="CI253" s="231"/>
      <c r="CJ253" s="231"/>
      <c r="CK253" s="231"/>
      <c r="CL253" s="231"/>
      <c r="CM253" s="231"/>
      <c r="CN253" s="231"/>
      <c r="CO253" s="231"/>
      <c r="CP253" s="231"/>
      <c r="CQ253" s="231"/>
      <c r="CR253" s="231"/>
      <c r="CS253" s="231"/>
      <c r="CT253" s="231"/>
      <c r="CU253" s="231"/>
      <c r="CV253" s="231"/>
      <c r="CW253" s="231"/>
      <c r="CX253" s="231"/>
      <c r="CY253" s="231"/>
      <c r="CZ253" s="231"/>
      <c r="DA253" s="231"/>
      <c r="DB253" s="231"/>
      <c r="DC253" s="231"/>
      <c r="DD253" s="231"/>
      <c r="DE253" s="231"/>
      <c r="DF253" s="231"/>
      <c r="DG253" s="231"/>
      <c r="DH253" s="231"/>
      <c r="DI253" s="231"/>
      <c r="DJ253" s="231"/>
      <c r="DK253" s="231"/>
      <c r="DL253" s="231"/>
      <c r="DM253" s="231"/>
      <c r="DN253" s="231"/>
      <c r="DO253" s="231"/>
      <c r="DP253" s="231"/>
      <c r="DQ253" s="231"/>
      <c r="DR253" s="231"/>
      <c r="DS253" s="231"/>
      <c r="DT253" s="231"/>
      <c r="DU253" s="231"/>
      <c r="DV253" s="231"/>
      <c r="DW253" s="231"/>
      <c r="YS253" s="38" t="e">
        <f>RIGHT(CONCATENATE(0,#REF!),7)</f>
        <v>#REF!</v>
      </c>
    </row>
    <row r="254" spans="2:669" hidden="1">
      <c r="YS254" s="38" t="e">
        <f>RIGHT(CONCATENATE(0,#REF!),7)</f>
        <v>#REF!</v>
      </c>
    </row>
    <row r="255" spans="2:669" hidden="1">
      <c r="YS255" s="38" t="e">
        <f>RIGHT(CONCATENATE(0,#REF!),7)</f>
        <v>#REF!</v>
      </c>
    </row>
    <row r="256" spans="2:669" hidden="1">
      <c r="YS256" s="38" t="e">
        <f>RIGHT(CONCATENATE(0,#REF!),7)</f>
        <v>#REF!</v>
      </c>
    </row>
    <row r="257" spans="669:669" hidden="1">
      <c r="YS257" s="38" t="e">
        <f>RIGHT(CONCATENATE(0,#REF!),7)</f>
        <v>#REF!</v>
      </c>
    </row>
    <row r="258" spans="669:669" hidden="1">
      <c r="YS258" s="38" t="e">
        <f>RIGHT(CONCATENATE(0,#REF!),7)</f>
        <v>#REF!</v>
      </c>
    </row>
    <row r="259" spans="669:669" hidden="1">
      <c r="YS259" s="38" t="e">
        <f>RIGHT(CONCATENATE(0,#REF!),7)</f>
        <v>#REF!</v>
      </c>
    </row>
    <row r="260" spans="669:669" hidden="1">
      <c r="YS260" s="38" t="e">
        <f>RIGHT(CONCATENATE(0,#REF!),7)</f>
        <v>#REF!</v>
      </c>
    </row>
    <row r="261" spans="669:669" hidden="1">
      <c r="YS261" s="38" t="e">
        <f>RIGHT(CONCATENATE(0,#REF!),7)</f>
        <v>#REF!</v>
      </c>
    </row>
    <row r="262" spans="669:669" hidden="1">
      <c r="YS262" s="38" t="e">
        <f>RIGHT(CONCATENATE(0,#REF!),7)</f>
        <v>#REF!</v>
      </c>
    </row>
    <row r="263" spans="669:669" hidden="1">
      <c r="YS263" s="38" t="e">
        <f>RIGHT(CONCATENATE(0,#REF!),7)</f>
        <v>#REF!</v>
      </c>
    </row>
    <row r="264" spans="669:669" hidden="1">
      <c r="YS264" s="38" t="e">
        <f>RIGHT(CONCATENATE(0,#REF!),7)</f>
        <v>#REF!</v>
      </c>
    </row>
    <row r="265" spans="669:669" hidden="1">
      <c r="YS265" s="38" t="e">
        <f>RIGHT(CONCATENATE(0,#REF!),7)</f>
        <v>#REF!</v>
      </c>
    </row>
    <row r="266" spans="669:669" hidden="1">
      <c r="YS266" s="38" t="e">
        <f>RIGHT(CONCATENATE(0,#REF!),7)</f>
        <v>#REF!</v>
      </c>
    </row>
    <row r="267" spans="669:669" hidden="1">
      <c r="YS267" s="38" t="e">
        <f>RIGHT(CONCATENATE(0,#REF!),7)</f>
        <v>#REF!</v>
      </c>
    </row>
    <row r="268" spans="669:669" hidden="1">
      <c r="YS268" s="38" t="e">
        <f>RIGHT(CONCATENATE(0,#REF!),7)</f>
        <v>#REF!</v>
      </c>
    </row>
    <row r="269" spans="669:669" hidden="1">
      <c r="YS269" s="38" t="e">
        <f>RIGHT(CONCATENATE(0,#REF!),7)</f>
        <v>#REF!</v>
      </c>
    </row>
    <row r="270" spans="669:669" hidden="1">
      <c r="YS270" s="38" t="e">
        <f>RIGHT(CONCATENATE(0,#REF!),7)</f>
        <v>#REF!</v>
      </c>
    </row>
    <row r="271" spans="669:669" hidden="1">
      <c r="YS271" s="38" t="e">
        <f>RIGHT(CONCATENATE(0,#REF!),7)</f>
        <v>#REF!</v>
      </c>
    </row>
    <row r="272" spans="669:669" hidden="1">
      <c r="YS272" s="38" t="e">
        <f>RIGHT(CONCATENATE(0,#REF!),7)</f>
        <v>#REF!</v>
      </c>
    </row>
    <row r="273" spans="1:669" hidden="1">
      <c r="YS273" s="38" t="e">
        <f>RIGHT(CONCATENATE(0,#REF!),7)</f>
        <v>#REF!</v>
      </c>
    </row>
    <row r="274" spans="1:669" hidden="1">
      <c r="YS274" s="38" t="e">
        <f>RIGHT(CONCATENATE(0,#REF!),7)</f>
        <v>#REF!</v>
      </c>
    </row>
    <row r="275" spans="1:669" hidden="1">
      <c r="YS275" s="38" t="e">
        <f>RIGHT(CONCATENATE(0,#REF!),7)</f>
        <v>#REF!</v>
      </c>
    </row>
    <row r="276" spans="1:669" hidden="1">
      <c r="YS276" s="38" t="e">
        <f>RIGHT(CONCATENATE(0,#REF!),7)</f>
        <v>#REF!</v>
      </c>
    </row>
    <row r="277" spans="1:669" hidden="1">
      <c r="YS277" s="38" t="e">
        <f>RIGHT(CONCATENATE(0,#REF!),7)</f>
        <v>#REF!</v>
      </c>
    </row>
    <row r="278" spans="1:669" hidden="1">
      <c r="YS278" s="38" t="e">
        <f>RIGHT(CONCATENATE(0,#REF!),7)</f>
        <v>#REF!</v>
      </c>
    </row>
    <row r="279" spans="1:669" hidden="1">
      <c r="YS279" s="38" t="e">
        <f>RIGHT(CONCATENATE(0,#REF!),7)</f>
        <v>#REF!</v>
      </c>
    </row>
    <row r="280" spans="1:669" hidden="1">
      <c r="YS280" s="38" t="e">
        <f>RIGHT(CONCATENATE(0,#REF!),7)</f>
        <v>#REF!</v>
      </c>
    </row>
    <row r="281" spans="1:669" hidden="1">
      <c r="YS281" s="38" t="e">
        <f>RIGHT(CONCATENATE(0,#REF!),7)</f>
        <v>#REF!</v>
      </c>
    </row>
    <row r="282" spans="1:669" ht="25.15" hidden="1" customHeight="1">
      <c r="C282" s="37" t="s">
        <v>45</v>
      </c>
      <c r="E282" s="37" t="s">
        <v>44</v>
      </c>
      <c r="G282" s="36"/>
      <c r="H282" s="36"/>
      <c r="I282" s="36"/>
      <c r="J282" s="36">
        <f>LOOKUP(C7,C283:D1404)</f>
        <v>46</v>
      </c>
      <c r="L282" s="36">
        <f>LOOKUP(C18,C283:D1404)</f>
        <v>46</v>
      </c>
      <c r="O282" s="62"/>
      <c r="AJ282" s="1002" t="s">
        <v>1359</v>
      </c>
      <c r="AK282" s="1002"/>
      <c r="AL282" s="1002"/>
      <c r="AM282" s="1002" t="s">
        <v>1360</v>
      </c>
      <c r="AN282" s="1002"/>
      <c r="AO282" s="1002"/>
      <c r="AP282" s="1002" t="s">
        <v>1361</v>
      </c>
      <c r="AQ282" s="1002"/>
      <c r="AR282" s="1002"/>
      <c r="AS282" s="1002" t="s">
        <v>1362</v>
      </c>
      <c r="AT282" s="1002"/>
      <c r="AU282" s="1002"/>
      <c r="AV282" s="1002" t="s">
        <v>1363</v>
      </c>
      <c r="AW282" s="1002"/>
      <c r="AX282" s="1002"/>
      <c r="YS282" s="38" t="e">
        <f>RIGHT(CONCATENATE(0,#REF!),7)</f>
        <v>#REF!</v>
      </c>
    </row>
    <row r="283" spans="1:669" ht="63.75" hidden="1">
      <c r="A283" s="35">
        <v>1</v>
      </c>
      <c r="B283" s="38">
        <v>1</v>
      </c>
      <c r="C283" s="37" t="s">
        <v>68</v>
      </c>
      <c r="D283" s="37">
        <v>1</v>
      </c>
      <c r="E283" s="37" t="s">
        <v>69</v>
      </c>
      <c r="F283" s="37"/>
      <c r="G283" s="2" t="s">
        <v>70</v>
      </c>
      <c r="H283" s="2"/>
      <c r="I283" s="2"/>
      <c r="J283" s="2">
        <f>LOOKUP(C7,G309:H331)</f>
        <v>862</v>
      </c>
      <c r="L283" s="2">
        <f>LOOKUP(C18,G309:H331)</f>
        <v>862</v>
      </c>
      <c r="P283" s="38">
        <v>1</v>
      </c>
      <c r="Q283" s="222" t="s">
        <v>73</v>
      </c>
      <c r="R283" s="222" t="s">
        <v>1384</v>
      </c>
      <c r="S283" s="271">
        <f ca="1">'16'!L19</f>
        <v>57363</v>
      </c>
      <c r="T283" s="272" t="str">
        <f ca="1">IF(S283=0,"NIL",IF(AND(V283=0,Y283=0,AB283=0,AE283=0),AH283,IF(AND(V283=0,Y283=0,AB283=0),CONCATENATE(AF283,IF(AG283&gt;0,"and "," "),AH283),IF(AND(V283=0,Y283=0),CONCATENATE(AC283,IF(AND(AG283=0,AE283&gt;0),"and ", ""),AF283,IF(AG283&gt;0,"and "," "),AH283),IF(V283=0,CONCATENATE(Z283,IF(AND(AG283=0,AE283=0,AB283&gt;0),"and ", ""),AC283,IF(AND(AG283=0,AE283&gt;0),"and ", ""),AF283,IF(AG283&gt;0,"and "," "),AH283),CONCATENATE(W283,IF(AND(AG283=0,AE283=0,AB283=0,Y283&gt;0),"and ", ""),Z283,IF(AND(AG283=0,AE283=0,AB283&gt;0),"and ", ""),AC283,IF(AND(AG283=0,AE283&gt;0),"and ", ""),AF283,IF(AG283&gt;0,"and "," "),AH283))))))</f>
        <v>Fifty Seven Thousand Three Hundred and Sixty Three</v>
      </c>
      <c r="U283" s="222">
        <f ca="1">INT(S283/10000000)*10000000</f>
        <v>0</v>
      </c>
      <c r="V283" s="222">
        <f ca="1">INT(S283/10000000)</f>
        <v>0</v>
      </c>
      <c r="W283" s="222" t="str">
        <f ca="1">IF(V283=1,CONCATENATE(VLOOKUP(V283,$P$283:$Q$381,2),"  Crore "),IF(V283&gt;1,CONCATENATE(VLOOKUP(V283,$P$283:$Q$381,2),"  Crores  "),""))</f>
        <v/>
      </c>
      <c r="X283" s="222">
        <f ca="1">INT(S283/100000)*100000-U283</f>
        <v>0</v>
      </c>
      <c r="Y283" s="715">
        <f ca="1">INT(X283/100000)</f>
        <v>0</v>
      </c>
      <c r="Z283" s="222" t="str">
        <f ca="1">IF(Y283=1,CONCATENATE(VLOOKUP(Y283,$P$283:$Q$381,2),"  Lakh "),IF(Y283&gt;1,CONCATENATE(VLOOKUP(Y283,$P$283:$Q$381,2),"  Lakhs  "),""))</f>
        <v/>
      </c>
      <c r="AA283" s="222">
        <f ca="1">INT(S283/1000)*1000-U283-X283</f>
        <v>57000</v>
      </c>
      <c r="AB283" s="715">
        <f ca="1">INT(AA283/1000)</f>
        <v>57</v>
      </c>
      <c r="AC283" s="222" t="str">
        <f ca="1">IF(AB283&gt;0,CONCATENATE(VLOOKUP(AB283,$P$283:$Q$381,2)," Thousand "),"")</f>
        <v xml:space="preserve">Fifty Seven Thousand </v>
      </c>
      <c r="AD283" s="222">
        <f ca="1">INT(S283/100)*100-U283-X283-AA283</f>
        <v>300</v>
      </c>
      <c r="AE283" s="281">
        <f ca="1">INT(AD283/100)</f>
        <v>3</v>
      </c>
      <c r="AF283" s="222" t="str">
        <f ca="1">IF(AE283&gt;0,CONCATENATE(VLOOKUP(AE283,$P$283:$Q$381,2)," Hundred "),"")</f>
        <v xml:space="preserve">Three Hundred </v>
      </c>
      <c r="AG283" s="222">
        <f ca="1">S283-U283-X283-AA283-AD283</f>
        <v>63</v>
      </c>
      <c r="AH283" s="281" t="str">
        <f ca="1">IF(AG283&gt;0, VLOOKUP(AG283,$P$283:$Q$381,2),"")</f>
        <v>Sixty Three</v>
      </c>
      <c r="AK283" s="270">
        <v>2005</v>
      </c>
      <c r="AL283" s="270">
        <v>2010</v>
      </c>
      <c r="AN283" s="281">
        <v>2005</v>
      </c>
      <c r="AO283" s="281">
        <v>2010</v>
      </c>
      <c r="AQ283" s="281">
        <v>2005</v>
      </c>
      <c r="AR283" s="281">
        <v>2010</v>
      </c>
      <c r="AS283" s="281"/>
      <c r="AT283" s="281">
        <v>2005</v>
      </c>
      <c r="AU283" s="281">
        <v>2010</v>
      </c>
      <c r="AV283" s="281"/>
      <c r="AW283" s="281">
        <v>2005</v>
      </c>
      <c r="AX283" s="281">
        <v>2010</v>
      </c>
      <c r="YS283" s="38" t="e">
        <f>RIGHT(CONCATENATE(0,#REF!),7)</f>
        <v>#REF!</v>
      </c>
    </row>
    <row r="284" spans="1:669" hidden="1">
      <c r="A284" s="35">
        <v>2</v>
      </c>
      <c r="B284" s="38">
        <v>1</v>
      </c>
      <c r="C284" s="37" t="s">
        <v>68</v>
      </c>
      <c r="D284" s="37">
        <v>2</v>
      </c>
      <c r="E284" s="37" t="s">
        <v>74</v>
      </c>
      <c r="F284" s="37">
        <v>1</v>
      </c>
      <c r="G284" s="38" t="s">
        <v>68</v>
      </c>
      <c r="H284" s="38">
        <v>1</v>
      </c>
      <c r="I284" s="62">
        <f t="shared" ref="I284:I306" si="28">LOOKUP(G284,$C$283:$D$1404)</f>
        <v>52</v>
      </c>
      <c r="J284" s="38">
        <f>LOOKUP(C7,G284:H306)</f>
        <v>817</v>
      </c>
      <c r="K284" s="38" t="str">
        <f t="shared" ref="K284:K315" si="29">IF(J284&gt;$J$283,"",VLOOKUP(J284,$A$283:$E$1404,5))</f>
        <v>Allur</v>
      </c>
      <c r="L284" s="38">
        <f>LOOKUP(C18,G284:H306)</f>
        <v>817</v>
      </c>
      <c r="M284" s="38" t="str">
        <f t="shared" ref="M284:M315" si="30">IF(L284&gt;$L$283,"",VLOOKUP(L284,$A$283:$E$1404,5))</f>
        <v>Allur</v>
      </c>
      <c r="N284" s="38" t="str">
        <f>G285</f>
        <v>Anantapur</v>
      </c>
      <c r="P284" s="38">
        <v>2</v>
      </c>
      <c r="Q284" s="222" t="s">
        <v>75</v>
      </c>
      <c r="R284" s="222" t="s">
        <v>1435</v>
      </c>
      <c r="S284" s="222">
        <f>SB!F22</f>
        <v>99600</v>
      </c>
      <c r="T284" s="222" t="str">
        <f t="shared" ref="T284:T314" si="31">IF(S284=0,"NIL",IF(AND(V284=0,Y284=0,AB284=0,AE284=0),AH284,IF(AND(V284=0,Y284=0,AB284=0),CONCATENATE(AF284,IF(AG284&gt;0,"and "," "),AH284),IF(AND(V284=0,Y284=0),CONCATENATE(AC284,IF(AND(AG284=0,AE284&gt;0),"and ", ""),AF284,IF(AG284&gt;0,"and "," "),AH284),IF(V284=0,CONCATENATE(Z284,IF(AND(AG284=0,AE284=0,AB284&gt;0),"and ", ""),AC284,IF(AND(AG284=0,AE284&gt;0),"and ", ""),AF284,IF(AG284&gt;0,"and "," "),AH284),CONCATENATE(W284,IF(AND(AG284=0,AE284=0,AB284=0,Y284&gt;0),"and ", ""),Z284,IF(AND(AG284=0,AE284=0,AB284&gt;0),"and ", ""),AC284,IF(AND(AG284=0,AE284&gt;0),"and ", ""),AF284,IF(AG284&gt;0,"and "," "),AH284))))))</f>
        <v xml:space="preserve">Ninty Nine Thousand and Six Hundred  </v>
      </c>
      <c r="U284" s="222">
        <f t="shared" ref="U284:U314" si="32">INT(S284/10000000)*10000000</f>
        <v>0</v>
      </c>
      <c r="V284" s="222">
        <f t="shared" ref="V284:V314" si="33">INT(S284/10000000)</f>
        <v>0</v>
      </c>
      <c r="W284" s="222" t="str">
        <f t="shared" ref="W284:W314" si="34">IF(V284=1,CONCATENATE(VLOOKUP(V284,$P$283:$Q$381,2),"  Crore "),IF(V284&gt;1,CONCATENATE(VLOOKUP(V284,$P$283:$Q$381,2),"  Crores  "),""))</f>
        <v/>
      </c>
      <c r="X284" s="222">
        <f t="shared" ref="X284:X314" si="35">INT(S284/100000)*100000-U284</f>
        <v>0</v>
      </c>
      <c r="Y284" s="715">
        <f t="shared" ref="Y284:Y314" si="36">INT(X284/100000)</f>
        <v>0</v>
      </c>
      <c r="Z284" s="222" t="str">
        <f t="shared" ref="Z284:Z314" si="37">IF(Y284=1,CONCATENATE(VLOOKUP(Y284,$P$283:$Q$381,2),"  Lakh "),IF(Y284&gt;1,CONCATENATE(VLOOKUP(Y284,$P$283:$Q$381,2),"  Lakhs  "),""))</f>
        <v/>
      </c>
      <c r="AA284" s="222">
        <f t="shared" ref="AA284:AA314" si="38">INT(S284/1000)*1000-U284-X284</f>
        <v>99000</v>
      </c>
      <c r="AB284" s="715">
        <f t="shared" ref="AB284:AB314" si="39">INT(AA284/1000)</f>
        <v>99</v>
      </c>
      <c r="AC284" s="222" t="str">
        <f t="shared" ref="AC284:AC314" si="40">IF(AB284&gt;0,CONCATENATE(VLOOKUP(AB284,$P$283:$Q$381,2)," Thousand "),"")</f>
        <v xml:space="preserve">Ninty Nine Thousand </v>
      </c>
      <c r="AD284" s="222">
        <f t="shared" ref="AD284:AD314" si="41">INT(S284/100)*100-U284-X284-AA284</f>
        <v>600</v>
      </c>
      <c r="AE284" s="281">
        <f t="shared" ref="AE284:AE314" si="42">INT(AD284/100)</f>
        <v>6</v>
      </c>
      <c r="AF284" s="222" t="str">
        <f t="shared" ref="AF284:AF314" si="43">IF(AE284&gt;0,CONCATENATE(VLOOKUP(AE284,$P$283:$Q$381,2)," Hundred "),"")</f>
        <v xml:space="preserve">Six Hundred </v>
      </c>
      <c r="AG284" s="222">
        <f t="shared" ref="AG284:AG314" si="44">S284-U284-X284-AA284-AD284</f>
        <v>0</v>
      </c>
      <c r="AH284" s="281" t="str">
        <f t="shared" ref="AH284:AH314" si="45">IF(AG284&gt;0, VLOOKUP(AG284,$P$283:$Q$381,2),"")</f>
        <v/>
      </c>
      <c r="AJ284" s="236"/>
      <c r="AK284" s="270">
        <v>3850</v>
      </c>
      <c r="AL284" s="270">
        <v>6700</v>
      </c>
      <c r="AN284" s="282" t="e">
        <f>IF(#REF!=2005,#REF!,3850)</f>
        <v>#REF!</v>
      </c>
      <c r="AO284" s="282" t="e">
        <f>IF(#REF!=2010,#REF!,6700)</f>
        <v>#REF!</v>
      </c>
      <c r="AQ284" s="281" t="e">
        <f>IF(#REF!=0,"",IF(#REF!=2005,#REF!,3850))</f>
        <v>#REF!</v>
      </c>
      <c r="AR284" s="281" t="e">
        <f>IF(#REF!=0,"",IF(#REF!=2010,#REF!,6700))</f>
        <v>#REF!</v>
      </c>
      <c r="AS284" s="281"/>
      <c r="AT284" s="281" t="e">
        <f>IF(#REF!=0,"",IF(#REF!=2005,#REF!,3850))</f>
        <v>#REF!</v>
      </c>
      <c r="AU284" s="281" t="e">
        <f>IF(#REF!=0,"",IF(#REF!=2010,#REF!,6700))</f>
        <v>#REF!</v>
      </c>
      <c r="AV284" s="281"/>
      <c r="AW284" s="281" t="e">
        <f>IF(#REF!=0,"",IF(#REF!=2005,#REF!,3850))</f>
        <v>#REF!</v>
      </c>
      <c r="AX284" s="281" t="e">
        <f>IF(#REF!=0,"",IF(#REF!=2010,#REF!,6700))</f>
        <v>#REF!</v>
      </c>
      <c r="YS284" s="38" t="e">
        <f>RIGHT(CONCATENATE(0,#REF!),7)</f>
        <v>#REF!</v>
      </c>
    </row>
    <row r="285" spans="1:669" hidden="1">
      <c r="A285" s="35">
        <v>3</v>
      </c>
      <c r="B285" s="38">
        <v>1</v>
      </c>
      <c r="C285" s="37" t="s">
        <v>68</v>
      </c>
      <c r="D285" s="37">
        <v>3</v>
      </c>
      <c r="E285" s="37" t="s">
        <v>76</v>
      </c>
      <c r="F285" s="37">
        <v>2</v>
      </c>
      <c r="G285" s="38" t="s">
        <v>77</v>
      </c>
      <c r="H285" s="38">
        <f>I284+H284</f>
        <v>53</v>
      </c>
      <c r="I285" s="62">
        <f t="shared" si="28"/>
        <v>63</v>
      </c>
      <c r="J285" s="38">
        <f>IF(J284=$J$283+1,$J$283+1,J284+1)</f>
        <v>818</v>
      </c>
      <c r="K285" s="38" t="str">
        <f t="shared" si="29"/>
        <v>Ananthasagaram</v>
      </c>
      <c r="L285" s="38">
        <f>IF(L284=$L$283+1,$L$283+1,L284+1)</f>
        <v>818</v>
      </c>
      <c r="M285" s="38" t="str">
        <f t="shared" si="30"/>
        <v>Ananthasagaram</v>
      </c>
      <c r="N285" s="38" t="str">
        <f>G286</f>
        <v>Chittoor</v>
      </c>
      <c r="P285" s="38">
        <v>3</v>
      </c>
      <c r="Q285" s="222" t="s">
        <v>78</v>
      </c>
      <c r="R285" s="222" t="s">
        <v>1436</v>
      </c>
      <c r="S285" s="222">
        <f>SB!E22</f>
        <v>8300</v>
      </c>
      <c r="T285" s="222" t="str">
        <f t="shared" si="31"/>
        <v xml:space="preserve">Eight Thousand and Three Hundred  </v>
      </c>
      <c r="U285" s="222">
        <f t="shared" si="32"/>
        <v>0</v>
      </c>
      <c r="V285" s="222">
        <f t="shared" si="33"/>
        <v>0</v>
      </c>
      <c r="W285" s="222" t="str">
        <f t="shared" si="34"/>
        <v/>
      </c>
      <c r="X285" s="222">
        <f t="shared" si="35"/>
        <v>0</v>
      </c>
      <c r="Y285" s="715">
        <f t="shared" si="36"/>
        <v>0</v>
      </c>
      <c r="Z285" s="222" t="str">
        <f t="shared" si="37"/>
        <v/>
      </c>
      <c r="AA285" s="222">
        <f t="shared" si="38"/>
        <v>8000</v>
      </c>
      <c r="AB285" s="715">
        <f t="shared" si="39"/>
        <v>8</v>
      </c>
      <c r="AC285" s="222" t="str">
        <f t="shared" si="40"/>
        <v xml:space="preserve">Eight Thousand </v>
      </c>
      <c r="AD285" s="222">
        <f t="shared" si="41"/>
        <v>300</v>
      </c>
      <c r="AE285" s="281">
        <f t="shared" si="42"/>
        <v>3</v>
      </c>
      <c r="AF285" s="222" t="str">
        <f t="shared" si="43"/>
        <v xml:space="preserve">Three Hundred </v>
      </c>
      <c r="AG285" s="222">
        <f t="shared" si="44"/>
        <v>0</v>
      </c>
      <c r="AH285" s="281" t="str">
        <f t="shared" si="45"/>
        <v/>
      </c>
      <c r="AJ285" s="236"/>
      <c r="AK285" s="270">
        <v>3950</v>
      </c>
      <c r="AL285" s="270">
        <v>6900</v>
      </c>
      <c r="AN285" s="273" t="e">
        <f t="shared" ref="AN285:AN348" si="46">IF(AN284&gt;=SUM(30765,5*765),"",IF(AN284&gt;=30000,AN284+765,IF(AN284&gt;=27000,AN284+750,IF(AN284&gt;=22800,AN284+700,IF(AN284&gt;=19675,AN284+625,IF(AN284&gt;=16925,AN284+550,IF(AN284&gt;=15025,AN284+475,IF(AN284&gt;=13750,AN284+425,IF(AN284&gt;=13030,AN284+360,IF(AN284&gt;=12700,AN284+330,IF(AN284&gt;=11125,AN284+315,IF(AN284&gt;=10285,AN284+280,IF(AN284&gt;=9520,AN284+255,IF(AN284&gt;=8815,AN284+235,IF(AN284&gt;=8170,AN284+215,IF(AN284&gt;=7570,AN284+200,IF(AN284&gt;=7015,AN284+185,IF(AN284&gt;=6505,AN284+170,IF(AN284&gt;=6040,AN284+155,IF(AN284&gt;=5605,AN284+145,IF(AN284&gt;=5200,AN284+135,IF(AN284&gt;=4825,AN284+125,IF(AN284&gt;=4480,AN284+115,IF(AN284&gt;=4150,AN284+110,IF(AN284&gt;=3850,AN284+100,0)))))))))))))))))))))))))</f>
        <v>#REF!</v>
      </c>
      <c r="AO285" s="273" t="e">
        <f>IF(AO284&gt;=SUM(55660,5*1300),"",IF(AO284&gt;=51760,AO284+1300,IF(AO284&gt;=46960,AO284+1200,IF(AO284&gt;=43630,AO284+1110,IF(AO284&gt;=40510,AO284+1040,IF(AO284&gt;=37600,AO284+970,IF(AO284&gt;=34900,AO284+900,IF(AO284&gt;=32350,AO284+850,IF(AO284&gt;=29950,AO284+800,IF(AO284&gt;=27700,AO284+750,IF(AO284&gt;=25600,AO284+700,IF(AO284&gt;=23650,AO284+650,IF(AO284&gt;=21820,AO284+610,IF(AO284&gt;=20110,AO284+570,IF(AO284&gt;=18520,AO284+530,IF(AO284&gt;=17050,AO284+490,IF(AO284&gt;=15700,AO284+450,IF(AO284&gt;=14440,AO284+420,IF(AO284&gt;=13270,AO284+390,IF(AO284&gt;=12190,AO284+360,IF(AO284&gt;=11200,AO284+330,IF(AO284&gt;=10300,AO284+300,IF(AO284&gt;=9460,AO284+280,IF(AO284&gt;=8680,AO284+260,IF(AO284&gt;=7960,AO284+240,IF(AO284&gt;=7300,AO284+220,IF(AO284&gt;=6700,AO284+200,0)))))))))))))))))))))))))))</f>
        <v>#REF!</v>
      </c>
      <c r="AQ285" s="273" t="e">
        <f t="shared" ref="AQ285:AQ322" si="47">IF(AQ284&gt;=SUM(30765,5*765),"",IF(AQ284&gt;=30000,AQ284+765,IF(AQ284&gt;=27000,AQ284+750,IF(AQ284&gt;=22800,AQ284+700,IF(AQ284&gt;=19675,AQ284+625,IF(AQ284&gt;=16925,AQ284+550,IF(AQ284&gt;=15025,AQ284+475,IF(AQ284&gt;=13750,AQ284+425,IF(AQ284&gt;=13030,AQ284+360,IF(AQ284&gt;=12700,AQ284+330,IF(AQ284&gt;=11125,AQ284+315,IF(AQ284&gt;=10285,AQ284+280,IF(AQ284&gt;=9520,AQ284+255,IF(AQ284&gt;=8815,AQ284+235,IF(AQ284&gt;=8170,AQ284+215,IF(AQ284&gt;=7570,AQ284+200,IF(AQ284&gt;=7015,AQ284+185,IF(AQ284&gt;=6505,AQ284+170,IF(AQ284&gt;=6040,AQ284+155,IF(AQ284&gt;=5605,AQ284+145,IF(AQ284&gt;=5200,AQ284+135,IF(AQ284&gt;=4825,AQ284+125,IF(AQ284&gt;=4480,AQ284+115,IF(AQ284&gt;=4150,AQ284+110,IF(AQ284&gt;=3850,AQ284+100,0)))))))))))))))))))))))))</f>
        <v>#REF!</v>
      </c>
      <c r="AR285" s="273" t="e">
        <f>IF(AR284&gt;=SUM(55660,5*1300),"",IF(AR284&gt;=51760,AR284+1300,IF(AR284&gt;=46960,AR284+1200,IF(AR284&gt;=43630,AR284+1110,IF(AR284&gt;=40510,AR284+1040,IF(AR284&gt;=37600,AR284+970,IF(AR284&gt;=34900,AR284+900,IF(AR284&gt;=32350,AR284+850,IF(AR284&gt;=29950,AR284+800,IF(AR284&gt;=27700,AR284+750,IF(AR284&gt;=25600,AR284+700,IF(AR284&gt;=23650,AR284+650,IF(AR284&gt;=21820,AR284+610,IF(AR284&gt;=20110,AR284+570,IF(AR284&gt;=18520,AR284+530,IF(AR284&gt;=17050,AR284+490,IF(AR284&gt;=15700,AR284+450,IF(AR284&gt;=14440,AR284+420,IF(AR284&gt;=13270,AR284+390,IF(AR284&gt;=12190,AR284+360,IF(AR284&gt;=11200,AR284+330,IF(AR284&gt;=10300,AR284+300,IF(AR284&gt;=9460,AR284+280,IF(AR284&gt;=8680,AR284+260,IF(AR284&gt;=7960,AR284+240,IF(AR284&gt;=7300,AR284+220,IF(AR284&gt;=6700,AR284+200,0)))))))))))))))))))))))))))</f>
        <v>#REF!</v>
      </c>
      <c r="AS285" s="281"/>
      <c r="AT285" s="273" t="e">
        <f t="shared" ref="AT285:AT322" si="48">IF(AT284&gt;=SUM(30765,5*765),"",IF(AT284&gt;=30000,AT284+765,IF(AT284&gt;=27000,AT284+750,IF(AT284&gt;=22800,AT284+700,IF(AT284&gt;=19675,AT284+625,IF(AT284&gt;=16925,AT284+550,IF(AT284&gt;=15025,AT284+475,IF(AT284&gt;=13750,AT284+425,IF(AT284&gt;=13030,AT284+360,IF(AT284&gt;=12700,AT284+330,IF(AT284&gt;=11125,AT284+315,IF(AT284&gt;=10285,AT284+280,IF(AT284&gt;=9520,AT284+255,IF(AT284&gt;=8815,AT284+235,IF(AT284&gt;=8170,AT284+215,IF(AT284&gt;=7570,AT284+200,IF(AT284&gt;=7015,AT284+185,IF(AT284&gt;=6505,AT284+170,IF(AT284&gt;=6040,AT284+155,IF(AT284&gt;=5605,AT284+145,IF(AT284&gt;=5200,AT284+135,IF(AT284&gt;=4825,AT284+125,IF(AT284&gt;=4480,AT284+115,IF(AT284&gt;=4150,AT284+110,IF(AT284&gt;=3850,AT284+100,0)))))))))))))))))))))))))</f>
        <v>#REF!</v>
      </c>
      <c r="AU285" s="273" t="e">
        <f>IF(AU284&gt;=SUM(55660,5*1300),"",IF(AU284&gt;=51760,AU284+1300,IF(AU284&gt;=46960,AU284+1200,IF(AU284&gt;=43630,AU284+1110,IF(AU284&gt;=40510,AU284+1040,IF(AU284&gt;=37600,AU284+970,IF(AU284&gt;=34900,AU284+900,IF(AU284&gt;=32350,AU284+850,IF(AU284&gt;=29950,AU284+800,IF(AU284&gt;=27700,AU284+750,IF(AU284&gt;=25600,AU284+700,IF(AU284&gt;=23650,AU284+650,IF(AU284&gt;=21820,AU284+610,IF(AU284&gt;=20110,AU284+570,IF(AU284&gt;=18520,AU284+530,IF(AU284&gt;=17050,AU284+490,IF(AU284&gt;=15700,AU284+450,IF(AU284&gt;=14440,AU284+420,IF(AU284&gt;=13270,AU284+390,IF(AU284&gt;=12190,AU284+360,IF(AU284&gt;=11200,AU284+330,IF(AU284&gt;=10300,AU284+300,IF(AU284&gt;=9460,AU284+280,IF(AU284&gt;=8680,AU284+260,IF(AU284&gt;=7960,AU284+240,IF(AU284&gt;=7300,AU284+220,IF(AU284&gt;=6700,AU284+200,0)))))))))))))))))))))))))))</f>
        <v>#REF!</v>
      </c>
      <c r="AV285" s="281"/>
      <c r="AW285" s="273" t="e">
        <f t="shared" ref="AW285:AW322" si="49">IF(AW284&gt;=SUM(30765,5*765),"",IF(AW284&gt;=30000,AW284+765,IF(AW284&gt;=27000,AW284+750,IF(AW284&gt;=22800,AW284+700,IF(AW284&gt;=19675,AW284+625,IF(AW284&gt;=16925,AW284+550,IF(AW284&gt;=15025,AW284+475,IF(AW284&gt;=13750,AW284+425,IF(AW284&gt;=13030,AW284+360,IF(AW284&gt;=12700,AW284+330,IF(AW284&gt;=11125,AW284+315,IF(AW284&gt;=10285,AW284+280,IF(AW284&gt;=9520,AW284+255,IF(AW284&gt;=8815,AW284+235,IF(AW284&gt;=8170,AW284+215,IF(AW284&gt;=7570,AW284+200,IF(AW284&gt;=7015,AW284+185,IF(AW284&gt;=6505,AW284+170,IF(AW284&gt;=6040,AW284+155,IF(AW284&gt;=5605,AW284+145,IF(AW284&gt;=5200,AW284+135,IF(AW284&gt;=4825,AW284+125,IF(AW284&gt;=4480,AW284+115,IF(AW284&gt;=4150,AW284+110,IF(AW284&gt;=3850,AW284+100,0)))))))))))))))))))))))))</f>
        <v>#REF!</v>
      </c>
      <c r="AX285" s="273" t="e">
        <f>IF(AX284&gt;=SUM(55660,5*1300),"",IF(AX284&gt;=51760,AX284+1300,IF(AX284&gt;=46960,AX284+1200,IF(AX284&gt;=43630,AX284+1110,IF(AX284&gt;=40510,AX284+1040,IF(AX284&gt;=37600,AX284+970,IF(AX284&gt;=34900,AX284+900,IF(AX284&gt;=32350,AX284+850,IF(AX284&gt;=29950,AX284+800,IF(AX284&gt;=27700,AX284+750,IF(AX284&gt;=25600,AX284+700,IF(AX284&gt;=23650,AX284+650,IF(AX284&gt;=21820,AX284+610,IF(AX284&gt;=20110,AX284+570,IF(AX284&gt;=18520,AX284+530,IF(AX284&gt;=17050,AX284+490,IF(AX284&gt;=15700,AX284+450,IF(AX284&gt;=14440,AX284+420,IF(AX284&gt;=13270,AX284+390,IF(AX284&gt;=12190,AX284+360,IF(AX284&gt;=11200,AX284+330,IF(AX284&gt;=10300,AX284+300,IF(AX284&gt;=9460,AX284+280,IF(AX284&gt;=8680,AX284+260,IF(AX284&gt;=7960,AX284+240,IF(AX284&gt;=7300,AX284+220,IF(AX284&gt;=6700,AX284+200,0)))))))))))))))))))))))))))</f>
        <v>#REF!</v>
      </c>
      <c r="YS285" s="38" t="e">
        <f>RIGHT(CONCATENATE(0,#REF!),7)</f>
        <v>#REF!</v>
      </c>
    </row>
    <row r="286" spans="1:669" hidden="1">
      <c r="A286" s="35">
        <v>4</v>
      </c>
      <c r="B286" s="38">
        <v>1</v>
      </c>
      <c r="C286" s="37" t="s">
        <v>68</v>
      </c>
      <c r="D286" s="37">
        <v>4</v>
      </c>
      <c r="E286" s="37" t="s">
        <v>79</v>
      </c>
      <c r="F286" s="37">
        <v>3</v>
      </c>
      <c r="G286" s="38" t="s">
        <v>67</v>
      </c>
      <c r="H286" s="38">
        <f t="shared" ref="H286:H306" si="50">I285+H285</f>
        <v>116</v>
      </c>
      <c r="I286" s="62">
        <f t="shared" si="28"/>
        <v>66</v>
      </c>
      <c r="J286" s="38">
        <f t="shared" ref="J286:J349" si="51">IF(J285=$J$283+1,$J$283+1,J285+1)</f>
        <v>819</v>
      </c>
      <c r="K286" s="38" t="str">
        <f t="shared" si="29"/>
        <v>Anumasamudrampeta</v>
      </c>
      <c r="L286" s="38">
        <f t="shared" ref="L286:L349" si="52">IF(L285=$L$283+1,$L$283+1,L285+1)</f>
        <v>819</v>
      </c>
      <c r="M286" s="38" t="str">
        <f t="shared" si="30"/>
        <v>Anumasamudrampeta</v>
      </c>
      <c r="N286" s="38" t="str">
        <f>G287</f>
        <v>East Godavari</v>
      </c>
      <c r="P286" s="38">
        <v>4</v>
      </c>
      <c r="Q286" s="222" t="s">
        <v>80</v>
      </c>
      <c r="R286" s="222">
        <v>0</v>
      </c>
      <c r="S286" s="222">
        <v>513</v>
      </c>
      <c r="T286" s="222" t="str">
        <f t="shared" si="31"/>
        <v>Five Hundred and Thirteen</v>
      </c>
      <c r="U286" s="222">
        <f t="shared" si="32"/>
        <v>0</v>
      </c>
      <c r="V286" s="222">
        <f t="shared" si="33"/>
        <v>0</v>
      </c>
      <c r="W286" s="222" t="str">
        <f t="shared" si="34"/>
        <v/>
      </c>
      <c r="X286" s="222">
        <f t="shared" si="35"/>
        <v>0</v>
      </c>
      <c r="Y286" s="715">
        <f t="shared" si="36"/>
        <v>0</v>
      </c>
      <c r="Z286" s="222" t="str">
        <f t="shared" si="37"/>
        <v/>
      </c>
      <c r="AA286" s="222">
        <f t="shared" si="38"/>
        <v>0</v>
      </c>
      <c r="AB286" s="715">
        <f t="shared" si="39"/>
        <v>0</v>
      </c>
      <c r="AC286" s="222" t="str">
        <f t="shared" si="40"/>
        <v/>
      </c>
      <c r="AD286" s="222">
        <f t="shared" si="41"/>
        <v>500</v>
      </c>
      <c r="AE286" s="281">
        <f t="shared" si="42"/>
        <v>5</v>
      </c>
      <c r="AF286" s="222" t="str">
        <f t="shared" si="43"/>
        <v xml:space="preserve">Five Hundred </v>
      </c>
      <c r="AG286" s="222">
        <f t="shared" si="44"/>
        <v>13</v>
      </c>
      <c r="AH286" s="281" t="str">
        <f t="shared" si="45"/>
        <v>Thirteen</v>
      </c>
      <c r="AJ286" s="236"/>
      <c r="AK286" s="270">
        <v>4050</v>
      </c>
      <c r="AL286" s="270">
        <v>7100</v>
      </c>
      <c r="AN286" s="273" t="e">
        <f t="shared" si="46"/>
        <v>#REF!</v>
      </c>
      <c r="AO286" s="273" t="e">
        <f t="shared" ref="AO286:AO349" si="53">IF(AO285&gt;=SUM(55660,5*1300),"",IF(AO285&gt;=51760,AO285+1300,IF(AO285&gt;=46960,AO285+1200,IF(AO285&gt;=43630,AO285+1110,IF(AO285&gt;=40510,AO285+1040,IF(AO285&gt;=37600,AO285+970,IF(AO285&gt;=34900,AO285+900,IF(AO285&gt;=32350,AO285+850,IF(AO285&gt;=29950,AO285+800,IF(AO285&gt;=27700,AO285+750,IF(AO285&gt;=25600,AO285+700,IF(AO285&gt;=23650,AO285+650,IF(AO285&gt;=21820,AO285+610,IF(AO285&gt;=20110,AO285+570,IF(AO285&gt;=18520,AO285+530,IF(AO285&gt;=17050,AO285+490,IF(AO285&gt;=15700,AO285+450,IF(AO285&gt;=14440,AO285+420,IF(AO285&gt;=13270,AO285+390,IF(AO285&gt;=12190,AO285+360,IF(AO285&gt;=11200,AO285+330,IF(AO285&gt;=10300,AO285+300,IF(AO285&gt;=9460,AO285+280,IF(AO285&gt;=8680,AO285+260,IF(AO285&gt;=7960,AO285+240,IF(AO285&gt;=7300,AO285+220,IF(AO285&gt;=6700,AO285+200,0)))))))))))))))))))))))))))</f>
        <v>#REF!</v>
      </c>
      <c r="AQ286" s="273" t="e">
        <f t="shared" si="47"/>
        <v>#REF!</v>
      </c>
      <c r="AR286" s="273" t="e">
        <f t="shared" ref="AR286:AR322" si="54">IF(AR285&gt;=SUM(55660,5*1300),"",IF(AR285&gt;=51760,AR285+1300,IF(AR285&gt;=46960,AR285+1200,IF(AR285&gt;=43630,AR285+1110,IF(AR285&gt;=40510,AR285+1040,IF(AR285&gt;=37600,AR285+970,IF(AR285&gt;=34900,AR285+900,IF(AR285&gt;=32350,AR285+850,IF(AR285&gt;=29950,AR285+800,IF(AR285&gt;=27700,AR285+750,IF(AR285&gt;=25600,AR285+700,IF(AR285&gt;=23650,AR285+650,IF(AR285&gt;=21820,AR285+610,IF(AR285&gt;=20110,AR285+570,IF(AR285&gt;=18520,AR285+530,IF(AR285&gt;=17050,AR285+490,IF(AR285&gt;=15700,AR285+450,IF(AR285&gt;=14440,AR285+420,IF(AR285&gt;=13270,AR285+390,IF(AR285&gt;=12190,AR285+360,IF(AR285&gt;=11200,AR285+330,IF(AR285&gt;=10300,AR285+300,IF(AR285&gt;=9460,AR285+280,IF(AR285&gt;=8680,AR285+260,IF(AR285&gt;=7960,AR285+240,IF(AR285&gt;=7300,AR285+220,IF(AR285&gt;=6700,AR285+200,0)))))))))))))))))))))))))))</f>
        <v>#REF!</v>
      </c>
      <c r="AS286" s="281"/>
      <c r="AT286" s="273" t="e">
        <f t="shared" si="48"/>
        <v>#REF!</v>
      </c>
      <c r="AU286" s="273" t="e">
        <f t="shared" ref="AU286:AU322" si="55">IF(AU285&gt;=SUM(55660,5*1300),"",IF(AU285&gt;=51760,AU285+1300,IF(AU285&gt;=46960,AU285+1200,IF(AU285&gt;=43630,AU285+1110,IF(AU285&gt;=40510,AU285+1040,IF(AU285&gt;=37600,AU285+970,IF(AU285&gt;=34900,AU285+900,IF(AU285&gt;=32350,AU285+850,IF(AU285&gt;=29950,AU285+800,IF(AU285&gt;=27700,AU285+750,IF(AU285&gt;=25600,AU285+700,IF(AU285&gt;=23650,AU285+650,IF(AU285&gt;=21820,AU285+610,IF(AU285&gt;=20110,AU285+570,IF(AU285&gt;=18520,AU285+530,IF(AU285&gt;=17050,AU285+490,IF(AU285&gt;=15700,AU285+450,IF(AU285&gt;=14440,AU285+420,IF(AU285&gt;=13270,AU285+390,IF(AU285&gt;=12190,AU285+360,IF(AU285&gt;=11200,AU285+330,IF(AU285&gt;=10300,AU285+300,IF(AU285&gt;=9460,AU285+280,IF(AU285&gt;=8680,AU285+260,IF(AU285&gt;=7960,AU285+240,IF(AU285&gt;=7300,AU285+220,IF(AU285&gt;=6700,AU285+200,0)))))))))))))))))))))))))))</f>
        <v>#REF!</v>
      </c>
      <c r="AV286" s="281"/>
      <c r="AW286" s="273" t="e">
        <f t="shared" si="49"/>
        <v>#REF!</v>
      </c>
      <c r="AX286" s="273" t="e">
        <f t="shared" ref="AX286:AX322" si="56">IF(AX285&gt;=SUM(55660,5*1300),"",IF(AX285&gt;=51760,AX285+1300,IF(AX285&gt;=46960,AX285+1200,IF(AX285&gt;=43630,AX285+1110,IF(AX285&gt;=40510,AX285+1040,IF(AX285&gt;=37600,AX285+970,IF(AX285&gt;=34900,AX285+900,IF(AX285&gt;=32350,AX285+850,IF(AX285&gt;=29950,AX285+800,IF(AX285&gt;=27700,AX285+750,IF(AX285&gt;=25600,AX285+700,IF(AX285&gt;=23650,AX285+650,IF(AX285&gt;=21820,AX285+610,IF(AX285&gt;=20110,AX285+570,IF(AX285&gt;=18520,AX285+530,IF(AX285&gt;=17050,AX285+490,IF(AX285&gt;=15700,AX285+450,IF(AX285&gt;=14440,AX285+420,IF(AX285&gt;=13270,AX285+390,IF(AX285&gt;=12190,AX285+360,IF(AX285&gt;=11200,AX285+330,IF(AX285&gt;=10300,AX285+300,IF(AX285&gt;=9460,AX285+280,IF(AX285&gt;=8680,AX285+260,IF(AX285&gt;=7960,AX285+240,IF(AX285&gt;=7300,AX285+220,IF(AX285&gt;=6700,AX285+200,0)))))))))))))))))))))))))))</f>
        <v>#REF!</v>
      </c>
      <c r="YS286" s="38" t="e">
        <f>RIGHT(CONCATENATE(0,#REF!),7)</f>
        <v>#REF!</v>
      </c>
    </row>
    <row r="287" spans="1:669" hidden="1">
      <c r="A287" s="35">
        <v>5</v>
      </c>
      <c r="B287" s="38">
        <v>1</v>
      </c>
      <c r="C287" s="37" t="s">
        <v>68</v>
      </c>
      <c r="D287" s="37">
        <v>5</v>
      </c>
      <c r="E287" s="37" t="s">
        <v>81</v>
      </c>
      <c r="F287" s="37">
        <v>4</v>
      </c>
      <c r="G287" s="38" t="s">
        <v>82</v>
      </c>
      <c r="H287" s="38">
        <f t="shared" si="50"/>
        <v>182</v>
      </c>
      <c r="I287" s="62">
        <f t="shared" si="28"/>
        <v>59</v>
      </c>
      <c r="J287" s="38">
        <f t="shared" si="51"/>
        <v>820</v>
      </c>
      <c r="K287" s="38" t="str">
        <f t="shared" si="29"/>
        <v>Atmakur</v>
      </c>
      <c r="L287" s="38">
        <f t="shared" si="52"/>
        <v>820</v>
      </c>
      <c r="M287" s="38" t="str">
        <f t="shared" si="30"/>
        <v>Atmakur</v>
      </c>
      <c r="N287" s="38" t="str">
        <f>G288</f>
        <v>Guntur</v>
      </c>
      <c r="P287" s="38">
        <v>5</v>
      </c>
      <c r="Q287" s="222" t="s">
        <v>83</v>
      </c>
      <c r="R287" s="222">
        <v>0</v>
      </c>
      <c r="S287" s="222">
        <v>5001</v>
      </c>
      <c r="T287" s="222" t="str">
        <f t="shared" si="31"/>
        <v>Five Thousand and One</v>
      </c>
      <c r="U287" s="222">
        <f t="shared" si="32"/>
        <v>0</v>
      </c>
      <c r="V287" s="222">
        <f t="shared" si="33"/>
        <v>0</v>
      </c>
      <c r="W287" s="222" t="str">
        <f t="shared" si="34"/>
        <v/>
      </c>
      <c r="X287" s="222">
        <f t="shared" si="35"/>
        <v>0</v>
      </c>
      <c r="Y287" s="715">
        <f t="shared" si="36"/>
        <v>0</v>
      </c>
      <c r="Z287" s="222" t="str">
        <f t="shared" si="37"/>
        <v/>
      </c>
      <c r="AA287" s="222">
        <f t="shared" si="38"/>
        <v>5000</v>
      </c>
      <c r="AB287" s="715">
        <f t="shared" si="39"/>
        <v>5</v>
      </c>
      <c r="AC287" s="222" t="str">
        <f t="shared" si="40"/>
        <v xml:space="preserve">Five Thousand </v>
      </c>
      <c r="AD287" s="222">
        <f t="shared" si="41"/>
        <v>0</v>
      </c>
      <c r="AE287" s="281">
        <f t="shared" si="42"/>
        <v>0</v>
      </c>
      <c r="AF287" s="222" t="str">
        <f t="shared" si="43"/>
        <v/>
      </c>
      <c r="AG287" s="222">
        <f t="shared" si="44"/>
        <v>1</v>
      </c>
      <c r="AH287" s="281" t="str">
        <f t="shared" si="45"/>
        <v>One</v>
      </c>
      <c r="AJ287" s="236"/>
      <c r="AK287" s="270">
        <v>4150</v>
      </c>
      <c r="AL287" s="270">
        <v>7300</v>
      </c>
      <c r="AN287" s="273" t="e">
        <f t="shared" si="46"/>
        <v>#REF!</v>
      </c>
      <c r="AO287" s="273" t="e">
        <f t="shared" si="53"/>
        <v>#REF!</v>
      </c>
      <c r="AQ287" s="273" t="e">
        <f t="shared" si="47"/>
        <v>#REF!</v>
      </c>
      <c r="AR287" s="273" t="e">
        <f t="shared" si="54"/>
        <v>#REF!</v>
      </c>
      <c r="AS287" s="281"/>
      <c r="AT287" s="273" t="e">
        <f t="shared" si="48"/>
        <v>#REF!</v>
      </c>
      <c r="AU287" s="273" t="e">
        <f t="shared" si="55"/>
        <v>#REF!</v>
      </c>
      <c r="AV287" s="281"/>
      <c r="AW287" s="273" t="e">
        <f t="shared" si="49"/>
        <v>#REF!</v>
      </c>
      <c r="AX287" s="273" t="e">
        <f t="shared" si="56"/>
        <v>#REF!</v>
      </c>
      <c r="YS287" s="38" t="e">
        <f>RIGHT(CONCATENATE(0,#REF!),7)</f>
        <v>#REF!</v>
      </c>
    </row>
    <row r="288" spans="1:669" hidden="1">
      <c r="A288" s="35">
        <v>6</v>
      </c>
      <c r="B288" s="38">
        <v>1</v>
      </c>
      <c r="C288" s="37" t="s">
        <v>68</v>
      </c>
      <c r="D288" s="37">
        <v>6</v>
      </c>
      <c r="E288" s="37" t="s">
        <v>84</v>
      </c>
      <c r="F288" s="37">
        <v>5</v>
      </c>
      <c r="G288" s="38" t="s">
        <v>85</v>
      </c>
      <c r="H288" s="38">
        <f t="shared" si="50"/>
        <v>241</v>
      </c>
      <c r="I288" s="62">
        <f t="shared" si="28"/>
        <v>57</v>
      </c>
      <c r="J288" s="38">
        <f t="shared" si="51"/>
        <v>821</v>
      </c>
      <c r="K288" s="38" t="str">
        <f t="shared" si="29"/>
        <v>Balayapalle</v>
      </c>
      <c r="L288" s="38">
        <f t="shared" si="52"/>
        <v>821</v>
      </c>
      <c r="M288" s="38" t="str">
        <f t="shared" si="30"/>
        <v>Balayapalle</v>
      </c>
      <c r="N288" s="38" t="str">
        <f>G292</f>
        <v>Krishna</v>
      </c>
      <c r="P288" s="38">
        <v>6</v>
      </c>
      <c r="Q288" s="222" t="s">
        <v>86</v>
      </c>
      <c r="R288" s="222">
        <v>0</v>
      </c>
      <c r="S288" s="222">
        <v>123450000</v>
      </c>
      <c r="T288" s="222" t="str">
        <f t="shared" si="31"/>
        <v xml:space="preserve">Twelve  Crores  Thirty Four  Lakhs  and Fifty Thousand  </v>
      </c>
      <c r="U288" s="222">
        <f t="shared" si="32"/>
        <v>120000000</v>
      </c>
      <c r="V288" s="222">
        <f t="shared" si="33"/>
        <v>12</v>
      </c>
      <c r="W288" s="222" t="str">
        <f t="shared" si="34"/>
        <v xml:space="preserve">Twelve  Crores  </v>
      </c>
      <c r="X288" s="222">
        <f t="shared" si="35"/>
        <v>3400000</v>
      </c>
      <c r="Y288" s="715">
        <f t="shared" si="36"/>
        <v>34</v>
      </c>
      <c r="Z288" s="222" t="str">
        <f t="shared" si="37"/>
        <v xml:space="preserve">Thirty Four  Lakhs  </v>
      </c>
      <c r="AA288" s="222">
        <f t="shared" si="38"/>
        <v>50000</v>
      </c>
      <c r="AB288" s="715">
        <f t="shared" si="39"/>
        <v>50</v>
      </c>
      <c r="AC288" s="222" t="str">
        <f t="shared" si="40"/>
        <v xml:space="preserve">Fifty Thousand </v>
      </c>
      <c r="AD288" s="222">
        <f t="shared" si="41"/>
        <v>0</v>
      </c>
      <c r="AE288" s="281">
        <f t="shared" si="42"/>
        <v>0</v>
      </c>
      <c r="AF288" s="222" t="str">
        <f t="shared" si="43"/>
        <v/>
      </c>
      <c r="AG288" s="222">
        <f t="shared" si="44"/>
        <v>0</v>
      </c>
      <c r="AH288" s="281" t="str">
        <f t="shared" si="45"/>
        <v/>
      </c>
      <c r="AJ288" s="236"/>
      <c r="AK288" s="270">
        <v>4260</v>
      </c>
      <c r="AL288" s="270">
        <v>7520</v>
      </c>
      <c r="AN288" s="273" t="e">
        <f t="shared" si="46"/>
        <v>#REF!</v>
      </c>
      <c r="AO288" s="273" t="e">
        <f t="shared" si="53"/>
        <v>#REF!</v>
      </c>
      <c r="AQ288" s="273" t="e">
        <f t="shared" si="47"/>
        <v>#REF!</v>
      </c>
      <c r="AR288" s="273" t="e">
        <f t="shared" si="54"/>
        <v>#REF!</v>
      </c>
      <c r="AS288" s="281"/>
      <c r="AT288" s="273" t="e">
        <f t="shared" si="48"/>
        <v>#REF!</v>
      </c>
      <c r="AU288" s="273" t="e">
        <f t="shared" si="55"/>
        <v>#REF!</v>
      </c>
      <c r="AV288" s="281"/>
      <c r="AW288" s="273" t="e">
        <f t="shared" si="49"/>
        <v>#REF!</v>
      </c>
      <c r="AX288" s="273" t="e">
        <f t="shared" si="56"/>
        <v>#REF!</v>
      </c>
      <c r="YS288" s="38" t="e">
        <f>RIGHT(CONCATENATE(0,#REF!),7)</f>
        <v>#REF!</v>
      </c>
    </row>
    <row r="289" spans="1:669" hidden="1">
      <c r="A289" s="35">
        <v>7</v>
      </c>
      <c r="B289" s="38">
        <v>1</v>
      </c>
      <c r="C289" s="37" t="s">
        <v>68</v>
      </c>
      <c r="D289" s="37">
        <v>7</v>
      </c>
      <c r="E289" s="37" t="s">
        <v>87</v>
      </c>
      <c r="F289" s="37">
        <v>6</v>
      </c>
      <c r="G289" s="38" t="s">
        <v>88</v>
      </c>
      <c r="H289" s="38">
        <f t="shared" si="50"/>
        <v>298</v>
      </c>
      <c r="I289" s="62">
        <f t="shared" si="28"/>
        <v>16</v>
      </c>
      <c r="J289" s="38">
        <f t="shared" si="51"/>
        <v>822</v>
      </c>
      <c r="K289" s="38" t="str">
        <f t="shared" si="29"/>
        <v>Bogole</v>
      </c>
      <c r="L289" s="38">
        <f t="shared" si="52"/>
        <v>822</v>
      </c>
      <c r="M289" s="38" t="str">
        <f t="shared" si="30"/>
        <v>Bogole</v>
      </c>
      <c r="N289" s="38" t="str">
        <f>G293</f>
        <v>Kurnool</v>
      </c>
      <c r="P289" s="38">
        <v>7</v>
      </c>
      <c r="Q289" s="222" t="s">
        <v>89</v>
      </c>
      <c r="S289" s="222">
        <v>123450001</v>
      </c>
      <c r="T289" s="222" t="str">
        <f t="shared" si="31"/>
        <v>Twelve  Crores  Thirty Four  Lakhs  Fifty Thousand and One</v>
      </c>
      <c r="U289" s="222">
        <f t="shared" si="32"/>
        <v>120000000</v>
      </c>
      <c r="V289" s="222">
        <f t="shared" si="33"/>
        <v>12</v>
      </c>
      <c r="W289" s="222" t="str">
        <f t="shared" si="34"/>
        <v xml:space="preserve">Twelve  Crores  </v>
      </c>
      <c r="X289" s="222">
        <f t="shared" si="35"/>
        <v>3400000</v>
      </c>
      <c r="Y289" s="715">
        <f t="shared" si="36"/>
        <v>34</v>
      </c>
      <c r="Z289" s="222" t="str">
        <f t="shared" si="37"/>
        <v xml:space="preserve">Thirty Four  Lakhs  </v>
      </c>
      <c r="AA289" s="222">
        <f t="shared" si="38"/>
        <v>50000</v>
      </c>
      <c r="AB289" s="715">
        <f t="shared" si="39"/>
        <v>50</v>
      </c>
      <c r="AC289" s="222" t="str">
        <f t="shared" si="40"/>
        <v xml:space="preserve">Fifty Thousand </v>
      </c>
      <c r="AD289" s="222">
        <f t="shared" si="41"/>
        <v>0</v>
      </c>
      <c r="AE289" s="281">
        <f t="shared" si="42"/>
        <v>0</v>
      </c>
      <c r="AF289" s="222" t="str">
        <f t="shared" si="43"/>
        <v/>
      </c>
      <c r="AG289" s="222">
        <f t="shared" si="44"/>
        <v>1</v>
      </c>
      <c r="AH289" s="281" t="str">
        <f t="shared" si="45"/>
        <v>One</v>
      </c>
      <c r="AJ289" s="236"/>
      <c r="AK289" s="270">
        <v>4370</v>
      </c>
      <c r="AL289" s="270">
        <v>7740</v>
      </c>
      <c r="AN289" s="273" t="e">
        <f t="shared" si="46"/>
        <v>#REF!</v>
      </c>
      <c r="AO289" s="273" t="e">
        <f t="shared" si="53"/>
        <v>#REF!</v>
      </c>
      <c r="AQ289" s="273" t="e">
        <f t="shared" si="47"/>
        <v>#REF!</v>
      </c>
      <c r="AR289" s="273" t="e">
        <f t="shared" si="54"/>
        <v>#REF!</v>
      </c>
      <c r="AS289" s="281"/>
      <c r="AT289" s="273" t="e">
        <f t="shared" si="48"/>
        <v>#REF!</v>
      </c>
      <c r="AU289" s="273" t="e">
        <f t="shared" si="55"/>
        <v>#REF!</v>
      </c>
      <c r="AV289" s="281"/>
      <c r="AW289" s="273" t="e">
        <f t="shared" si="49"/>
        <v>#REF!</v>
      </c>
      <c r="AX289" s="273" t="e">
        <f t="shared" si="56"/>
        <v>#REF!</v>
      </c>
      <c r="YS289" s="38" t="e">
        <f>RIGHT(CONCATENATE(0,#REF!),7)</f>
        <v>#REF!</v>
      </c>
    </row>
    <row r="290" spans="1:669" hidden="1">
      <c r="A290" s="35">
        <v>8</v>
      </c>
      <c r="B290" s="38">
        <v>1</v>
      </c>
      <c r="C290" s="37" t="s">
        <v>68</v>
      </c>
      <c r="D290" s="37">
        <v>8</v>
      </c>
      <c r="E290" s="37" t="s">
        <v>90</v>
      </c>
      <c r="F290" s="37">
        <v>7</v>
      </c>
      <c r="G290" s="38" t="s">
        <v>91</v>
      </c>
      <c r="H290" s="38">
        <f t="shared" si="50"/>
        <v>314</v>
      </c>
      <c r="I290" s="62">
        <f t="shared" si="28"/>
        <v>56</v>
      </c>
      <c r="J290" s="38">
        <f t="shared" si="51"/>
        <v>823</v>
      </c>
      <c r="K290" s="38" t="str">
        <f t="shared" si="29"/>
        <v>Butchireddipalem</v>
      </c>
      <c r="L290" s="38">
        <f t="shared" si="52"/>
        <v>823</v>
      </c>
      <c r="M290" s="38" t="str">
        <f t="shared" si="30"/>
        <v>Butchireddipalem</v>
      </c>
      <c r="N290" s="38" t="str">
        <f>G298</f>
        <v>Prakasam</v>
      </c>
      <c r="P290" s="38">
        <v>8</v>
      </c>
      <c r="Q290" s="222" t="s">
        <v>92</v>
      </c>
      <c r="S290" s="222">
        <v>123450002</v>
      </c>
      <c r="T290" s="222" t="str">
        <f t="shared" si="31"/>
        <v>Twelve  Crores  Thirty Four  Lakhs  Fifty Thousand and Two</v>
      </c>
      <c r="U290" s="222">
        <f t="shared" si="32"/>
        <v>120000000</v>
      </c>
      <c r="V290" s="222">
        <f t="shared" si="33"/>
        <v>12</v>
      </c>
      <c r="W290" s="222" t="str">
        <f t="shared" si="34"/>
        <v xml:space="preserve">Twelve  Crores  </v>
      </c>
      <c r="X290" s="222">
        <f t="shared" si="35"/>
        <v>3400000</v>
      </c>
      <c r="Y290" s="715">
        <f t="shared" si="36"/>
        <v>34</v>
      </c>
      <c r="Z290" s="222" t="str">
        <f t="shared" si="37"/>
        <v xml:space="preserve">Thirty Four  Lakhs  </v>
      </c>
      <c r="AA290" s="222">
        <f t="shared" si="38"/>
        <v>50000</v>
      </c>
      <c r="AB290" s="715">
        <f t="shared" si="39"/>
        <v>50</v>
      </c>
      <c r="AC290" s="222" t="str">
        <f t="shared" si="40"/>
        <v xml:space="preserve">Fifty Thousand </v>
      </c>
      <c r="AD290" s="222">
        <f t="shared" si="41"/>
        <v>0</v>
      </c>
      <c r="AE290" s="281">
        <f t="shared" si="42"/>
        <v>0</v>
      </c>
      <c r="AF290" s="222" t="str">
        <f t="shared" si="43"/>
        <v/>
      </c>
      <c r="AG290" s="222">
        <f t="shared" si="44"/>
        <v>2</v>
      </c>
      <c r="AH290" s="281" t="str">
        <f t="shared" si="45"/>
        <v>Two</v>
      </c>
      <c r="AJ290" s="236"/>
      <c r="AK290" s="270">
        <v>4480</v>
      </c>
      <c r="AL290" s="270">
        <v>7960</v>
      </c>
      <c r="AN290" s="273" t="e">
        <f t="shared" si="46"/>
        <v>#REF!</v>
      </c>
      <c r="AO290" s="273" t="e">
        <f t="shared" si="53"/>
        <v>#REF!</v>
      </c>
      <c r="AQ290" s="273" t="e">
        <f t="shared" si="47"/>
        <v>#REF!</v>
      </c>
      <c r="AR290" s="273" t="e">
        <f t="shared" si="54"/>
        <v>#REF!</v>
      </c>
      <c r="AS290" s="281"/>
      <c r="AT290" s="273" t="e">
        <f t="shared" si="48"/>
        <v>#REF!</v>
      </c>
      <c r="AU290" s="273" t="e">
        <f t="shared" si="55"/>
        <v>#REF!</v>
      </c>
      <c r="AV290" s="281"/>
      <c r="AW290" s="273" t="e">
        <f t="shared" si="49"/>
        <v>#REF!</v>
      </c>
      <c r="AX290" s="273" t="e">
        <f t="shared" si="56"/>
        <v>#REF!</v>
      </c>
      <c r="YS290" s="38" t="e">
        <f>RIGHT(CONCATENATE(0,#REF!),7)</f>
        <v>#REF!</v>
      </c>
    </row>
    <row r="291" spans="1:669" hidden="1">
      <c r="A291" s="35">
        <v>9</v>
      </c>
      <c r="B291" s="38">
        <v>1</v>
      </c>
      <c r="C291" s="37" t="s">
        <v>68</v>
      </c>
      <c r="D291" s="37">
        <v>9</v>
      </c>
      <c r="E291" s="37" t="s">
        <v>93</v>
      </c>
      <c r="F291" s="37">
        <v>8</v>
      </c>
      <c r="G291" s="38" t="s">
        <v>94</v>
      </c>
      <c r="H291" s="38">
        <f t="shared" si="50"/>
        <v>370</v>
      </c>
      <c r="I291" s="62">
        <f t="shared" si="28"/>
        <v>46</v>
      </c>
      <c r="J291" s="38">
        <f t="shared" si="51"/>
        <v>824</v>
      </c>
      <c r="K291" s="38" t="str">
        <f t="shared" si="29"/>
        <v>Chejerla</v>
      </c>
      <c r="L291" s="38">
        <f t="shared" si="52"/>
        <v>824</v>
      </c>
      <c r="M291" s="38" t="str">
        <f t="shared" si="30"/>
        <v>Chejerla</v>
      </c>
      <c r="N291" s="38" t="str">
        <f>G300</f>
        <v>Sri Pottisreeramulu Nellore</v>
      </c>
      <c r="P291" s="38">
        <v>9</v>
      </c>
      <c r="Q291" s="222" t="s">
        <v>95</v>
      </c>
      <c r="S291" s="222">
        <v>123450003</v>
      </c>
      <c r="T291" s="222" t="str">
        <f t="shared" si="31"/>
        <v>Twelve  Crores  Thirty Four  Lakhs  Fifty Thousand and Three</v>
      </c>
      <c r="U291" s="222">
        <f t="shared" si="32"/>
        <v>120000000</v>
      </c>
      <c r="V291" s="222">
        <f t="shared" si="33"/>
        <v>12</v>
      </c>
      <c r="W291" s="222" t="str">
        <f t="shared" si="34"/>
        <v xml:space="preserve">Twelve  Crores  </v>
      </c>
      <c r="X291" s="222">
        <f t="shared" si="35"/>
        <v>3400000</v>
      </c>
      <c r="Y291" s="715">
        <f t="shared" si="36"/>
        <v>34</v>
      </c>
      <c r="Z291" s="222" t="str">
        <f t="shared" si="37"/>
        <v xml:space="preserve">Thirty Four  Lakhs  </v>
      </c>
      <c r="AA291" s="222">
        <f t="shared" si="38"/>
        <v>50000</v>
      </c>
      <c r="AB291" s="715">
        <f t="shared" si="39"/>
        <v>50</v>
      </c>
      <c r="AC291" s="222" t="str">
        <f t="shared" si="40"/>
        <v xml:space="preserve">Fifty Thousand </v>
      </c>
      <c r="AD291" s="222">
        <f t="shared" si="41"/>
        <v>0</v>
      </c>
      <c r="AE291" s="281">
        <f t="shared" si="42"/>
        <v>0</v>
      </c>
      <c r="AF291" s="222" t="str">
        <f t="shared" si="43"/>
        <v/>
      </c>
      <c r="AG291" s="222">
        <f t="shared" si="44"/>
        <v>3</v>
      </c>
      <c r="AH291" s="281" t="str">
        <f t="shared" si="45"/>
        <v>Three</v>
      </c>
      <c r="AJ291" s="236"/>
      <c r="AK291" s="270">
        <v>4595</v>
      </c>
      <c r="AL291" s="270">
        <v>8200</v>
      </c>
      <c r="AN291" s="273" t="e">
        <f t="shared" si="46"/>
        <v>#REF!</v>
      </c>
      <c r="AO291" s="273" t="e">
        <f t="shared" si="53"/>
        <v>#REF!</v>
      </c>
      <c r="AQ291" s="273" t="e">
        <f t="shared" si="47"/>
        <v>#REF!</v>
      </c>
      <c r="AR291" s="273" t="e">
        <f t="shared" si="54"/>
        <v>#REF!</v>
      </c>
      <c r="AS291" s="281"/>
      <c r="AT291" s="273" t="e">
        <f t="shared" si="48"/>
        <v>#REF!</v>
      </c>
      <c r="AU291" s="273" t="e">
        <f t="shared" si="55"/>
        <v>#REF!</v>
      </c>
      <c r="AV291" s="281"/>
      <c r="AW291" s="273" t="e">
        <f t="shared" si="49"/>
        <v>#REF!</v>
      </c>
      <c r="AX291" s="273" t="e">
        <f t="shared" si="56"/>
        <v>#REF!</v>
      </c>
      <c r="YS291" s="38" t="e">
        <f>RIGHT(CONCATENATE(0,#REF!),7)</f>
        <v>#REF!</v>
      </c>
    </row>
    <row r="292" spans="1:669" hidden="1">
      <c r="A292" s="35">
        <v>10</v>
      </c>
      <c r="B292" s="38">
        <v>1</v>
      </c>
      <c r="C292" s="37" t="s">
        <v>68</v>
      </c>
      <c r="D292" s="37">
        <v>10</v>
      </c>
      <c r="E292" s="37" t="s">
        <v>96</v>
      </c>
      <c r="F292" s="37">
        <v>9</v>
      </c>
      <c r="G292" s="38" t="s">
        <v>97</v>
      </c>
      <c r="H292" s="38">
        <f t="shared" si="50"/>
        <v>416</v>
      </c>
      <c r="I292" s="62">
        <f t="shared" si="28"/>
        <v>50</v>
      </c>
      <c r="J292" s="38">
        <f t="shared" si="51"/>
        <v>825</v>
      </c>
      <c r="K292" s="38" t="str">
        <f t="shared" si="29"/>
        <v>Chillakur</v>
      </c>
      <c r="L292" s="38">
        <f t="shared" si="52"/>
        <v>825</v>
      </c>
      <c r="M292" s="38" t="str">
        <f t="shared" si="30"/>
        <v>Chillakur</v>
      </c>
      <c r="N292" s="38" t="str">
        <f>G301</f>
        <v>Srikakulam</v>
      </c>
      <c r="P292" s="38">
        <v>10</v>
      </c>
      <c r="Q292" s="222" t="s">
        <v>98</v>
      </c>
      <c r="S292" s="222">
        <v>123450004</v>
      </c>
      <c r="T292" s="222" t="str">
        <f t="shared" si="31"/>
        <v>Twelve  Crores  Thirty Four  Lakhs  Fifty Thousand and Four</v>
      </c>
      <c r="U292" s="222">
        <f t="shared" si="32"/>
        <v>120000000</v>
      </c>
      <c r="V292" s="222">
        <f t="shared" si="33"/>
        <v>12</v>
      </c>
      <c r="W292" s="222" t="str">
        <f t="shared" si="34"/>
        <v xml:space="preserve">Twelve  Crores  </v>
      </c>
      <c r="X292" s="222">
        <f t="shared" si="35"/>
        <v>3400000</v>
      </c>
      <c r="Y292" s="715">
        <f t="shared" si="36"/>
        <v>34</v>
      </c>
      <c r="Z292" s="222" t="str">
        <f t="shared" si="37"/>
        <v xml:space="preserve">Thirty Four  Lakhs  </v>
      </c>
      <c r="AA292" s="222">
        <f t="shared" si="38"/>
        <v>50000</v>
      </c>
      <c r="AB292" s="715">
        <f t="shared" si="39"/>
        <v>50</v>
      </c>
      <c r="AC292" s="222" t="str">
        <f t="shared" si="40"/>
        <v xml:space="preserve">Fifty Thousand </v>
      </c>
      <c r="AD292" s="222">
        <f t="shared" si="41"/>
        <v>0</v>
      </c>
      <c r="AE292" s="281">
        <f t="shared" si="42"/>
        <v>0</v>
      </c>
      <c r="AF292" s="222" t="str">
        <f t="shared" si="43"/>
        <v/>
      </c>
      <c r="AG292" s="222">
        <f t="shared" si="44"/>
        <v>4</v>
      </c>
      <c r="AH292" s="281" t="str">
        <f t="shared" si="45"/>
        <v>Four</v>
      </c>
      <c r="AJ292" s="236"/>
      <c r="AK292" s="270">
        <v>4710</v>
      </c>
      <c r="AL292" s="270">
        <v>8440</v>
      </c>
      <c r="AN292" s="273" t="e">
        <f t="shared" si="46"/>
        <v>#REF!</v>
      </c>
      <c r="AO292" s="273" t="e">
        <f t="shared" si="53"/>
        <v>#REF!</v>
      </c>
      <c r="AQ292" s="273" t="e">
        <f t="shared" si="47"/>
        <v>#REF!</v>
      </c>
      <c r="AR292" s="273" t="e">
        <f t="shared" si="54"/>
        <v>#REF!</v>
      </c>
      <c r="AS292" s="281"/>
      <c r="AT292" s="273" t="e">
        <f t="shared" si="48"/>
        <v>#REF!</v>
      </c>
      <c r="AU292" s="273" t="e">
        <f t="shared" si="55"/>
        <v>#REF!</v>
      </c>
      <c r="AV292" s="281"/>
      <c r="AW292" s="273" t="e">
        <f t="shared" si="49"/>
        <v>#REF!</v>
      </c>
      <c r="AX292" s="273" t="e">
        <f t="shared" si="56"/>
        <v>#REF!</v>
      </c>
      <c r="YS292" s="38" t="e">
        <f>RIGHT(CONCATENATE(0,#REF!),7)</f>
        <v>#REF!</v>
      </c>
    </row>
    <row r="293" spans="1:669" hidden="1">
      <c r="A293" s="35">
        <v>11</v>
      </c>
      <c r="B293" s="38">
        <v>1</v>
      </c>
      <c r="C293" s="37" t="s">
        <v>68</v>
      </c>
      <c r="D293" s="37">
        <v>11</v>
      </c>
      <c r="E293" s="37" t="s">
        <v>99</v>
      </c>
      <c r="F293" s="37">
        <v>10</v>
      </c>
      <c r="G293" s="38" t="s">
        <v>100</v>
      </c>
      <c r="H293" s="38">
        <f t="shared" si="50"/>
        <v>466</v>
      </c>
      <c r="I293" s="62">
        <f t="shared" si="28"/>
        <v>54</v>
      </c>
      <c r="J293" s="38">
        <f t="shared" si="51"/>
        <v>826</v>
      </c>
      <c r="K293" s="38" t="str">
        <f t="shared" si="29"/>
        <v>Chittamur</v>
      </c>
      <c r="L293" s="38">
        <f t="shared" si="52"/>
        <v>826</v>
      </c>
      <c r="M293" s="38" t="str">
        <f t="shared" si="30"/>
        <v>Chittamur</v>
      </c>
      <c r="N293" s="38" t="str">
        <f>G302</f>
        <v>Visakhapatnam</v>
      </c>
      <c r="P293" s="38">
        <v>11</v>
      </c>
      <c r="Q293" s="222" t="s">
        <v>101</v>
      </c>
      <c r="S293" s="222">
        <v>123450005</v>
      </c>
      <c r="T293" s="222" t="str">
        <f t="shared" si="31"/>
        <v>Twelve  Crores  Thirty Four  Lakhs  Fifty Thousand and Five</v>
      </c>
      <c r="U293" s="222">
        <f t="shared" si="32"/>
        <v>120000000</v>
      </c>
      <c r="V293" s="222">
        <f t="shared" si="33"/>
        <v>12</v>
      </c>
      <c r="W293" s="222" t="str">
        <f t="shared" si="34"/>
        <v xml:space="preserve">Twelve  Crores  </v>
      </c>
      <c r="X293" s="222">
        <f t="shared" si="35"/>
        <v>3400000</v>
      </c>
      <c r="Y293" s="715">
        <f t="shared" si="36"/>
        <v>34</v>
      </c>
      <c r="Z293" s="222" t="str">
        <f t="shared" si="37"/>
        <v xml:space="preserve">Thirty Four  Lakhs  </v>
      </c>
      <c r="AA293" s="222">
        <f t="shared" si="38"/>
        <v>50000</v>
      </c>
      <c r="AB293" s="715">
        <f t="shared" si="39"/>
        <v>50</v>
      </c>
      <c r="AC293" s="222" t="str">
        <f t="shared" si="40"/>
        <v xml:space="preserve">Fifty Thousand </v>
      </c>
      <c r="AD293" s="222">
        <f t="shared" si="41"/>
        <v>0</v>
      </c>
      <c r="AE293" s="281">
        <f t="shared" si="42"/>
        <v>0</v>
      </c>
      <c r="AF293" s="222" t="str">
        <f t="shared" si="43"/>
        <v/>
      </c>
      <c r="AG293" s="222">
        <f t="shared" si="44"/>
        <v>5</v>
      </c>
      <c r="AH293" s="281" t="str">
        <f t="shared" si="45"/>
        <v>Five</v>
      </c>
      <c r="AJ293" s="236"/>
      <c r="AK293" s="270">
        <v>4825</v>
      </c>
      <c r="AL293" s="270">
        <v>8680</v>
      </c>
      <c r="AN293" s="273" t="e">
        <f t="shared" si="46"/>
        <v>#REF!</v>
      </c>
      <c r="AO293" s="273" t="e">
        <f t="shared" si="53"/>
        <v>#REF!</v>
      </c>
      <c r="AQ293" s="273" t="e">
        <f t="shared" si="47"/>
        <v>#REF!</v>
      </c>
      <c r="AR293" s="273" t="e">
        <f t="shared" si="54"/>
        <v>#REF!</v>
      </c>
      <c r="AS293" s="281"/>
      <c r="AT293" s="273" t="e">
        <f t="shared" si="48"/>
        <v>#REF!</v>
      </c>
      <c r="AU293" s="273" t="e">
        <f t="shared" si="55"/>
        <v>#REF!</v>
      </c>
      <c r="AV293" s="281"/>
      <c r="AW293" s="273" t="e">
        <f t="shared" si="49"/>
        <v>#REF!</v>
      </c>
      <c r="AX293" s="273" t="e">
        <f t="shared" si="56"/>
        <v>#REF!</v>
      </c>
      <c r="YS293" s="38" t="e">
        <f>RIGHT(CONCATENATE(0,#REF!),7)</f>
        <v>#REF!</v>
      </c>
    </row>
    <row r="294" spans="1:669" hidden="1">
      <c r="A294" s="35">
        <v>12</v>
      </c>
      <c r="B294" s="38">
        <v>1</v>
      </c>
      <c r="C294" s="37" t="s">
        <v>68</v>
      </c>
      <c r="D294" s="37">
        <v>12</v>
      </c>
      <c r="E294" s="37" t="s">
        <v>102</v>
      </c>
      <c r="F294" s="37">
        <v>11</v>
      </c>
      <c r="G294" s="38" t="s">
        <v>103</v>
      </c>
      <c r="H294" s="38">
        <f t="shared" si="50"/>
        <v>520</v>
      </c>
      <c r="I294" s="62">
        <f t="shared" si="28"/>
        <v>64</v>
      </c>
      <c r="J294" s="38">
        <f t="shared" si="51"/>
        <v>827</v>
      </c>
      <c r="K294" s="38" t="str">
        <f t="shared" si="29"/>
        <v>Dagadarthi</v>
      </c>
      <c r="L294" s="38">
        <f t="shared" si="52"/>
        <v>827</v>
      </c>
      <c r="M294" s="38" t="str">
        <f t="shared" si="30"/>
        <v>Dagadarthi</v>
      </c>
      <c r="N294" s="38" t="str">
        <f>G303</f>
        <v>Vizianagaram</v>
      </c>
      <c r="P294" s="38">
        <v>12</v>
      </c>
      <c r="Q294" s="222" t="s">
        <v>104</v>
      </c>
      <c r="S294" s="222">
        <v>123450006</v>
      </c>
      <c r="T294" s="222" t="str">
        <f t="shared" si="31"/>
        <v>Twelve  Crores  Thirty Four  Lakhs  Fifty Thousand and Six</v>
      </c>
      <c r="U294" s="222">
        <f t="shared" si="32"/>
        <v>120000000</v>
      </c>
      <c r="V294" s="222">
        <f t="shared" si="33"/>
        <v>12</v>
      </c>
      <c r="W294" s="222" t="str">
        <f t="shared" si="34"/>
        <v xml:space="preserve">Twelve  Crores  </v>
      </c>
      <c r="X294" s="222">
        <f t="shared" si="35"/>
        <v>3400000</v>
      </c>
      <c r="Y294" s="715">
        <f t="shared" si="36"/>
        <v>34</v>
      </c>
      <c r="Z294" s="222" t="str">
        <f t="shared" si="37"/>
        <v xml:space="preserve">Thirty Four  Lakhs  </v>
      </c>
      <c r="AA294" s="222">
        <f t="shared" si="38"/>
        <v>50000</v>
      </c>
      <c r="AB294" s="715">
        <f t="shared" si="39"/>
        <v>50</v>
      </c>
      <c r="AC294" s="222" t="str">
        <f t="shared" si="40"/>
        <v xml:space="preserve">Fifty Thousand </v>
      </c>
      <c r="AD294" s="222">
        <f t="shared" si="41"/>
        <v>0</v>
      </c>
      <c r="AE294" s="281">
        <f t="shared" si="42"/>
        <v>0</v>
      </c>
      <c r="AF294" s="222" t="str">
        <f t="shared" si="43"/>
        <v/>
      </c>
      <c r="AG294" s="222">
        <f t="shared" si="44"/>
        <v>6</v>
      </c>
      <c r="AH294" s="281" t="str">
        <f t="shared" si="45"/>
        <v>Six</v>
      </c>
      <c r="AJ294" s="236"/>
      <c r="AK294" s="270">
        <v>4950</v>
      </c>
      <c r="AL294" s="270">
        <v>8940</v>
      </c>
      <c r="AN294" s="273" t="e">
        <f t="shared" si="46"/>
        <v>#REF!</v>
      </c>
      <c r="AO294" s="273" t="e">
        <f t="shared" si="53"/>
        <v>#REF!</v>
      </c>
      <c r="AQ294" s="273" t="e">
        <f t="shared" si="47"/>
        <v>#REF!</v>
      </c>
      <c r="AR294" s="273" t="e">
        <f t="shared" si="54"/>
        <v>#REF!</v>
      </c>
      <c r="AS294" s="281"/>
      <c r="AT294" s="273" t="e">
        <f t="shared" si="48"/>
        <v>#REF!</v>
      </c>
      <c r="AU294" s="273" t="e">
        <f t="shared" si="55"/>
        <v>#REF!</v>
      </c>
      <c r="AV294" s="281"/>
      <c r="AW294" s="273" t="e">
        <f t="shared" si="49"/>
        <v>#REF!</v>
      </c>
      <c r="AX294" s="273" t="e">
        <f t="shared" si="56"/>
        <v>#REF!</v>
      </c>
      <c r="YS294" s="38" t="e">
        <f>RIGHT(CONCATENATE(0,#REF!),7)</f>
        <v>#REF!</v>
      </c>
    </row>
    <row r="295" spans="1:669" hidden="1">
      <c r="A295" s="35">
        <v>13</v>
      </c>
      <c r="B295" s="38">
        <v>1</v>
      </c>
      <c r="C295" s="37" t="s">
        <v>68</v>
      </c>
      <c r="D295" s="37">
        <v>13</v>
      </c>
      <c r="E295" s="37" t="s">
        <v>105</v>
      </c>
      <c r="F295" s="37">
        <v>12</v>
      </c>
      <c r="G295" s="38" t="s">
        <v>106</v>
      </c>
      <c r="H295" s="38">
        <f t="shared" si="50"/>
        <v>584</v>
      </c>
      <c r="I295" s="62">
        <f t="shared" si="28"/>
        <v>45</v>
      </c>
      <c r="J295" s="38">
        <f t="shared" si="51"/>
        <v>828</v>
      </c>
      <c r="K295" s="38" t="str">
        <f t="shared" si="29"/>
        <v>Dakkili</v>
      </c>
      <c r="L295" s="38">
        <f t="shared" si="52"/>
        <v>828</v>
      </c>
      <c r="M295" s="38" t="str">
        <f t="shared" si="30"/>
        <v>Dakkili</v>
      </c>
      <c r="N295" s="38" t="str">
        <f>G305</f>
        <v>West Godavari</v>
      </c>
      <c r="P295" s="38">
        <v>13</v>
      </c>
      <c r="Q295" s="222" t="s">
        <v>107</v>
      </c>
      <c r="S295" s="222">
        <v>123450007</v>
      </c>
      <c r="T295" s="222" t="str">
        <f t="shared" si="31"/>
        <v>Twelve  Crores  Thirty Four  Lakhs  Fifty Thousand and Seven</v>
      </c>
      <c r="U295" s="222">
        <f t="shared" si="32"/>
        <v>120000000</v>
      </c>
      <c r="V295" s="222">
        <f t="shared" si="33"/>
        <v>12</v>
      </c>
      <c r="W295" s="222" t="str">
        <f t="shared" si="34"/>
        <v xml:space="preserve">Twelve  Crores  </v>
      </c>
      <c r="X295" s="222">
        <f t="shared" si="35"/>
        <v>3400000</v>
      </c>
      <c r="Y295" s="715">
        <f t="shared" si="36"/>
        <v>34</v>
      </c>
      <c r="Z295" s="222" t="str">
        <f t="shared" si="37"/>
        <v xml:space="preserve">Thirty Four  Lakhs  </v>
      </c>
      <c r="AA295" s="222">
        <f t="shared" si="38"/>
        <v>50000</v>
      </c>
      <c r="AB295" s="715">
        <f t="shared" si="39"/>
        <v>50</v>
      </c>
      <c r="AC295" s="222" t="str">
        <f t="shared" si="40"/>
        <v xml:space="preserve">Fifty Thousand </v>
      </c>
      <c r="AD295" s="222">
        <f t="shared" si="41"/>
        <v>0</v>
      </c>
      <c r="AE295" s="281">
        <f t="shared" si="42"/>
        <v>0</v>
      </c>
      <c r="AF295" s="222" t="str">
        <f t="shared" si="43"/>
        <v/>
      </c>
      <c r="AG295" s="222">
        <f t="shared" si="44"/>
        <v>7</v>
      </c>
      <c r="AH295" s="281" t="str">
        <f t="shared" si="45"/>
        <v>Seven</v>
      </c>
      <c r="AJ295" s="236"/>
      <c r="AK295" s="270">
        <v>5075</v>
      </c>
      <c r="AL295" s="270">
        <v>9200</v>
      </c>
      <c r="AN295" s="273" t="e">
        <f t="shared" si="46"/>
        <v>#REF!</v>
      </c>
      <c r="AO295" s="273" t="e">
        <f t="shared" si="53"/>
        <v>#REF!</v>
      </c>
      <c r="AQ295" s="273" t="e">
        <f t="shared" si="47"/>
        <v>#REF!</v>
      </c>
      <c r="AR295" s="273" t="e">
        <f t="shared" si="54"/>
        <v>#REF!</v>
      </c>
      <c r="AS295" s="281"/>
      <c r="AT295" s="273" t="e">
        <f t="shared" si="48"/>
        <v>#REF!</v>
      </c>
      <c r="AU295" s="273" t="e">
        <f t="shared" si="55"/>
        <v>#REF!</v>
      </c>
      <c r="AV295" s="281"/>
      <c r="AW295" s="273" t="e">
        <f t="shared" si="49"/>
        <v>#REF!</v>
      </c>
      <c r="AX295" s="273" t="e">
        <f t="shared" si="56"/>
        <v>#REF!</v>
      </c>
      <c r="YS295" s="38" t="e">
        <f>RIGHT(CONCATENATE(0,#REF!),7)</f>
        <v>#REF!</v>
      </c>
    </row>
    <row r="296" spans="1:669" hidden="1">
      <c r="A296" s="35">
        <v>14</v>
      </c>
      <c r="B296" s="38">
        <v>1</v>
      </c>
      <c r="C296" s="37" t="s">
        <v>68</v>
      </c>
      <c r="D296" s="37">
        <v>14</v>
      </c>
      <c r="E296" s="37" t="s">
        <v>108</v>
      </c>
      <c r="F296" s="37">
        <v>13</v>
      </c>
      <c r="G296" s="38" t="s">
        <v>109</v>
      </c>
      <c r="H296" s="38">
        <f t="shared" si="50"/>
        <v>629</v>
      </c>
      <c r="I296" s="62">
        <f t="shared" si="28"/>
        <v>59</v>
      </c>
      <c r="J296" s="38">
        <f t="shared" si="51"/>
        <v>829</v>
      </c>
      <c r="K296" s="38" t="str">
        <f t="shared" si="29"/>
        <v>Doravarisatram</v>
      </c>
      <c r="L296" s="38">
        <f t="shared" si="52"/>
        <v>829</v>
      </c>
      <c r="M296" s="38" t="str">
        <f t="shared" si="30"/>
        <v>Doravarisatram</v>
      </c>
      <c r="N296" s="38" t="str">
        <f>G306</f>
        <v>Y.S.R (Kaddapah)</v>
      </c>
      <c r="P296" s="38">
        <v>14</v>
      </c>
      <c r="Q296" s="222" t="s">
        <v>110</v>
      </c>
      <c r="S296" s="222">
        <v>123450008</v>
      </c>
      <c r="T296" s="222" t="str">
        <f t="shared" si="31"/>
        <v>Twelve  Crores  Thirty Four  Lakhs  Fifty Thousand and Eight</v>
      </c>
      <c r="U296" s="222">
        <f t="shared" si="32"/>
        <v>120000000</v>
      </c>
      <c r="V296" s="222">
        <f t="shared" si="33"/>
        <v>12</v>
      </c>
      <c r="W296" s="222" t="str">
        <f t="shared" si="34"/>
        <v xml:space="preserve">Twelve  Crores  </v>
      </c>
      <c r="X296" s="222">
        <f t="shared" si="35"/>
        <v>3400000</v>
      </c>
      <c r="Y296" s="715">
        <f t="shared" si="36"/>
        <v>34</v>
      </c>
      <c r="Z296" s="222" t="str">
        <f t="shared" si="37"/>
        <v xml:space="preserve">Thirty Four  Lakhs  </v>
      </c>
      <c r="AA296" s="222">
        <f t="shared" si="38"/>
        <v>50000</v>
      </c>
      <c r="AB296" s="715">
        <f t="shared" si="39"/>
        <v>50</v>
      </c>
      <c r="AC296" s="222" t="str">
        <f t="shared" si="40"/>
        <v xml:space="preserve">Fifty Thousand </v>
      </c>
      <c r="AD296" s="222">
        <f t="shared" si="41"/>
        <v>0</v>
      </c>
      <c r="AE296" s="281">
        <f t="shared" si="42"/>
        <v>0</v>
      </c>
      <c r="AF296" s="222" t="str">
        <f t="shared" si="43"/>
        <v/>
      </c>
      <c r="AG296" s="222">
        <f t="shared" si="44"/>
        <v>8</v>
      </c>
      <c r="AH296" s="281" t="str">
        <f t="shared" si="45"/>
        <v>Eight</v>
      </c>
      <c r="AJ296" s="236"/>
      <c r="AK296" s="270">
        <v>5200</v>
      </c>
      <c r="AL296" s="270">
        <v>9460</v>
      </c>
      <c r="AN296" s="273" t="e">
        <f t="shared" si="46"/>
        <v>#REF!</v>
      </c>
      <c r="AO296" s="273" t="e">
        <f t="shared" si="53"/>
        <v>#REF!</v>
      </c>
      <c r="AQ296" s="273" t="e">
        <f t="shared" si="47"/>
        <v>#REF!</v>
      </c>
      <c r="AR296" s="273" t="e">
        <f t="shared" si="54"/>
        <v>#REF!</v>
      </c>
      <c r="AS296" s="281"/>
      <c r="AT296" s="273" t="e">
        <f t="shared" si="48"/>
        <v>#REF!</v>
      </c>
      <c r="AU296" s="273" t="e">
        <f t="shared" si="55"/>
        <v>#REF!</v>
      </c>
      <c r="AV296" s="281"/>
      <c r="AW296" s="273" t="e">
        <f t="shared" si="49"/>
        <v>#REF!</v>
      </c>
      <c r="AX296" s="273" t="e">
        <f t="shared" si="56"/>
        <v>#REF!</v>
      </c>
      <c r="YS296" s="38" t="e">
        <f>RIGHT(CONCATENATE(0,#REF!),7)</f>
        <v>#REF!</v>
      </c>
    </row>
    <row r="297" spans="1:669" hidden="1">
      <c r="A297" s="35">
        <v>15</v>
      </c>
      <c r="B297" s="38">
        <v>1</v>
      </c>
      <c r="C297" s="37" t="s">
        <v>68</v>
      </c>
      <c r="D297" s="37">
        <v>15</v>
      </c>
      <c r="E297" s="37" t="s">
        <v>111</v>
      </c>
      <c r="F297" s="37">
        <v>14</v>
      </c>
      <c r="G297" s="38" t="s">
        <v>112</v>
      </c>
      <c r="H297" s="38">
        <f t="shared" si="50"/>
        <v>688</v>
      </c>
      <c r="I297" s="62">
        <f t="shared" si="28"/>
        <v>36</v>
      </c>
      <c r="J297" s="38">
        <f t="shared" si="51"/>
        <v>830</v>
      </c>
      <c r="K297" s="38" t="str">
        <f t="shared" si="29"/>
        <v>Duttalur</v>
      </c>
      <c r="L297" s="38">
        <f t="shared" si="52"/>
        <v>830</v>
      </c>
      <c r="M297" s="38" t="str">
        <f t="shared" si="30"/>
        <v>Duttalur</v>
      </c>
      <c r="N297" s="38" t="str">
        <f>G284</f>
        <v>Adilabad</v>
      </c>
      <c r="P297" s="38">
        <v>15</v>
      </c>
      <c r="Q297" s="222" t="s">
        <v>113</v>
      </c>
      <c r="S297" s="222">
        <v>123450009</v>
      </c>
      <c r="T297" s="222" t="str">
        <f t="shared" si="31"/>
        <v>Twelve  Crores  Thirty Four  Lakhs  Fifty Thousand and Nine</v>
      </c>
      <c r="U297" s="222">
        <f t="shared" si="32"/>
        <v>120000000</v>
      </c>
      <c r="V297" s="222">
        <f t="shared" si="33"/>
        <v>12</v>
      </c>
      <c r="W297" s="222" t="str">
        <f t="shared" si="34"/>
        <v xml:space="preserve">Twelve  Crores  </v>
      </c>
      <c r="X297" s="222">
        <f t="shared" si="35"/>
        <v>3400000</v>
      </c>
      <c r="Y297" s="715">
        <f t="shared" si="36"/>
        <v>34</v>
      </c>
      <c r="Z297" s="222" t="str">
        <f t="shared" si="37"/>
        <v xml:space="preserve">Thirty Four  Lakhs  </v>
      </c>
      <c r="AA297" s="222">
        <f t="shared" si="38"/>
        <v>50000</v>
      </c>
      <c r="AB297" s="715">
        <f t="shared" si="39"/>
        <v>50</v>
      </c>
      <c r="AC297" s="222" t="str">
        <f t="shared" si="40"/>
        <v xml:space="preserve">Fifty Thousand </v>
      </c>
      <c r="AD297" s="222">
        <f t="shared" si="41"/>
        <v>0</v>
      </c>
      <c r="AE297" s="281">
        <f t="shared" si="42"/>
        <v>0</v>
      </c>
      <c r="AF297" s="222" t="str">
        <f t="shared" si="43"/>
        <v/>
      </c>
      <c r="AG297" s="222">
        <f t="shared" si="44"/>
        <v>9</v>
      </c>
      <c r="AH297" s="281" t="str">
        <f t="shared" si="45"/>
        <v>Nine</v>
      </c>
      <c r="AJ297" s="236"/>
      <c r="AK297" s="270">
        <v>5335</v>
      </c>
      <c r="AL297" s="270">
        <v>9740</v>
      </c>
      <c r="AN297" s="273" t="e">
        <f t="shared" si="46"/>
        <v>#REF!</v>
      </c>
      <c r="AO297" s="273" t="e">
        <f t="shared" si="53"/>
        <v>#REF!</v>
      </c>
      <c r="AQ297" s="273" t="e">
        <f t="shared" si="47"/>
        <v>#REF!</v>
      </c>
      <c r="AR297" s="273" t="e">
        <f t="shared" si="54"/>
        <v>#REF!</v>
      </c>
      <c r="AS297" s="281"/>
      <c r="AT297" s="273" t="e">
        <f t="shared" si="48"/>
        <v>#REF!</v>
      </c>
      <c r="AU297" s="273" t="e">
        <f t="shared" si="55"/>
        <v>#REF!</v>
      </c>
      <c r="AV297" s="281"/>
      <c r="AW297" s="273" t="e">
        <f t="shared" si="49"/>
        <v>#REF!</v>
      </c>
      <c r="AX297" s="273" t="e">
        <f t="shared" si="56"/>
        <v>#REF!</v>
      </c>
      <c r="YS297" s="38" t="e">
        <f>RIGHT(CONCATENATE(0,#REF!),7)</f>
        <v>#REF!</v>
      </c>
    </row>
    <row r="298" spans="1:669" hidden="1">
      <c r="A298" s="35">
        <v>16</v>
      </c>
      <c r="B298" s="38">
        <v>1</v>
      </c>
      <c r="C298" s="37" t="s">
        <v>68</v>
      </c>
      <c r="D298" s="37">
        <v>16</v>
      </c>
      <c r="E298" s="37" t="s">
        <v>114</v>
      </c>
      <c r="F298" s="37">
        <v>15</v>
      </c>
      <c r="G298" s="38" t="s">
        <v>66</v>
      </c>
      <c r="H298" s="38">
        <f t="shared" si="50"/>
        <v>724</v>
      </c>
      <c r="I298" s="62">
        <f t="shared" si="28"/>
        <v>56</v>
      </c>
      <c r="J298" s="38">
        <f t="shared" si="51"/>
        <v>831</v>
      </c>
      <c r="K298" s="38" t="str">
        <f t="shared" si="29"/>
        <v>Gudur</v>
      </c>
      <c r="L298" s="38">
        <f t="shared" si="52"/>
        <v>831</v>
      </c>
      <c r="M298" s="38" t="str">
        <f t="shared" si="30"/>
        <v>Gudur</v>
      </c>
      <c r="N298" s="38" t="str">
        <f>G289</f>
        <v>Hyderabad</v>
      </c>
      <c r="P298" s="38">
        <v>16</v>
      </c>
      <c r="Q298" s="222" t="s">
        <v>115</v>
      </c>
      <c r="S298" s="222">
        <v>123450010</v>
      </c>
      <c r="T298" s="222" t="str">
        <f t="shared" si="31"/>
        <v>Twelve  Crores  Thirty Four  Lakhs  Fifty Thousand and Ten</v>
      </c>
      <c r="U298" s="222">
        <f t="shared" si="32"/>
        <v>120000000</v>
      </c>
      <c r="V298" s="222">
        <f t="shared" si="33"/>
        <v>12</v>
      </c>
      <c r="W298" s="222" t="str">
        <f t="shared" si="34"/>
        <v xml:space="preserve">Twelve  Crores  </v>
      </c>
      <c r="X298" s="222">
        <f t="shared" si="35"/>
        <v>3400000</v>
      </c>
      <c r="Y298" s="715">
        <f t="shared" si="36"/>
        <v>34</v>
      </c>
      <c r="Z298" s="222" t="str">
        <f t="shared" si="37"/>
        <v xml:space="preserve">Thirty Four  Lakhs  </v>
      </c>
      <c r="AA298" s="222">
        <f t="shared" si="38"/>
        <v>50000</v>
      </c>
      <c r="AB298" s="715">
        <f t="shared" si="39"/>
        <v>50</v>
      </c>
      <c r="AC298" s="222" t="str">
        <f t="shared" si="40"/>
        <v xml:space="preserve">Fifty Thousand </v>
      </c>
      <c r="AD298" s="222">
        <f t="shared" si="41"/>
        <v>0</v>
      </c>
      <c r="AE298" s="281">
        <f t="shared" si="42"/>
        <v>0</v>
      </c>
      <c r="AF298" s="222" t="str">
        <f t="shared" si="43"/>
        <v/>
      </c>
      <c r="AG298" s="222">
        <f t="shared" si="44"/>
        <v>10</v>
      </c>
      <c r="AH298" s="281" t="str">
        <f t="shared" si="45"/>
        <v>Ten</v>
      </c>
      <c r="AJ298" s="236"/>
      <c r="AK298" s="270">
        <v>5470</v>
      </c>
      <c r="AL298" s="270">
        <v>10020</v>
      </c>
      <c r="AN298" s="273" t="e">
        <f t="shared" si="46"/>
        <v>#REF!</v>
      </c>
      <c r="AO298" s="273" t="e">
        <f t="shared" si="53"/>
        <v>#REF!</v>
      </c>
      <c r="AQ298" s="273" t="e">
        <f t="shared" si="47"/>
        <v>#REF!</v>
      </c>
      <c r="AR298" s="273" t="e">
        <f t="shared" si="54"/>
        <v>#REF!</v>
      </c>
      <c r="AS298" s="281"/>
      <c r="AT298" s="273" t="e">
        <f t="shared" si="48"/>
        <v>#REF!</v>
      </c>
      <c r="AU298" s="273" t="e">
        <f t="shared" si="55"/>
        <v>#REF!</v>
      </c>
      <c r="AV298" s="281"/>
      <c r="AW298" s="273" t="e">
        <f t="shared" si="49"/>
        <v>#REF!</v>
      </c>
      <c r="AX298" s="273" t="e">
        <f t="shared" si="56"/>
        <v>#REF!</v>
      </c>
      <c r="YS298" s="38" t="e">
        <f>RIGHT(CONCATENATE(0,#REF!),7)</f>
        <v>#REF!</v>
      </c>
    </row>
    <row r="299" spans="1:669" hidden="1">
      <c r="A299" s="35">
        <v>17</v>
      </c>
      <c r="B299" s="38">
        <v>1</v>
      </c>
      <c r="C299" s="37" t="s">
        <v>68</v>
      </c>
      <c r="D299" s="37">
        <v>17</v>
      </c>
      <c r="E299" s="37" t="s">
        <v>116</v>
      </c>
      <c r="F299" s="37">
        <v>16</v>
      </c>
      <c r="G299" s="38" t="s">
        <v>117</v>
      </c>
      <c r="H299" s="38">
        <f t="shared" si="50"/>
        <v>780</v>
      </c>
      <c r="I299" s="62">
        <f t="shared" si="28"/>
        <v>37</v>
      </c>
      <c r="J299" s="38">
        <f t="shared" si="51"/>
        <v>832</v>
      </c>
      <c r="K299" s="38" t="str">
        <f t="shared" si="29"/>
        <v>Indukurpet</v>
      </c>
      <c r="L299" s="38">
        <f t="shared" si="52"/>
        <v>832</v>
      </c>
      <c r="M299" s="38" t="str">
        <f t="shared" si="30"/>
        <v>Indukurpet</v>
      </c>
      <c r="N299" s="38" t="str">
        <f>G290</f>
        <v>Karimnagar</v>
      </c>
      <c r="P299" s="38">
        <v>17</v>
      </c>
      <c r="Q299" s="222" t="s">
        <v>118</v>
      </c>
      <c r="S299" s="222">
        <v>123450011</v>
      </c>
      <c r="T299" s="222" t="str">
        <f t="shared" si="31"/>
        <v>Twelve  Crores  Thirty Four  Lakhs  Fifty Thousand and Eleven</v>
      </c>
      <c r="U299" s="222">
        <f t="shared" si="32"/>
        <v>120000000</v>
      </c>
      <c r="V299" s="222">
        <f t="shared" si="33"/>
        <v>12</v>
      </c>
      <c r="W299" s="222" t="str">
        <f t="shared" si="34"/>
        <v xml:space="preserve">Twelve  Crores  </v>
      </c>
      <c r="X299" s="222">
        <f t="shared" si="35"/>
        <v>3400000</v>
      </c>
      <c r="Y299" s="715">
        <f t="shared" si="36"/>
        <v>34</v>
      </c>
      <c r="Z299" s="222" t="str">
        <f t="shared" si="37"/>
        <v xml:space="preserve">Thirty Four  Lakhs  </v>
      </c>
      <c r="AA299" s="222">
        <f t="shared" si="38"/>
        <v>50000</v>
      </c>
      <c r="AB299" s="715">
        <f t="shared" si="39"/>
        <v>50</v>
      </c>
      <c r="AC299" s="222" t="str">
        <f t="shared" si="40"/>
        <v xml:space="preserve">Fifty Thousand </v>
      </c>
      <c r="AD299" s="222">
        <f t="shared" si="41"/>
        <v>0</v>
      </c>
      <c r="AE299" s="281">
        <f t="shared" si="42"/>
        <v>0</v>
      </c>
      <c r="AF299" s="222" t="str">
        <f t="shared" si="43"/>
        <v/>
      </c>
      <c r="AG299" s="222">
        <f t="shared" si="44"/>
        <v>11</v>
      </c>
      <c r="AH299" s="281" t="str">
        <f t="shared" si="45"/>
        <v>Eleven</v>
      </c>
      <c r="AJ299" s="236"/>
      <c r="AK299" s="270">
        <v>5605</v>
      </c>
      <c r="AL299" s="270">
        <v>10300</v>
      </c>
      <c r="AN299" s="273" t="e">
        <f t="shared" si="46"/>
        <v>#REF!</v>
      </c>
      <c r="AO299" s="273" t="e">
        <f t="shared" si="53"/>
        <v>#REF!</v>
      </c>
      <c r="AQ299" s="273" t="e">
        <f t="shared" si="47"/>
        <v>#REF!</v>
      </c>
      <c r="AR299" s="273" t="e">
        <f t="shared" si="54"/>
        <v>#REF!</v>
      </c>
      <c r="AS299" s="281"/>
      <c r="AT299" s="273" t="e">
        <f t="shared" si="48"/>
        <v>#REF!</v>
      </c>
      <c r="AU299" s="273" t="e">
        <f t="shared" si="55"/>
        <v>#REF!</v>
      </c>
      <c r="AV299" s="281"/>
      <c r="AW299" s="273" t="e">
        <f t="shared" si="49"/>
        <v>#REF!</v>
      </c>
      <c r="AX299" s="273" t="e">
        <f t="shared" si="56"/>
        <v>#REF!</v>
      </c>
      <c r="YS299" s="38" t="e">
        <f>RIGHT(CONCATENATE(0,#REF!),7)</f>
        <v>#REF!</v>
      </c>
    </row>
    <row r="300" spans="1:669" hidden="1">
      <c r="A300" s="35">
        <v>18</v>
      </c>
      <c r="B300" s="38">
        <v>1</v>
      </c>
      <c r="C300" s="37" t="s">
        <v>68</v>
      </c>
      <c r="D300" s="37">
        <v>18</v>
      </c>
      <c r="E300" s="37" t="s">
        <v>119</v>
      </c>
      <c r="F300" s="37">
        <v>17</v>
      </c>
      <c r="G300" s="38" t="s">
        <v>120</v>
      </c>
      <c r="H300" s="38">
        <f t="shared" si="50"/>
        <v>817</v>
      </c>
      <c r="I300" s="62">
        <f t="shared" si="28"/>
        <v>46</v>
      </c>
      <c r="J300" s="38">
        <f t="shared" si="51"/>
        <v>833</v>
      </c>
      <c r="K300" s="38" t="str">
        <f t="shared" si="29"/>
        <v>Jaladanki</v>
      </c>
      <c r="L300" s="38">
        <f t="shared" si="52"/>
        <v>833</v>
      </c>
      <c r="M300" s="38" t="str">
        <f t="shared" si="30"/>
        <v>Jaladanki</v>
      </c>
      <c r="N300" s="38" t="str">
        <f>G291</f>
        <v>Khammam</v>
      </c>
      <c r="P300" s="38">
        <v>18</v>
      </c>
      <c r="Q300" s="222" t="s">
        <v>121</v>
      </c>
      <c r="S300" s="222">
        <v>123450012</v>
      </c>
      <c r="T300" s="222" t="str">
        <f t="shared" si="31"/>
        <v>Twelve  Crores  Thirty Four  Lakhs  Fifty Thousand and Twelve</v>
      </c>
      <c r="U300" s="222">
        <f t="shared" si="32"/>
        <v>120000000</v>
      </c>
      <c r="V300" s="222">
        <f t="shared" si="33"/>
        <v>12</v>
      </c>
      <c r="W300" s="222" t="str">
        <f t="shared" si="34"/>
        <v xml:space="preserve">Twelve  Crores  </v>
      </c>
      <c r="X300" s="222">
        <f t="shared" si="35"/>
        <v>3400000</v>
      </c>
      <c r="Y300" s="715">
        <f t="shared" si="36"/>
        <v>34</v>
      </c>
      <c r="Z300" s="222" t="str">
        <f t="shared" si="37"/>
        <v xml:space="preserve">Thirty Four  Lakhs  </v>
      </c>
      <c r="AA300" s="222">
        <f t="shared" si="38"/>
        <v>50000</v>
      </c>
      <c r="AB300" s="715">
        <f t="shared" si="39"/>
        <v>50</v>
      </c>
      <c r="AC300" s="222" t="str">
        <f t="shared" si="40"/>
        <v xml:space="preserve">Fifty Thousand </v>
      </c>
      <c r="AD300" s="222">
        <f t="shared" si="41"/>
        <v>0</v>
      </c>
      <c r="AE300" s="281">
        <f t="shared" si="42"/>
        <v>0</v>
      </c>
      <c r="AF300" s="222" t="str">
        <f t="shared" si="43"/>
        <v/>
      </c>
      <c r="AG300" s="222">
        <f t="shared" si="44"/>
        <v>12</v>
      </c>
      <c r="AH300" s="281" t="str">
        <f t="shared" si="45"/>
        <v>Twelve</v>
      </c>
      <c r="AJ300" s="236"/>
      <c r="AK300" s="270">
        <v>5750</v>
      </c>
      <c r="AL300" s="270">
        <v>10600</v>
      </c>
      <c r="AN300" s="273" t="e">
        <f t="shared" si="46"/>
        <v>#REF!</v>
      </c>
      <c r="AO300" s="273" t="e">
        <f t="shared" si="53"/>
        <v>#REF!</v>
      </c>
      <c r="AQ300" s="273" t="e">
        <f t="shared" si="47"/>
        <v>#REF!</v>
      </c>
      <c r="AR300" s="273" t="e">
        <f t="shared" si="54"/>
        <v>#REF!</v>
      </c>
      <c r="AS300" s="281"/>
      <c r="AT300" s="273" t="e">
        <f t="shared" si="48"/>
        <v>#REF!</v>
      </c>
      <c r="AU300" s="273" t="e">
        <f t="shared" si="55"/>
        <v>#REF!</v>
      </c>
      <c r="AV300" s="281"/>
      <c r="AW300" s="273" t="e">
        <f t="shared" si="49"/>
        <v>#REF!</v>
      </c>
      <c r="AX300" s="273" t="e">
        <f t="shared" si="56"/>
        <v>#REF!</v>
      </c>
      <c r="YS300" s="38" t="e">
        <f>RIGHT(CONCATENATE(0,#REF!),7)</f>
        <v>#REF!</v>
      </c>
    </row>
    <row r="301" spans="1:669" hidden="1">
      <c r="A301" s="35">
        <v>19</v>
      </c>
      <c r="B301" s="38">
        <v>1</v>
      </c>
      <c r="C301" s="37" t="s">
        <v>68</v>
      </c>
      <c r="D301" s="37">
        <v>19</v>
      </c>
      <c r="E301" s="37" t="s">
        <v>122</v>
      </c>
      <c r="F301" s="37">
        <v>18</v>
      </c>
      <c r="G301" s="38" t="s">
        <v>123</v>
      </c>
      <c r="H301" s="38">
        <f t="shared" si="50"/>
        <v>863</v>
      </c>
      <c r="I301" s="62">
        <f t="shared" si="28"/>
        <v>37</v>
      </c>
      <c r="J301" s="38">
        <f t="shared" si="51"/>
        <v>834</v>
      </c>
      <c r="K301" s="38" t="str">
        <f t="shared" si="29"/>
        <v>Kaligiri</v>
      </c>
      <c r="L301" s="38">
        <f t="shared" si="52"/>
        <v>834</v>
      </c>
      <c r="M301" s="38" t="str">
        <f t="shared" si="30"/>
        <v>Kaligiri</v>
      </c>
      <c r="N301" s="38" t="str">
        <f>G294</f>
        <v>Mahabubnagar</v>
      </c>
      <c r="P301" s="38">
        <v>19</v>
      </c>
      <c r="Q301" s="222" t="s">
        <v>124</v>
      </c>
      <c r="S301" s="222">
        <v>123450013</v>
      </c>
      <c r="T301" s="222" t="str">
        <f t="shared" si="31"/>
        <v>Twelve  Crores  Thirty Four  Lakhs  Fifty Thousand and Thirteen</v>
      </c>
      <c r="U301" s="222">
        <f t="shared" si="32"/>
        <v>120000000</v>
      </c>
      <c r="V301" s="222">
        <f t="shared" si="33"/>
        <v>12</v>
      </c>
      <c r="W301" s="222" t="str">
        <f t="shared" si="34"/>
        <v xml:space="preserve">Twelve  Crores  </v>
      </c>
      <c r="X301" s="222">
        <f t="shared" si="35"/>
        <v>3400000</v>
      </c>
      <c r="Y301" s="715">
        <f t="shared" si="36"/>
        <v>34</v>
      </c>
      <c r="Z301" s="222" t="str">
        <f t="shared" si="37"/>
        <v xml:space="preserve">Thirty Four  Lakhs  </v>
      </c>
      <c r="AA301" s="222">
        <f t="shared" si="38"/>
        <v>50000</v>
      </c>
      <c r="AB301" s="715">
        <f t="shared" si="39"/>
        <v>50</v>
      </c>
      <c r="AC301" s="222" t="str">
        <f t="shared" si="40"/>
        <v xml:space="preserve">Fifty Thousand </v>
      </c>
      <c r="AD301" s="222">
        <f t="shared" si="41"/>
        <v>0</v>
      </c>
      <c r="AE301" s="281">
        <f t="shared" si="42"/>
        <v>0</v>
      </c>
      <c r="AF301" s="222" t="str">
        <f t="shared" si="43"/>
        <v/>
      </c>
      <c r="AG301" s="222">
        <f t="shared" si="44"/>
        <v>13</v>
      </c>
      <c r="AH301" s="281" t="str">
        <f t="shared" si="45"/>
        <v>Thirteen</v>
      </c>
      <c r="AJ301" s="236"/>
      <c r="AK301" s="270">
        <v>5895</v>
      </c>
      <c r="AL301" s="270">
        <v>10900</v>
      </c>
      <c r="AN301" s="273" t="e">
        <f t="shared" si="46"/>
        <v>#REF!</v>
      </c>
      <c r="AO301" s="273" t="e">
        <f t="shared" si="53"/>
        <v>#REF!</v>
      </c>
      <c r="AQ301" s="273" t="e">
        <f t="shared" si="47"/>
        <v>#REF!</v>
      </c>
      <c r="AR301" s="273" t="e">
        <f t="shared" si="54"/>
        <v>#REF!</v>
      </c>
      <c r="AS301" s="281"/>
      <c r="AT301" s="273" t="e">
        <f t="shared" si="48"/>
        <v>#REF!</v>
      </c>
      <c r="AU301" s="273" t="e">
        <f t="shared" si="55"/>
        <v>#REF!</v>
      </c>
      <c r="AV301" s="281"/>
      <c r="AW301" s="273" t="e">
        <f t="shared" si="49"/>
        <v>#REF!</v>
      </c>
      <c r="AX301" s="273" t="e">
        <f t="shared" si="56"/>
        <v>#REF!</v>
      </c>
      <c r="YS301" s="38" t="e">
        <f>RIGHT(CONCATENATE(0,#REF!),7)</f>
        <v>#REF!</v>
      </c>
    </row>
    <row r="302" spans="1:669" hidden="1">
      <c r="A302" s="35">
        <v>20</v>
      </c>
      <c r="B302" s="38">
        <v>1</v>
      </c>
      <c r="C302" s="37" t="s">
        <v>68</v>
      </c>
      <c r="D302" s="37">
        <v>20</v>
      </c>
      <c r="E302" s="37" t="s">
        <v>125</v>
      </c>
      <c r="F302" s="37">
        <v>19</v>
      </c>
      <c r="G302" s="38" t="s">
        <v>126</v>
      </c>
      <c r="H302" s="38">
        <f t="shared" si="50"/>
        <v>900</v>
      </c>
      <c r="I302" s="62">
        <f t="shared" si="28"/>
        <v>43</v>
      </c>
      <c r="J302" s="38">
        <f t="shared" si="51"/>
        <v>835</v>
      </c>
      <c r="K302" s="38" t="str">
        <f t="shared" si="29"/>
        <v>Kaluvoya</v>
      </c>
      <c r="L302" s="38">
        <f t="shared" si="52"/>
        <v>835</v>
      </c>
      <c r="M302" s="38" t="str">
        <f t="shared" si="30"/>
        <v>Kaluvoya</v>
      </c>
      <c r="N302" s="38" t="str">
        <f>G295</f>
        <v>Medak</v>
      </c>
      <c r="P302" s="38">
        <v>20</v>
      </c>
      <c r="Q302" s="222" t="s">
        <v>127</v>
      </c>
      <c r="S302" s="222">
        <v>123450014</v>
      </c>
      <c r="T302" s="222" t="str">
        <f t="shared" si="31"/>
        <v>Twelve  Crores  Thirty Four  Lakhs  Fifty Thousand and Fourteen</v>
      </c>
      <c r="U302" s="222">
        <f t="shared" si="32"/>
        <v>120000000</v>
      </c>
      <c r="V302" s="222">
        <f t="shared" si="33"/>
        <v>12</v>
      </c>
      <c r="W302" s="222" t="str">
        <f t="shared" si="34"/>
        <v xml:space="preserve">Twelve  Crores  </v>
      </c>
      <c r="X302" s="222">
        <f t="shared" si="35"/>
        <v>3400000</v>
      </c>
      <c r="Y302" s="715">
        <f t="shared" si="36"/>
        <v>34</v>
      </c>
      <c r="Z302" s="222" t="str">
        <f t="shared" si="37"/>
        <v xml:space="preserve">Thirty Four  Lakhs  </v>
      </c>
      <c r="AA302" s="222">
        <f t="shared" si="38"/>
        <v>50000</v>
      </c>
      <c r="AB302" s="715">
        <f t="shared" si="39"/>
        <v>50</v>
      </c>
      <c r="AC302" s="222" t="str">
        <f t="shared" si="40"/>
        <v xml:space="preserve">Fifty Thousand </v>
      </c>
      <c r="AD302" s="222">
        <f t="shared" si="41"/>
        <v>0</v>
      </c>
      <c r="AE302" s="281">
        <f t="shared" si="42"/>
        <v>0</v>
      </c>
      <c r="AF302" s="222" t="str">
        <f t="shared" si="43"/>
        <v/>
      </c>
      <c r="AG302" s="222">
        <f t="shared" si="44"/>
        <v>14</v>
      </c>
      <c r="AH302" s="281" t="str">
        <f t="shared" si="45"/>
        <v>Fourteen</v>
      </c>
      <c r="AJ302" s="236"/>
      <c r="AK302" s="270">
        <v>6040</v>
      </c>
      <c r="AL302" s="270">
        <v>11200</v>
      </c>
      <c r="AN302" s="273" t="e">
        <f t="shared" si="46"/>
        <v>#REF!</v>
      </c>
      <c r="AO302" s="273" t="e">
        <f t="shared" si="53"/>
        <v>#REF!</v>
      </c>
      <c r="AQ302" s="273" t="e">
        <f t="shared" si="47"/>
        <v>#REF!</v>
      </c>
      <c r="AR302" s="273" t="e">
        <f t="shared" si="54"/>
        <v>#REF!</v>
      </c>
      <c r="AS302" s="281"/>
      <c r="AT302" s="273" t="e">
        <f t="shared" si="48"/>
        <v>#REF!</v>
      </c>
      <c r="AU302" s="273" t="e">
        <f t="shared" si="55"/>
        <v>#REF!</v>
      </c>
      <c r="AV302" s="281"/>
      <c r="AW302" s="273" t="e">
        <f t="shared" si="49"/>
        <v>#REF!</v>
      </c>
      <c r="AX302" s="273" t="e">
        <f t="shared" si="56"/>
        <v>#REF!</v>
      </c>
      <c r="YS302" s="38" t="e">
        <f>RIGHT(CONCATENATE(0,#REF!),7)</f>
        <v>#REF!</v>
      </c>
    </row>
    <row r="303" spans="1:669" hidden="1">
      <c r="A303" s="35">
        <v>21</v>
      </c>
      <c r="B303" s="38">
        <v>1</v>
      </c>
      <c r="C303" s="37" t="s">
        <v>68</v>
      </c>
      <c r="D303" s="37">
        <v>21</v>
      </c>
      <c r="E303" s="37" t="s">
        <v>128</v>
      </c>
      <c r="F303" s="37">
        <v>20</v>
      </c>
      <c r="G303" s="38" t="s">
        <v>129</v>
      </c>
      <c r="H303" s="38">
        <f t="shared" si="50"/>
        <v>943</v>
      </c>
      <c r="I303" s="62">
        <f t="shared" si="28"/>
        <v>34</v>
      </c>
      <c r="J303" s="38">
        <f t="shared" si="51"/>
        <v>836</v>
      </c>
      <c r="K303" s="38" t="str">
        <f t="shared" si="29"/>
        <v>Kavali</v>
      </c>
      <c r="L303" s="38">
        <f t="shared" si="52"/>
        <v>836</v>
      </c>
      <c r="M303" s="38" t="str">
        <f t="shared" si="30"/>
        <v>Kavali</v>
      </c>
      <c r="N303" s="38" t="str">
        <f>G296</f>
        <v>Nalgonda</v>
      </c>
      <c r="P303" s="38">
        <v>21</v>
      </c>
      <c r="Q303" s="222" t="s">
        <v>130</v>
      </c>
      <c r="S303" s="222">
        <v>123450015</v>
      </c>
      <c r="T303" s="222" t="str">
        <f t="shared" si="31"/>
        <v>Twelve  Crores  Thirty Four  Lakhs  Fifty Thousand and Fifteen</v>
      </c>
      <c r="U303" s="222">
        <f t="shared" si="32"/>
        <v>120000000</v>
      </c>
      <c r="V303" s="222">
        <f t="shared" si="33"/>
        <v>12</v>
      </c>
      <c r="W303" s="222" t="str">
        <f t="shared" si="34"/>
        <v xml:space="preserve">Twelve  Crores  </v>
      </c>
      <c r="X303" s="222">
        <f t="shared" si="35"/>
        <v>3400000</v>
      </c>
      <c r="Y303" s="715">
        <f t="shared" si="36"/>
        <v>34</v>
      </c>
      <c r="Z303" s="222" t="str">
        <f t="shared" si="37"/>
        <v xml:space="preserve">Thirty Four  Lakhs  </v>
      </c>
      <c r="AA303" s="222">
        <f t="shared" si="38"/>
        <v>50000</v>
      </c>
      <c r="AB303" s="715">
        <f t="shared" si="39"/>
        <v>50</v>
      </c>
      <c r="AC303" s="222" t="str">
        <f t="shared" si="40"/>
        <v xml:space="preserve">Fifty Thousand </v>
      </c>
      <c r="AD303" s="222">
        <f t="shared" si="41"/>
        <v>0</v>
      </c>
      <c r="AE303" s="281">
        <f t="shared" si="42"/>
        <v>0</v>
      </c>
      <c r="AF303" s="222" t="str">
        <f t="shared" si="43"/>
        <v/>
      </c>
      <c r="AG303" s="222">
        <f t="shared" si="44"/>
        <v>15</v>
      </c>
      <c r="AH303" s="281" t="str">
        <f t="shared" si="45"/>
        <v>Fifteen</v>
      </c>
      <c r="AJ303" s="236"/>
      <c r="AK303" s="270">
        <v>6195</v>
      </c>
      <c r="AL303" s="270">
        <v>11530</v>
      </c>
      <c r="AN303" s="273" t="e">
        <f t="shared" si="46"/>
        <v>#REF!</v>
      </c>
      <c r="AO303" s="273" t="e">
        <f t="shared" si="53"/>
        <v>#REF!</v>
      </c>
      <c r="AQ303" s="273" t="e">
        <f t="shared" si="47"/>
        <v>#REF!</v>
      </c>
      <c r="AR303" s="273" t="e">
        <f t="shared" si="54"/>
        <v>#REF!</v>
      </c>
      <c r="AS303" s="281"/>
      <c r="AT303" s="273" t="e">
        <f t="shared" si="48"/>
        <v>#REF!</v>
      </c>
      <c r="AU303" s="273" t="e">
        <f t="shared" si="55"/>
        <v>#REF!</v>
      </c>
      <c r="AV303" s="281"/>
      <c r="AW303" s="273" t="e">
        <f t="shared" si="49"/>
        <v>#REF!</v>
      </c>
      <c r="AX303" s="273" t="e">
        <f t="shared" si="56"/>
        <v>#REF!</v>
      </c>
      <c r="YS303" s="38" t="e">
        <f>RIGHT(CONCATENATE(0,#REF!),7)</f>
        <v>#REF!</v>
      </c>
    </row>
    <row r="304" spans="1:669" hidden="1">
      <c r="A304" s="35">
        <v>22</v>
      </c>
      <c r="B304" s="38">
        <v>1</v>
      </c>
      <c r="C304" s="37" t="s">
        <v>68</v>
      </c>
      <c r="D304" s="37">
        <v>22</v>
      </c>
      <c r="E304" s="37" t="s">
        <v>131</v>
      </c>
      <c r="F304" s="37">
        <v>21</v>
      </c>
      <c r="G304" s="38" t="s">
        <v>132</v>
      </c>
      <c r="H304" s="38">
        <f t="shared" si="50"/>
        <v>977</v>
      </c>
      <c r="I304" s="62">
        <f t="shared" si="28"/>
        <v>50</v>
      </c>
      <c r="J304" s="38">
        <f t="shared" si="51"/>
        <v>837</v>
      </c>
      <c r="K304" s="38" t="str">
        <f t="shared" si="29"/>
        <v>Kodavalur</v>
      </c>
      <c r="L304" s="38">
        <f t="shared" si="52"/>
        <v>837</v>
      </c>
      <c r="M304" s="38" t="str">
        <f t="shared" si="30"/>
        <v>Kodavalur</v>
      </c>
      <c r="N304" s="38" t="str">
        <f>G297</f>
        <v>Nizamabad</v>
      </c>
      <c r="P304" s="38">
        <v>22</v>
      </c>
      <c r="Q304" s="222" t="s">
        <v>133</v>
      </c>
      <c r="S304" s="222">
        <v>123450016</v>
      </c>
      <c r="T304" s="222" t="str">
        <f t="shared" si="31"/>
        <v>Twelve  Crores  Thirty Four  Lakhs  Fifty Thousand and Sixteen</v>
      </c>
      <c r="U304" s="222">
        <f t="shared" si="32"/>
        <v>120000000</v>
      </c>
      <c r="V304" s="222">
        <f t="shared" si="33"/>
        <v>12</v>
      </c>
      <c r="W304" s="222" t="str">
        <f t="shared" si="34"/>
        <v xml:space="preserve">Twelve  Crores  </v>
      </c>
      <c r="X304" s="222">
        <f t="shared" si="35"/>
        <v>3400000</v>
      </c>
      <c r="Y304" s="715">
        <f t="shared" si="36"/>
        <v>34</v>
      </c>
      <c r="Z304" s="222" t="str">
        <f t="shared" si="37"/>
        <v xml:space="preserve">Thirty Four  Lakhs  </v>
      </c>
      <c r="AA304" s="222">
        <f t="shared" si="38"/>
        <v>50000</v>
      </c>
      <c r="AB304" s="715">
        <f t="shared" si="39"/>
        <v>50</v>
      </c>
      <c r="AC304" s="222" t="str">
        <f t="shared" si="40"/>
        <v xml:space="preserve">Fifty Thousand </v>
      </c>
      <c r="AD304" s="222">
        <f t="shared" si="41"/>
        <v>0</v>
      </c>
      <c r="AE304" s="281">
        <f t="shared" si="42"/>
        <v>0</v>
      </c>
      <c r="AF304" s="222" t="str">
        <f t="shared" si="43"/>
        <v/>
      </c>
      <c r="AG304" s="222">
        <f t="shared" si="44"/>
        <v>16</v>
      </c>
      <c r="AH304" s="281" t="str">
        <f t="shared" si="45"/>
        <v>Sixteen</v>
      </c>
      <c r="AJ304" s="236"/>
      <c r="AK304" s="270">
        <v>6350</v>
      </c>
      <c r="AL304" s="270">
        <v>11860</v>
      </c>
      <c r="AN304" s="273" t="e">
        <f t="shared" si="46"/>
        <v>#REF!</v>
      </c>
      <c r="AO304" s="273" t="e">
        <f t="shared" si="53"/>
        <v>#REF!</v>
      </c>
      <c r="AQ304" s="273" t="e">
        <f t="shared" si="47"/>
        <v>#REF!</v>
      </c>
      <c r="AR304" s="273" t="e">
        <f t="shared" si="54"/>
        <v>#REF!</v>
      </c>
      <c r="AS304" s="281"/>
      <c r="AT304" s="273" t="e">
        <f t="shared" si="48"/>
        <v>#REF!</v>
      </c>
      <c r="AU304" s="273" t="e">
        <f t="shared" si="55"/>
        <v>#REF!</v>
      </c>
      <c r="AV304" s="281"/>
      <c r="AW304" s="273" t="e">
        <f t="shared" si="49"/>
        <v>#REF!</v>
      </c>
      <c r="AX304" s="273" t="e">
        <f t="shared" si="56"/>
        <v>#REF!</v>
      </c>
      <c r="YS304" s="38" t="e">
        <f>RIGHT(CONCATENATE(0,#REF!),7)</f>
        <v>#REF!</v>
      </c>
    </row>
    <row r="305" spans="1:669" hidden="1">
      <c r="A305" s="35">
        <v>23</v>
      </c>
      <c r="B305" s="38">
        <v>1</v>
      </c>
      <c r="C305" s="37" t="s">
        <v>68</v>
      </c>
      <c r="D305" s="37">
        <v>23</v>
      </c>
      <c r="E305" s="37" t="s">
        <v>134</v>
      </c>
      <c r="F305" s="37">
        <v>22</v>
      </c>
      <c r="G305" s="38" t="s">
        <v>135</v>
      </c>
      <c r="H305" s="38">
        <f t="shared" si="50"/>
        <v>1027</v>
      </c>
      <c r="I305" s="62">
        <f t="shared" si="28"/>
        <v>46</v>
      </c>
      <c r="J305" s="38">
        <f t="shared" si="51"/>
        <v>838</v>
      </c>
      <c r="K305" s="38" t="str">
        <f t="shared" si="29"/>
        <v>Kondapuram</v>
      </c>
      <c r="L305" s="38">
        <f t="shared" si="52"/>
        <v>838</v>
      </c>
      <c r="M305" s="38" t="str">
        <f t="shared" si="30"/>
        <v>Kondapuram</v>
      </c>
      <c r="N305" s="38" t="str">
        <f>G299</f>
        <v>Ranga Reddy</v>
      </c>
      <c r="P305" s="38">
        <v>23</v>
      </c>
      <c r="Q305" s="222" t="s">
        <v>136</v>
      </c>
      <c r="S305" s="222">
        <v>123450017</v>
      </c>
      <c r="T305" s="222" t="str">
        <f t="shared" si="31"/>
        <v>Twelve  Crores  Thirty Four  Lakhs  Fifty Thousand and Seventeen</v>
      </c>
      <c r="U305" s="222">
        <f t="shared" si="32"/>
        <v>120000000</v>
      </c>
      <c r="V305" s="222">
        <f t="shared" si="33"/>
        <v>12</v>
      </c>
      <c r="W305" s="222" t="str">
        <f t="shared" si="34"/>
        <v xml:space="preserve">Twelve  Crores  </v>
      </c>
      <c r="X305" s="222">
        <f t="shared" si="35"/>
        <v>3400000</v>
      </c>
      <c r="Y305" s="715">
        <f t="shared" si="36"/>
        <v>34</v>
      </c>
      <c r="Z305" s="222" t="str">
        <f t="shared" si="37"/>
        <v xml:space="preserve">Thirty Four  Lakhs  </v>
      </c>
      <c r="AA305" s="222">
        <f t="shared" si="38"/>
        <v>50000</v>
      </c>
      <c r="AB305" s="715">
        <f t="shared" si="39"/>
        <v>50</v>
      </c>
      <c r="AC305" s="222" t="str">
        <f t="shared" si="40"/>
        <v xml:space="preserve">Fifty Thousand </v>
      </c>
      <c r="AD305" s="222">
        <f t="shared" si="41"/>
        <v>0</v>
      </c>
      <c r="AE305" s="281">
        <f t="shared" si="42"/>
        <v>0</v>
      </c>
      <c r="AF305" s="222" t="str">
        <f t="shared" si="43"/>
        <v/>
      </c>
      <c r="AG305" s="222">
        <f t="shared" si="44"/>
        <v>17</v>
      </c>
      <c r="AH305" s="281" t="str">
        <f t="shared" si="45"/>
        <v>Seventeen</v>
      </c>
      <c r="AJ305" s="236"/>
      <c r="AK305" s="270">
        <v>6505</v>
      </c>
      <c r="AL305" s="270">
        <v>12190</v>
      </c>
      <c r="AN305" s="273" t="e">
        <f t="shared" si="46"/>
        <v>#REF!</v>
      </c>
      <c r="AO305" s="273" t="e">
        <f t="shared" si="53"/>
        <v>#REF!</v>
      </c>
      <c r="AQ305" s="273" t="e">
        <f t="shared" si="47"/>
        <v>#REF!</v>
      </c>
      <c r="AR305" s="273" t="e">
        <f t="shared" si="54"/>
        <v>#REF!</v>
      </c>
      <c r="AS305" s="281"/>
      <c r="AT305" s="273" t="e">
        <f t="shared" si="48"/>
        <v>#REF!</v>
      </c>
      <c r="AU305" s="273" t="e">
        <f t="shared" si="55"/>
        <v>#REF!</v>
      </c>
      <c r="AV305" s="281"/>
      <c r="AW305" s="273" t="e">
        <f t="shared" si="49"/>
        <v>#REF!</v>
      </c>
      <c r="AX305" s="273" t="e">
        <f t="shared" si="56"/>
        <v>#REF!</v>
      </c>
      <c r="YS305" s="38" t="e">
        <f>RIGHT(CONCATENATE(0,#REF!),7)</f>
        <v>#REF!</v>
      </c>
    </row>
    <row r="306" spans="1:669" hidden="1">
      <c r="A306" s="35">
        <v>24</v>
      </c>
      <c r="B306" s="38">
        <v>1</v>
      </c>
      <c r="C306" s="37" t="s">
        <v>68</v>
      </c>
      <c r="D306" s="37">
        <v>24</v>
      </c>
      <c r="E306" s="37" t="s">
        <v>137</v>
      </c>
      <c r="F306" s="37">
        <v>23</v>
      </c>
      <c r="G306" s="38" t="s">
        <v>138</v>
      </c>
      <c r="H306" s="38">
        <f t="shared" si="50"/>
        <v>1073</v>
      </c>
      <c r="I306" s="62">
        <f t="shared" si="28"/>
        <v>50</v>
      </c>
      <c r="J306" s="38">
        <f t="shared" si="51"/>
        <v>839</v>
      </c>
      <c r="K306" s="38" t="str">
        <f t="shared" si="29"/>
        <v>Kota</v>
      </c>
      <c r="L306" s="38">
        <f t="shared" si="52"/>
        <v>839</v>
      </c>
      <c r="M306" s="38" t="str">
        <f t="shared" si="30"/>
        <v>Kota</v>
      </c>
      <c r="N306" s="38" t="str">
        <f>G304</f>
        <v>Warangal</v>
      </c>
      <c r="P306" s="38">
        <v>24</v>
      </c>
      <c r="Q306" s="222" t="s">
        <v>139</v>
      </c>
      <c r="S306" s="222">
        <v>123450018</v>
      </c>
      <c r="T306" s="222" t="str">
        <f t="shared" si="31"/>
        <v>Twelve  Crores  Thirty Four  Lakhs  Fifty Thousand and Eighteen</v>
      </c>
      <c r="U306" s="222">
        <f t="shared" si="32"/>
        <v>120000000</v>
      </c>
      <c r="V306" s="222">
        <f t="shared" si="33"/>
        <v>12</v>
      </c>
      <c r="W306" s="222" t="str">
        <f t="shared" si="34"/>
        <v xml:space="preserve">Twelve  Crores  </v>
      </c>
      <c r="X306" s="222">
        <f t="shared" si="35"/>
        <v>3400000</v>
      </c>
      <c r="Y306" s="715">
        <f t="shared" si="36"/>
        <v>34</v>
      </c>
      <c r="Z306" s="222" t="str">
        <f t="shared" si="37"/>
        <v xml:space="preserve">Thirty Four  Lakhs  </v>
      </c>
      <c r="AA306" s="222">
        <f t="shared" si="38"/>
        <v>50000</v>
      </c>
      <c r="AB306" s="715">
        <f t="shared" si="39"/>
        <v>50</v>
      </c>
      <c r="AC306" s="222" t="str">
        <f t="shared" si="40"/>
        <v xml:space="preserve">Fifty Thousand </v>
      </c>
      <c r="AD306" s="222">
        <f t="shared" si="41"/>
        <v>0</v>
      </c>
      <c r="AE306" s="281">
        <f t="shared" si="42"/>
        <v>0</v>
      </c>
      <c r="AF306" s="222" t="str">
        <f t="shared" si="43"/>
        <v/>
      </c>
      <c r="AG306" s="222">
        <f t="shared" si="44"/>
        <v>18</v>
      </c>
      <c r="AH306" s="281" t="str">
        <f t="shared" si="45"/>
        <v>Eighteen</v>
      </c>
      <c r="AJ306" s="236"/>
      <c r="AK306" s="270">
        <v>6675</v>
      </c>
      <c r="AL306" s="270">
        <v>12550</v>
      </c>
      <c r="AN306" s="273" t="e">
        <f t="shared" si="46"/>
        <v>#REF!</v>
      </c>
      <c r="AO306" s="273" t="e">
        <f t="shared" si="53"/>
        <v>#REF!</v>
      </c>
      <c r="AQ306" s="273" t="e">
        <f t="shared" si="47"/>
        <v>#REF!</v>
      </c>
      <c r="AR306" s="273" t="e">
        <f t="shared" si="54"/>
        <v>#REF!</v>
      </c>
      <c r="AS306" s="281"/>
      <c r="AT306" s="273" t="e">
        <f t="shared" si="48"/>
        <v>#REF!</v>
      </c>
      <c r="AU306" s="273" t="e">
        <f t="shared" si="55"/>
        <v>#REF!</v>
      </c>
      <c r="AV306" s="281"/>
      <c r="AW306" s="273" t="e">
        <f t="shared" si="49"/>
        <v>#REF!</v>
      </c>
      <c r="AX306" s="273" t="e">
        <f t="shared" si="56"/>
        <v>#REF!</v>
      </c>
      <c r="YS306" s="38" t="e">
        <f>RIGHT(CONCATENATE(0,#REF!),7)</f>
        <v>#REF!</v>
      </c>
    </row>
    <row r="307" spans="1:669" hidden="1">
      <c r="A307" s="35">
        <v>25</v>
      </c>
      <c r="B307" s="38">
        <v>1</v>
      </c>
      <c r="C307" s="37" t="s">
        <v>68</v>
      </c>
      <c r="D307" s="37">
        <v>25</v>
      </c>
      <c r="E307" s="37" t="s">
        <v>140</v>
      </c>
      <c r="J307" s="38">
        <f t="shared" si="51"/>
        <v>840</v>
      </c>
      <c r="K307" s="38" t="str">
        <f t="shared" si="29"/>
        <v>Kovur</v>
      </c>
      <c r="L307" s="38">
        <f t="shared" si="52"/>
        <v>840</v>
      </c>
      <c r="M307" s="38" t="str">
        <f t="shared" si="30"/>
        <v>Kovur</v>
      </c>
      <c r="P307" s="38">
        <v>25</v>
      </c>
      <c r="Q307" s="222" t="s">
        <v>141</v>
      </c>
      <c r="S307" s="222">
        <v>123450019</v>
      </c>
      <c r="T307" s="222" t="str">
        <f t="shared" si="31"/>
        <v>Twelve  Crores  Thirty Four  Lakhs  Fifty Thousand and Ninteen</v>
      </c>
      <c r="U307" s="222">
        <f t="shared" si="32"/>
        <v>120000000</v>
      </c>
      <c r="V307" s="222">
        <f t="shared" si="33"/>
        <v>12</v>
      </c>
      <c r="W307" s="222" t="str">
        <f t="shared" si="34"/>
        <v xml:space="preserve">Twelve  Crores  </v>
      </c>
      <c r="X307" s="222">
        <f t="shared" si="35"/>
        <v>3400000</v>
      </c>
      <c r="Y307" s="715">
        <f t="shared" si="36"/>
        <v>34</v>
      </c>
      <c r="Z307" s="222" t="str">
        <f t="shared" si="37"/>
        <v xml:space="preserve">Thirty Four  Lakhs  </v>
      </c>
      <c r="AA307" s="222">
        <f t="shared" si="38"/>
        <v>50000</v>
      </c>
      <c r="AB307" s="715">
        <f t="shared" si="39"/>
        <v>50</v>
      </c>
      <c r="AC307" s="222" t="str">
        <f t="shared" si="40"/>
        <v xml:space="preserve">Fifty Thousand </v>
      </c>
      <c r="AD307" s="222">
        <f t="shared" si="41"/>
        <v>0</v>
      </c>
      <c r="AE307" s="281">
        <f t="shared" si="42"/>
        <v>0</v>
      </c>
      <c r="AF307" s="222" t="str">
        <f t="shared" si="43"/>
        <v/>
      </c>
      <c r="AG307" s="222">
        <f t="shared" si="44"/>
        <v>19</v>
      </c>
      <c r="AH307" s="281" t="str">
        <f t="shared" si="45"/>
        <v>Ninteen</v>
      </c>
      <c r="AJ307" s="236"/>
      <c r="AK307" s="270">
        <v>6845</v>
      </c>
      <c r="AL307" s="270">
        <v>12910</v>
      </c>
      <c r="AN307" s="273" t="e">
        <f t="shared" si="46"/>
        <v>#REF!</v>
      </c>
      <c r="AO307" s="273" t="e">
        <f t="shared" si="53"/>
        <v>#REF!</v>
      </c>
      <c r="AQ307" s="273" t="e">
        <f t="shared" si="47"/>
        <v>#REF!</v>
      </c>
      <c r="AR307" s="273" t="e">
        <f t="shared" si="54"/>
        <v>#REF!</v>
      </c>
      <c r="AS307" s="281"/>
      <c r="AT307" s="273" t="e">
        <f t="shared" si="48"/>
        <v>#REF!</v>
      </c>
      <c r="AU307" s="273" t="e">
        <f t="shared" si="55"/>
        <v>#REF!</v>
      </c>
      <c r="AV307" s="281"/>
      <c r="AW307" s="273" t="e">
        <f t="shared" si="49"/>
        <v>#REF!</v>
      </c>
      <c r="AX307" s="273" t="e">
        <f t="shared" si="56"/>
        <v>#REF!</v>
      </c>
      <c r="YS307" s="38" t="e">
        <f>RIGHT(CONCATENATE(0,#REF!),7)</f>
        <v>#REF!</v>
      </c>
    </row>
    <row r="308" spans="1:669" hidden="1">
      <c r="A308" s="35">
        <v>26</v>
      </c>
      <c r="B308" s="38">
        <v>1</v>
      </c>
      <c r="C308" s="37" t="s">
        <v>68</v>
      </c>
      <c r="D308" s="37">
        <v>26</v>
      </c>
      <c r="E308" s="37" t="s">
        <v>142</v>
      </c>
      <c r="J308" s="38">
        <f t="shared" si="51"/>
        <v>841</v>
      </c>
      <c r="K308" s="38" t="str">
        <f t="shared" si="29"/>
        <v>Manubolu</v>
      </c>
      <c r="L308" s="38">
        <f t="shared" si="52"/>
        <v>841</v>
      </c>
      <c r="M308" s="38" t="str">
        <f t="shared" si="30"/>
        <v>Manubolu</v>
      </c>
      <c r="P308" s="38">
        <v>26</v>
      </c>
      <c r="Q308" s="222" t="s">
        <v>143</v>
      </c>
      <c r="S308" s="222">
        <v>123450020</v>
      </c>
      <c r="T308" s="222" t="str">
        <f t="shared" si="31"/>
        <v>Twelve  Crores  Thirty Four  Lakhs  Fifty Thousand and Twenty</v>
      </c>
      <c r="U308" s="222">
        <f t="shared" si="32"/>
        <v>120000000</v>
      </c>
      <c r="V308" s="222">
        <f t="shared" si="33"/>
        <v>12</v>
      </c>
      <c r="W308" s="222" t="str">
        <f t="shared" si="34"/>
        <v xml:space="preserve">Twelve  Crores  </v>
      </c>
      <c r="X308" s="222">
        <f t="shared" si="35"/>
        <v>3400000</v>
      </c>
      <c r="Y308" s="715">
        <f t="shared" si="36"/>
        <v>34</v>
      </c>
      <c r="Z308" s="222" t="str">
        <f t="shared" si="37"/>
        <v xml:space="preserve">Thirty Four  Lakhs  </v>
      </c>
      <c r="AA308" s="222">
        <f t="shared" si="38"/>
        <v>50000</v>
      </c>
      <c r="AB308" s="715">
        <f t="shared" si="39"/>
        <v>50</v>
      </c>
      <c r="AC308" s="222" t="str">
        <f t="shared" si="40"/>
        <v xml:space="preserve">Fifty Thousand </v>
      </c>
      <c r="AD308" s="222">
        <f t="shared" si="41"/>
        <v>0</v>
      </c>
      <c r="AE308" s="281">
        <f t="shared" si="42"/>
        <v>0</v>
      </c>
      <c r="AF308" s="222" t="str">
        <f t="shared" si="43"/>
        <v/>
      </c>
      <c r="AG308" s="222">
        <f t="shared" si="44"/>
        <v>20</v>
      </c>
      <c r="AH308" s="281" t="str">
        <f t="shared" si="45"/>
        <v>Twenty</v>
      </c>
      <c r="AJ308" s="236"/>
      <c r="AK308" s="270">
        <v>7015</v>
      </c>
      <c r="AL308" s="270">
        <v>13270</v>
      </c>
      <c r="AN308" s="273" t="e">
        <f t="shared" si="46"/>
        <v>#REF!</v>
      </c>
      <c r="AO308" s="273" t="e">
        <f t="shared" si="53"/>
        <v>#REF!</v>
      </c>
      <c r="AQ308" s="273" t="e">
        <f t="shared" si="47"/>
        <v>#REF!</v>
      </c>
      <c r="AR308" s="273" t="e">
        <f t="shared" si="54"/>
        <v>#REF!</v>
      </c>
      <c r="AS308" s="281"/>
      <c r="AT308" s="273" t="e">
        <f t="shared" si="48"/>
        <v>#REF!</v>
      </c>
      <c r="AU308" s="273" t="e">
        <f t="shared" si="55"/>
        <v>#REF!</v>
      </c>
      <c r="AV308" s="281"/>
      <c r="AW308" s="273" t="e">
        <f t="shared" si="49"/>
        <v>#REF!</v>
      </c>
      <c r="AX308" s="273" t="e">
        <f t="shared" si="56"/>
        <v>#REF!</v>
      </c>
      <c r="YS308" s="38" t="e">
        <f>RIGHT(CONCATENATE(0,#REF!),7)</f>
        <v>#REF!</v>
      </c>
    </row>
    <row r="309" spans="1:669" hidden="1">
      <c r="A309" s="35">
        <v>27</v>
      </c>
      <c r="B309" s="38">
        <v>1</v>
      </c>
      <c r="C309" s="37" t="s">
        <v>68</v>
      </c>
      <c r="D309" s="37">
        <v>27</v>
      </c>
      <c r="E309" s="37" t="s">
        <v>144</v>
      </c>
      <c r="F309" s="37">
        <v>1</v>
      </c>
      <c r="G309" s="38" t="s">
        <v>68</v>
      </c>
      <c r="H309" s="38">
        <f>I309</f>
        <v>52</v>
      </c>
      <c r="I309" s="62">
        <f t="shared" ref="I309:I331" si="57">LOOKUP(G309,$C$283:$D$1404)</f>
        <v>52</v>
      </c>
      <c r="J309" s="38">
        <f t="shared" si="51"/>
        <v>842</v>
      </c>
      <c r="K309" s="38" t="str">
        <f t="shared" si="29"/>
        <v>Marripadu</v>
      </c>
      <c r="L309" s="38">
        <f t="shared" si="52"/>
        <v>842</v>
      </c>
      <c r="M309" s="38" t="str">
        <f t="shared" si="30"/>
        <v>Marripadu</v>
      </c>
      <c r="P309" s="38">
        <v>27</v>
      </c>
      <c r="Q309" s="222" t="s">
        <v>145</v>
      </c>
      <c r="S309" s="222">
        <v>123450021</v>
      </c>
      <c r="T309" s="222" t="str">
        <f t="shared" si="31"/>
        <v>Twelve  Crores  Thirty Four  Lakhs  Fifty Thousand and Twenty One</v>
      </c>
      <c r="U309" s="222">
        <f t="shared" si="32"/>
        <v>120000000</v>
      </c>
      <c r="V309" s="222">
        <f t="shared" si="33"/>
        <v>12</v>
      </c>
      <c r="W309" s="222" t="str">
        <f t="shared" si="34"/>
        <v xml:space="preserve">Twelve  Crores  </v>
      </c>
      <c r="X309" s="222">
        <f t="shared" si="35"/>
        <v>3400000</v>
      </c>
      <c r="Y309" s="715">
        <f t="shared" si="36"/>
        <v>34</v>
      </c>
      <c r="Z309" s="222" t="str">
        <f t="shared" si="37"/>
        <v xml:space="preserve">Thirty Four  Lakhs  </v>
      </c>
      <c r="AA309" s="222">
        <f t="shared" si="38"/>
        <v>50000</v>
      </c>
      <c r="AB309" s="715">
        <f t="shared" si="39"/>
        <v>50</v>
      </c>
      <c r="AC309" s="222" t="str">
        <f t="shared" si="40"/>
        <v xml:space="preserve">Fifty Thousand </v>
      </c>
      <c r="AD309" s="222">
        <f t="shared" si="41"/>
        <v>0</v>
      </c>
      <c r="AE309" s="281">
        <f t="shared" si="42"/>
        <v>0</v>
      </c>
      <c r="AF309" s="222" t="str">
        <f t="shared" si="43"/>
        <v/>
      </c>
      <c r="AG309" s="222">
        <f t="shared" si="44"/>
        <v>21</v>
      </c>
      <c r="AH309" s="281" t="str">
        <f t="shared" si="45"/>
        <v>Twenty One</v>
      </c>
      <c r="AJ309" s="236"/>
      <c r="AK309" s="270">
        <v>7200</v>
      </c>
      <c r="AL309" s="270">
        <v>13660</v>
      </c>
      <c r="AN309" s="273" t="e">
        <f t="shared" si="46"/>
        <v>#REF!</v>
      </c>
      <c r="AO309" s="273" t="e">
        <f t="shared" si="53"/>
        <v>#REF!</v>
      </c>
      <c r="AQ309" s="273" t="e">
        <f t="shared" si="47"/>
        <v>#REF!</v>
      </c>
      <c r="AR309" s="273" t="e">
        <f t="shared" si="54"/>
        <v>#REF!</v>
      </c>
      <c r="AS309" s="281"/>
      <c r="AT309" s="273" t="e">
        <f t="shared" si="48"/>
        <v>#REF!</v>
      </c>
      <c r="AU309" s="273" t="e">
        <f t="shared" si="55"/>
        <v>#REF!</v>
      </c>
      <c r="AV309" s="281"/>
      <c r="AW309" s="273" t="e">
        <f t="shared" si="49"/>
        <v>#REF!</v>
      </c>
      <c r="AX309" s="273" t="e">
        <f t="shared" si="56"/>
        <v>#REF!</v>
      </c>
      <c r="YS309" s="38" t="e">
        <f>RIGHT(CONCATENATE(0,#REF!),7)</f>
        <v>#REF!</v>
      </c>
    </row>
    <row r="310" spans="1:669" hidden="1">
      <c r="A310" s="35">
        <v>28</v>
      </c>
      <c r="B310" s="38">
        <v>1</v>
      </c>
      <c r="C310" s="37" t="s">
        <v>68</v>
      </c>
      <c r="D310" s="37">
        <v>28</v>
      </c>
      <c r="E310" s="37" t="s">
        <v>146</v>
      </c>
      <c r="F310" s="37">
        <v>2</v>
      </c>
      <c r="G310" s="38" t="s">
        <v>77</v>
      </c>
      <c r="H310" s="38">
        <f>H309+I310</f>
        <v>115</v>
      </c>
      <c r="I310" s="62">
        <f t="shared" si="57"/>
        <v>63</v>
      </c>
      <c r="J310" s="38">
        <f t="shared" si="51"/>
        <v>843</v>
      </c>
      <c r="K310" s="38" t="str">
        <f t="shared" si="29"/>
        <v>Muthukur</v>
      </c>
      <c r="L310" s="38">
        <f t="shared" si="52"/>
        <v>843</v>
      </c>
      <c r="M310" s="38" t="str">
        <f t="shared" si="30"/>
        <v>Muthukur</v>
      </c>
      <c r="P310" s="38">
        <v>28</v>
      </c>
      <c r="Q310" s="222" t="s">
        <v>147</v>
      </c>
      <c r="S310" s="222">
        <v>123450022</v>
      </c>
      <c r="T310" s="222" t="str">
        <f t="shared" si="31"/>
        <v>Twelve  Crores  Thirty Four  Lakhs  Fifty Thousand and Twenty Two</v>
      </c>
      <c r="U310" s="222">
        <f t="shared" si="32"/>
        <v>120000000</v>
      </c>
      <c r="V310" s="222">
        <f t="shared" si="33"/>
        <v>12</v>
      </c>
      <c r="W310" s="222" t="str">
        <f t="shared" si="34"/>
        <v xml:space="preserve">Twelve  Crores  </v>
      </c>
      <c r="X310" s="222">
        <f t="shared" si="35"/>
        <v>3400000</v>
      </c>
      <c r="Y310" s="715">
        <f t="shared" si="36"/>
        <v>34</v>
      </c>
      <c r="Z310" s="222" t="str">
        <f t="shared" si="37"/>
        <v xml:space="preserve">Thirty Four  Lakhs  </v>
      </c>
      <c r="AA310" s="222">
        <f t="shared" si="38"/>
        <v>50000</v>
      </c>
      <c r="AB310" s="715">
        <f t="shared" si="39"/>
        <v>50</v>
      </c>
      <c r="AC310" s="222" t="str">
        <f t="shared" si="40"/>
        <v xml:space="preserve">Fifty Thousand </v>
      </c>
      <c r="AD310" s="222">
        <f t="shared" si="41"/>
        <v>0</v>
      </c>
      <c r="AE310" s="281">
        <f t="shared" si="42"/>
        <v>0</v>
      </c>
      <c r="AF310" s="222" t="str">
        <f t="shared" si="43"/>
        <v/>
      </c>
      <c r="AG310" s="222">
        <f t="shared" si="44"/>
        <v>22</v>
      </c>
      <c r="AH310" s="281" t="str">
        <f t="shared" si="45"/>
        <v>Twenty Two</v>
      </c>
      <c r="AJ310" s="236"/>
      <c r="AK310" s="270">
        <v>7385</v>
      </c>
      <c r="AL310" s="270">
        <v>14050</v>
      </c>
      <c r="AN310" s="273" t="e">
        <f t="shared" si="46"/>
        <v>#REF!</v>
      </c>
      <c r="AO310" s="273" t="e">
        <f t="shared" si="53"/>
        <v>#REF!</v>
      </c>
      <c r="AQ310" s="273" t="e">
        <f t="shared" si="47"/>
        <v>#REF!</v>
      </c>
      <c r="AR310" s="273" t="e">
        <f t="shared" si="54"/>
        <v>#REF!</v>
      </c>
      <c r="AS310" s="281"/>
      <c r="AT310" s="273" t="e">
        <f t="shared" si="48"/>
        <v>#REF!</v>
      </c>
      <c r="AU310" s="273" t="e">
        <f t="shared" si="55"/>
        <v>#REF!</v>
      </c>
      <c r="AV310" s="281"/>
      <c r="AW310" s="273" t="e">
        <f t="shared" si="49"/>
        <v>#REF!</v>
      </c>
      <c r="AX310" s="273" t="e">
        <f t="shared" si="56"/>
        <v>#REF!</v>
      </c>
      <c r="YS310" s="38" t="e">
        <f>RIGHT(CONCATENATE(0,#REF!),7)</f>
        <v>#REF!</v>
      </c>
    </row>
    <row r="311" spans="1:669" hidden="1">
      <c r="A311" s="35">
        <v>29</v>
      </c>
      <c r="B311" s="38">
        <v>1</v>
      </c>
      <c r="C311" s="37" t="s">
        <v>68</v>
      </c>
      <c r="D311" s="37">
        <v>29</v>
      </c>
      <c r="E311" s="37" t="s">
        <v>148</v>
      </c>
      <c r="F311" s="37">
        <v>3</v>
      </c>
      <c r="G311" s="38" t="s">
        <v>67</v>
      </c>
      <c r="H311" s="38">
        <f t="shared" ref="H311:H331" si="58">H310+I311</f>
        <v>181</v>
      </c>
      <c r="I311" s="62">
        <f t="shared" si="57"/>
        <v>66</v>
      </c>
      <c r="J311" s="38">
        <f t="shared" si="51"/>
        <v>844</v>
      </c>
      <c r="K311" s="38" t="str">
        <f t="shared" si="29"/>
        <v>Naidupeta</v>
      </c>
      <c r="L311" s="38">
        <f t="shared" si="52"/>
        <v>844</v>
      </c>
      <c r="M311" s="38" t="str">
        <f t="shared" si="30"/>
        <v>Naidupeta</v>
      </c>
      <c r="P311" s="38">
        <v>29</v>
      </c>
      <c r="Q311" s="222" t="s">
        <v>149</v>
      </c>
      <c r="S311" s="222">
        <v>123450023</v>
      </c>
      <c r="T311" s="222" t="str">
        <f t="shared" si="31"/>
        <v>Twelve  Crores  Thirty Four  Lakhs  Fifty Thousand and Twenty Three</v>
      </c>
      <c r="U311" s="222">
        <f t="shared" si="32"/>
        <v>120000000</v>
      </c>
      <c r="V311" s="222">
        <f t="shared" si="33"/>
        <v>12</v>
      </c>
      <c r="W311" s="222" t="str">
        <f t="shared" si="34"/>
        <v xml:space="preserve">Twelve  Crores  </v>
      </c>
      <c r="X311" s="222">
        <f t="shared" si="35"/>
        <v>3400000</v>
      </c>
      <c r="Y311" s="715">
        <f t="shared" si="36"/>
        <v>34</v>
      </c>
      <c r="Z311" s="222" t="str">
        <f t="shared" si="37"/>
        <v xml:space="preserve">Thirty Four  Lakhs  </v>
      </c>
      <c r="AA311" s="222">
        <f t="shared" si="38"/>
        <v>50000</v>
      </c>
      <c r="AB311" s="715">
        <f t="shared" si="39"/>
        <v>50</v>
      </c>
      <c r="AC311" s="222" t="str">
        <f t="shared" si="40"/>
        <v xml:space="preserve">Fifty Thousand </v>
      </c>
      <c r="AD311" s="222">
        <f t="shared" si="41"/>
        <v>0</v>
      </c>
      <c r="AE311" s="281">
        <f t="shared" si="42"/>
        <v>0</v>
      </c>
      <c r="AF311" s="222" t="str">
        <f t="shared" si="43"/>
        <v/>
      </c>
      <c r="AG311" s="222">
        <f t="shared" si="44"/>
        <v>23</v>
      </c>
      <c r="AH311" s="281" t="str">
        <f t="shared" si="45"/>
        <v>Twenty Three</v>
      </c>
      <c r="AJ311" s="236"/>
      <c r="AK311" s="270">
        <v>7570</v>
      </c>
      <c r="AL311" s="270">
        <v>14440</v>
      </c>
      <c r="AN311" s="273" t="e">
        <f t="shared" si="46"/>
        <v>#REF!</v>
      </c>
      <c r="AO311" s="273" t="e">
        <f t="shared" si="53"/>
        <v>#REF!</v>
      </c>
      <c r="AQ311" s="273" t="e">
        <f t="shared" si="47"/>
        <v>#REF!</v>
      </c>
      <c r="AR311" s="273" t="e">
        <f t="shared" si="54"/>
        <v>#REF!</v>
      </c>
      <c r="AS311" s="281"/>
      <c r="AT311" s="273" t="e">
        <f t="shared" si="48"/>
        <v>#REF!</v>
      </c>
      <c r="AU311" s="273" t="e">
        <f t="shared" si="55"/>
        <v>#REF!</v>
      </c>
      <c r="AV311" s="281"/>
      <c r="AW311" s="273" t="e">
        <f t="shared" si="49"/>
        <v>#REF!</v>
      </c>
      <c r="AX311" s="273" t="e">
        <f t="shared" si="56"/>
        <v>#REF!</v>
      </c>
      <c r="YS311" s="38" t="e">
        <f>RIGHT(CONCATENATE(0,#REF!),7)</f>
        <v>#REF!</v>
      </c>
    </row>
    <row r="312" spans="1:669" hidden="1">
      <c r="A312" s="35">
        <v>30</v>
      </c>
      <c r="B312" s="38">
        <v>1</v>
      </c>
      <c r="C312" s="37" t="s">
        <v>68</v>
      </c>
      <c r="D312" s="37">
        <v>30</v>
      </c>
      <c r="E312" s="37" t="s">
        <v>150</v>
      </c>
      <c r="F312" s="37">
        <v>4</v>
      </c>
      <c r="G312" s="38" t="s">
        <v>82</v>
      </c>
      <c r="H312" s="38">
        <f t="shared" si="58"/>
        <v>240</v>
      </c>
      <c r="I312" s="62">
        <f t="shared" si="57"/>
        <v>59</v>
      </c>
      <c r="J312" s="38">
        <f t="shared" si="51"/>
        <v>845</v>
      </c>
      <c r="K312" s="38" t="str">
        <f t="shared" si="29"/>
        <v>Nellore</v>
      </c>
      <c r="L312" s="38">
        <f t="shared" si="52"/>
        <v>845</v>
      </c>
      <c r="M312" s="38" t="str">
        <f t="shared" si="30"/>
        <v>Nellore</v>
      </c>
      <c r="P312" s="38">
        <v>30</v>
      </c>
      <c r="Q312" s="222" t="s">
        <v>151</v>
      </c>
      <c r="S312" s="222">
        <v>123450024</v>
      </c>
      <c r="T312" s="222" t="str">
        <f t="shared" si="31"/>
        <v>Twelve  Crores  Thirty Four  Lakhs  Fifty Thousand and Twenty Four</v>
      </c>
      <c r="U312" s="222">
        <f t="shared" si="32"/>
        <v>120000000</v>
      </c>
      <c r="V312" s="222">
        <f t="shared" si="33"/>
        <v>12</v>
      </c>
      <c r="W312" s="222" t="str">
        <f t="shared" si="34"/>
        <v xml:space="preserve">Twelve  Crores  </v>
      </c>
      <c r="X312" s="222">
        <f t="shared" si="35"/>
        <v>3400000</v>
      </c>
      <c r="Y312" s="715">
        <f t="shared" si="36"/>
        <v>34</v>
      </c>
      <c r="Z312" s="222" t="str">
        <f t="shared" si="37"/>
        <v xml:space="preserve">Thirty Four  Lakhs  </v>
      </c>
      <c r="AA312" s="222">
        <f t="shared" si="38"/>
        <v>50000</v>
      </c>
      <c r="AB312" s="715">
        <f t="shared" si="39"/>
        <v>50</v>
      </c>
      <c r="AC312" s="222" t="str">
        <f t="shared" si="40"/>
        <v xml:space="preserve">Fifty Thousand </v>
      </c>
      <c r="AD312" s="222">
        <f t="shared" si="41"/>
        <v>0</v>
      </c>
      <c r="AE312" s="281">
        <f t="shared" si="42"/>
        <v>0</v>
      </c>
      <c r="AF312" s="222" t="str">
        <f t="shared" si="43"/>
        <v/>
      </c>
      <c r="AG312" s="222">
        <f t="shared" si="44"/>
        <v>24</v>
      </c>
      <c r="AH312" s="281" t="str">
        <f t="shared" si="45"/>
        <v>Twenty Four</v>
      </c>
      <c r="AJ312" s="236"/>
      <c r="AK312" s="270">
        <v>7770</v>
      </c>
      <c r="AL312" s="270">
        <v>14860</v>
      </c>
      <c r="AN312" s="273" t="e">
        <f t="shared" si="46"/>
        <v>#REF!</v>
      </c>
      <c r="AO312" s="273" t="e">
        <f t="shared" si="53"/>
        <v>#REF!</v>
      </c>
      <c r="AQ312" s="273" t="e">
        <f t="shared" si="47"/>
        <v>#REF!</v>
      </c>
      <c r="AR312" s="273" t="e">
        <f t="shared" si="54"/>
        <v>#REF!</v>
      </c>
      <c r="AS312" s="281"/>
      <c r="AT312" s="273" t="e">
        <f t="shared" si="48"/>
        <v>#REF!</v>
      </c>
      <c r="AU312" s="273" t="e">
        <f t="shared" si="55"/>
        <v>#REF!</v>
      </c>
      <c r="AV312" s="281"/>
      <c r="AW312" s="273" t="e">
        <f t="shared" si="49"/>
        <v>#REF!</v>
      </c>
      <c r="AX312" s="273" t="e">
        <f t="shared" si="56"/>
        <v>#REF!</v>
      </c>
      <c r="YS312" s="38" t="e">
        <f>RIGHT(CONCATENATE(0,#REF!),7)</f>
        <v>#REF!</v>
      </c>
    </row>
    <row r="313" spans="1:669" hidden="1">
      <c r="A313" s="35">
        <v>31</v>
      </c>
      <c r="B313" s="38">
        <v>1</v>
      </c>
      <c r="C313" s="37" t="s">
        <v>68</v>
      </c>
      <c r="D313" s="37">
        <v>31</v>
      </c>
      <c r="E313" s="37" t="s">
        <v>152</v>
      </c>
      <c r="F313" s="37">
        <v>5</v>
      </c>
      <c r="G313" s="38" t="s">
        <v>85</v>
      </c>
      <c r="H313" s="38">
        <f t="shared" si="58"/>
        <v>297</v>
      </c>
      <c r="I313" s="62">
        <f t="shared" si="57"/>
        <v>57</v>
      </c>
      <c r="J313" s="38">
        <f t="shared" si="51"/>
        <v>846</v>
      </c>
      <c r="K313" s="38" t="str">
        <f t="shared" si="29"/>
        <v>Ojili</v>
      </c>
      <c r="L313" s="38">
        <f t="shared" si="52"/>
        <v>846</v>
      </c>
      <c r="M313" s="38" t="str">
        <f t="shared" si="30"/>
        <v>Ojili</v>
      </c>
      <c r="P313" s="38">
        <v>31</v>
      </c>
      <c r="Q313" s="222" t="s">
        <v>153</v>
      </c>
      <c r="S313" s="222">
        <v>123450025</v>
      </c>
      <c r="T313" s="222" t="str">
        <f t="shared" si="31"/>
        <v>Twelve  Crores  Thirty Four  Lakhs  Fifty Thousand and Twenty Five</v>
      </c>
      <c r="U313" s="222">
        <f t="shared" si="32"/>
        <v>120000000</v>
      </c>
      <c r="V313" s="222">
        <f t="shared" si="33"/>
        <v>12</v>
      </c>
      <c r="W313" s="222" t="str">
        <f t="shared" si="34"/>
        <v xml:space="preserve">Twelve  Crores  </v>
      </c>
      <c r="X313" s="222">
        <f t="shared" si="35"/>
        <v>3400000</v>
      </c>
      <c r="Y313" s="715">
        <f t="shared" si="36"/>
        <v>34</v>
      </c>
      <c r="Z313" s="222" t="str">
        <f t="shared" si="37"/>
        <v xml:space="preserve">Thirty Four  Lakhs  </v>
      </c>
      <c r="AA313" s="222">
        <f t="shared" si="38"/>
        <v>50000</v>
      </c>
      <c r="AB313" s="715">
        <f t="shared" si="39"/>
        <v>50</v>
      </c>
      <c r="AC313" s="222" t="str">
        <f t="shared" si="40"/>
        <v xml:space="preserve">Fifty Thousand </v>
      </c>
      <c r="AD313" s="222">
        <f t="shared" si="41"/>
        <v>0</v>
      </c>
      <c r="AE313" s="281">
        <f t="shared" si="42"/>
        <v>0</v>
      </c>
      <c r="AF313" s="222" t="str">
        <f t="shared" si="43"/>
        <v/>
      </c>
      <c r="AG313" s="222">
        <f t="shared" si="44"/>
        <v>25</v>
      </c>
      <c r="AH313" s="281" t="str">
        <f t="shared" si="45"/>
        <v>Twenty Five</v>
      </c>
      <c r="AJ313" s="236"/>
      <c r="AK313" s="270">
        <v>7970</v>
      </c>
      <c r="AL313" s="270">
        <v>15280</v>
      </c>
      <c r="AN313" s="273" t="e">
        <f t="shared" si="46"/>
        <v>#REF!</v>
      </c>
      <c r="AO313" s="273" t="e">
        <f t="shared" si="53"/>
        <v>#REF!</v>
      </c>
      <c r="AQ313" s="273" t="e">
        <f t="shared" si="47"/>
        <v>#REF!</v>
      </c>
      <c r="AR313" s="273" t="e">
        <f t="shared" si="54"/>
        <v>#REF!</v>
      </c>
      <c r="AS313" s="281"/>
      <c r="AT313" s="273" t="e">
        <f t="shared" si="48"/>
        <v>#REF!</v>
      </c>
      <c r="AU313" s="273" t="e">
        <f t="shared" si="55"/>
        <v>#REF!</v>
      </c>
      <c r="AV313" s="281"/>
      <c r="AW313" s="273" t="e">
        <f t="shared" si="49"/>
        <v>#REF!</v>
      </c>
      <c r="AX313" s="273" t="e">
        <f t="shared" si="56"/>
        <v>#REF!</v>
      </c>
      <c r="YS313" s="38" t="e">
        <f>RIGHT(CONCATENATE(0,#REF!),7)</f>
        <v>#REF!</v>
      </c>
    </row>
    <row r="314" spans="1:669" hidden="1">
      <c r="A314" s="35">
        <v>32</v>
      </c>
      <c r="B314" s="38">
        <v>1</v>
      </c>
      <c r="C314" s="37" t="s">
        <v>68</v>
      </c>
      <c r="D314" s="37">
        <v>32</v>
      </c>
      <c r="E314" s="37" t="s">
        <v>154</v>
      </c>
      <c r="F314" s="37">
        <v>6</v>
      </c>
      <c r="G314" s="38" t="s">
        <v>88</v>
      </c>
      <c r="H314" s="38">
        <f t="shared" si="58"/>
        <v>313</v>
      </c>
      <c r="I314" s="62">
        <f t="shared" si="57"/>
        <v>16</v>
      </c>
      <c r="J314" s="38">
        <f t="shared" si="51"/>
        <v>847</v>
      </c>
      <c r="K314" s="38" t="str">
        <f t="shared" si="29"/>
        <v>Pellakur</v>
      </c>
      <c r="L314" s="38">
        <f t="shared" si="52"/>
        <v>847</v>
      </c>
      <c r="M314" s="38" t="str">
        <f t="shared" si="30"/>
        <v>Pellakur</v>
      </c>
      <c r="P314" s="38">
        <v>32</v>
      </c>
      <c r="Q314" s="222" t="s">
        <v>155</v>
      </c>
      <c r="S314" s="222">
        <v>123450026</v>
      </c>
      <c r="T314" s="222" t="str">
        <f t="shared" si="31"/>
        <v>Twelve  Crores  Thirty Four  Lakhs  Fifty Thousand and Twenty Six</v>
      </c>
      <c r="U314" s="222">
        <f t="shared" si="32"/>
        <v>120000000</v>
      </c>
      <c r="V314" s="222">
        <f t="shared" si="33"/>
        <v>12</v>
      </c>
      <c r="W314" s="222" t="str">
        <f t="shared" si="34"/>
        <v xml:space="preserve">Twelve  Crores  </v>
      </c>
      <c r="X314" s="222">
        <f t="shared" si="35"/>
        <v>3400000</v>
      </c>
      <c r="Y314" s="715">
        <f t="shared" si="36"/>
        <v>34</v>
      </c>
      <c r="Z314" s="222" t="str">
        <f t="shared" si="37"/>
        <v xml:space="preserve">Thirty Four  Lakhs  </v>
      </c>
      <c r="AA314" s="222">
        <f t="shared" si="38"/>
        <v>50000</v>
      </c>
      <c r="AB314" s="715">
        <f t="shared" si="39"/>
        <v>50</v>
      </c>
      <c r="AC314" s="222" t="str">
        <f t="shared" si="40"/>
        <v xml:space="preserve">Fifty Thousand </v>
      </c>
      <c r="AD314" s="222">
        <f t="shared" si="41"/>
        <v>0</v>
      </c>
      <c r="AE314" s="281">
        <f t="shared" si="42"/>
        <v>0</v>
      </c>
      <c r="AF314" s="222" t="str">
        <f t="shared" si="43"/>
        <v/>
      </c>
      <c r="AG314" s="222">
        <f t="shared" si="44"/>
        <v>26</v>
      </c>
      <c r="AH314" s="281" t="str">
        <f t="shared" si="45"/>
        <v>Twenty Six</v>
      </c>
      <c r="AJ314" s="236"/>
      <c r="AK314" s="270">
        <v>8170</v>
      </c>
      <c r="AL314" s="270">
        <v>15700</v>
      </c>
      <c r="AN314" s="273" t="e">
        <f t="shared" si="46"/>
        <v>#REF!</v>
      </c>
      <c r="AO314" s="273" t="e">
        <f t="shared" si="53"/>
        <v>#REF!</v>
      </c>
      <c r="AQ314" s="273" t="e">
        <f t="shared" si="47"/>
        <v>#REF!</v>
      </c>
      <c r="AR314" s="273" t="e">
        <f t="shared" si="54"/>
        <v>#REF!</v>
      </c>
      <c r="AS314" s="281"/>
      <c r="AT314" s="273" t="e">
        <f t="shared" si="48"/>
        <v>#REF!</v>
      </c>
      <c r="AU314" s="273" t="e">
        <f t="shared" si="55"/>
        <v>#REF!</v>
      </c>
      <c r="AV314" s="281"/>
      <c r="AW314" s="273" t="e">
        <f t="shared" si="49"/>
        <v>#REF!</v>
      </c>
      <c r="AX314" s="273" t="e">
        <f t="shared" si="56"/>
        <v>#REF!</v>
      </c>
      <c r="YS314" s="38" t="e">
        <f>RIGHT(CONCATENATE(0,#REF!),7)</f>
        <v>#REF!</v>
      </c>
    </row>
    <row r="315" spans="1:669" hidden="1">
      <c r="A315" s="35">
        <v>33</v>
      </c>
      <c r="B315" s="38">
        <v>1</v>
      </c>
      <c r="C315" s="37" t="s">
        <v>68</v>
      </c>
      <c r="D315" s="37">
        <v>33</v>
      </c>
      <c r="E315" s="37" t="s">
        <v>156</v>
      </c>
      <c r="F315" s="37">
        <v>7</v>
      </c>
      <c r="G315" s="38" t="s">
        <v>91</v>
      </c>
      <c r="H315" s="38">
        <f t="shared" si="58"/>
        <v>369</v>
      </c>
      <c r="I315" s="62">
        <f t="shared" si="57"/>
        <v>56</v>
      </c>
      <c r="J315" s="38">
        <f t="shared" si="51"/>
        <v>848</v>
      </c>
      <c r="K315" s="38" t="str">
        <f t="shared" si="29"/>
        <v>Podlakur</v>
      </c>
      <c r="L315" s="38">
        <f t="shared" si="52"/>
        <v>848</v>
      </c>
      <c r="M315" s="38" t="str">
        <f t="shared" si="30"/>
        <v>Podlakur</v>
      </c>
      <c r="P315" s="38">
        <v>33</v>
      </c>
      <c r="Q315" s="222" t="s">
        <v>157</v>
      </c>
      <c r="S315" s="222">
        <v>123450027</v>
      </c>
      <c r="T315" s="222" t="str">
        <f t="shared" ref="T315:T346" si="59">IF(S315=0,"NIL",IF(AND(V315=0,Y315=0,AB315=0,AE315=0),AH315,IF(AND(V315=0,Y315=0,AB315=0),CONCATENATE(AF315,IF(AG315&gt;0,"and "," "),AH315),IF(AND(V315=0,Y315=0),CONCATENATE(AC315,IF(AND(AG315=0,AE315&gt;0),"and ", ""),AF315,IF(AG315&gt;0,"and "," "),AH315),IF(V315=0,CONCATENATE(Z315,IF(AND(AG315=0,AE315=0,AB315&gt;0),"and ", ""),AC315,IF(AND(AG315=0,AE315&gt;0),"and ", ""),AF315,IF(AG315&gt;0,"and "," "),AH315),CONCATENATE(W315,IF(AND(AG315=0,AE315=0,AB315=0,Y315&gt;0),"and ", ""),Z315,IF(AND(AG315=0,AE315=0,AB315&gt;0),"and ", ""),AC315,IF(AND(AG315=0,AE315&gt;0),"and ", ""),AF315,IF(AG315&gt;0,"and "," "),AH315))))))</f>
        <v>Twelve  Crores  Thirty Four  Lakhs  Fifty Thousand and Twenty Seven</v>
      </c>
      <c r="U315" s="222">
        <f t="shared" ref="U315:U346" si="60">INT(S315/10000000)*10000000</f>
        <v>120000000</v>
      </c>
      <c r="V315" s="222">
        <f t="shared" ref="V315:V346" si="61">INT(S315/10000000)</f>
        <v>12</v>
      </c>
      <c r="W315" s="222" t="str">
        <f t="shared" ref="W315:W346" si="62">IF(V315=1,CONCATENATE(VLOOKUP(V315,$P$283:$Q$381,2),"  Crore "),IF(V315&gt;1,CONCATENATE(VLOOKUP(V315,$P$283:$Q$381,2),"  Crores  "),""))</f>
        <v xml:space="preserve">Twelve  Crores  </v>
      </c>
      <c r="X315" s="222">
        <f t="shared" ref="X315:X346" si="63">INT(S315/100000)*100000-U315</f>
        <v>3400000</v>
      </c>
      <c r="Y315" s="715">
        <f t="shared" ref="Y315:Y346" si="64">INT(X315/100000)</f>
        <v>34</v>
      </c>
      <c r="Z315" s="222" t="str">
        <f t="shared" ref="Z315:Z346" si="65">IF(Y315=1,CONCATENATE(VLOOKUP(Y315,$P$283:$Q$381,2),"  Lakh "),IF(Y315&gt;1,CONCATENATE(VLOOKUP(Y315,$P$283:$Q$381,2),"  Lakhs  "),""))</f>
        <v xml:space="preserve">Thirty Four  Lakhs  </v>
      </c>
      <c r="AA315" s="222">
        <f t="shared" ref="AA315:AA346" si="66">INT(S315/1000)*1000-U315-X315</f>
        <v>50000</v>
      </c>
      <c r="AB315" s="715">
        <f t="shared" ref="AB315:AB346" si="67">INT(AA315/1000)</f>
        <v>50</v>
      </c>
      <c r="AC315" s="222" t="str">
        <f t="shared" ref="AC315:AC346" si="68">IF(AB315&gt;0,CONCATENATE(VLOOKUP(AB315,$P$283:$Q$381,2)," Thousand "),"")</f>
        <v xml:space="preserve">Fifty Thousand </v>
      </c>
      <c r="AD315" s="222">
        <f t="shared" ref="AD315:AD346" si="69">INT(S315/100)*100-U315-X315-AA315</f>
        <v>0</v>
      </c>
      <c r="AE315" s="281">
        <f t="shared" ref="AE315:AE346" si="70">INT(AD315/100)</f>
        <v>0</v>
      </c>
      <c r="AF315" s="222" t="str">
        <f t="shared" ref="AF315:AF346" si="71">IF(AE315&gt;0,CONCATENATE(VLOOKUP(AE315,$P$283:$Q$381,2)," Hundred "),"")</f>
        <v/>
      </c>
      <c r="AG315" s="222">
        <f t="shared" ref="AG315:AG346" si="72">S315-U315-X315-AA315-AD315</f>
        <v>27</v>
      </c>
      <c r="AH315" s="281" t="str">
        <f t="shared" ref="AH315:AH346" si="73">IF(AG315&gt;0, VLOOKUP(AG315,$P$283:$Q$381,2),"")</f>
        <v>Twenty Seven</v>
      </c>
      <c r="AJ315" s="236"/>
      <c r="AK315" s="270">
        <v>8385</v>
      </c>
      <c r="AL315" s="270">
        <v>16150</v>
      </c>
      <c r="AN315" s="273" t="e">
        <f t="shared" si="46"/>
        <v>#REF!</v>
      </c>
      <c r="AO315" s="273" t="e">
        <f t="shared" si="53"/>
        <v>#REF!</v>
      </c>
      <c r="AQ315" s="273" t="e">
        <f t="shared" si="47"/>
        <v>#REF!</v>
      </c>
      <c r="AR315" s="273" t="e">
        <f t="shared" si="54"/>
        <v>#REF!</v>
      </c>
      <c r="AS315" s="281"/>
      <c r="AT315" s="273" t="e">
        <f t="shared" si="48"/>
        <v>#REF!</v>
      </c>
      <c r="AU315" s="273" t="e">
        <f t="shared" si="55"/>
        <v>#REF!</v>
      </c>
      <c r="AV315" s="281"/>
      <c r="AW315" s="273" t="e">
        <f t="shared" si="49"/>
        <v>#REF!</v>
      </c>
      <c r="AX315" s="273" t="e">
        <f t="shared" si="56"/>
        <v>#REF!</v>
      </c>
      <c r="YS315" s="38" t="e">
        <f>RIGHT(CONCATENATE(0,#REF!),7)</f>
        <v>#REF!</v>
      </c>
    </row>
    <row r="316" spans="1:669" hidden="1">
      <c r="A316" s="35">
        <v>34</v>
      </c>
      <c r="B316" s="38">
        <v>1</v>
      </c>
      <c r="C316" s="37" t="s">
        <v>68</v>
      </c>
      <c r="D316" s="37">
        <v>34</v>
      </c>
      <c r="E316" s="37" t="s">
        <v>158</v>
      </c>
      <c r="F316" s="37">
        <v>8</v>
      </c>
      <c r="G316" s="38" t="s">
        <v>94</v>
      </c>
      <c r="H316" s="38">
        <f t="shared" si="58"/>
        <v>415</v>
      </c>
      <c r="I316" s="62">
        <f t="shared" si="57"/>
        <v>46</v>
      </c>
      <c r="J316" s="38">
        <f t="shared" si="51"/>
        <v>849</v>
      </c>
      <c r="K316" s="38" t="str">
        <f t="shared" ref="K316:K347" si="74">IF(J316&gt;$J$283,"",VLOOKUP(J316,$A$283:$E$1404,5))</f>
        <v>Rapur</v>
      </c>
      <c r="L316" s="38">
        <f t="shared" si="52"/>
        <v>849</v>
      </c>
      <c r="M316" s="38" t="str">
        <f t="shared" ref="M316:M347" si="75">IF(L316&gt;$L$283,"",VLOOKUP(L316,$A$283:$E$1404,5))</f>
        <v>Rapur</v>
      </c>
      <c r="P316" s="38">
        <v>34</v>
      </c>
      <c r="Q316" s="222" t="s">
        <v>159</v>
      </c>
      <c r="S316" s="222">
        <v>123450028</v>
      </c>
      <c r="T316" s="222" t="str">
        <f t="shared" si="59"/>
        <v>Twelve  Crores  Thirty Four  Lakhs  Fifty Thousand and Twenty Eight</v>
      </c>
      <c r="U316" s="222">
        <f t="shared" si="60"/>
        <v>120000000</v>
      </c>
      <c r="V316" s="222">
        <f t="shared" si="61"/>
        <v>12</v>
      </c>
      <c r="W316" s="222" t="str">
        <f t="shared" si="62"/>
        <v xml:space="preserve">Twelve  Crores  </v>
      </c>
      <c r="X316" s="222">
        <f t="shared" si="63"/>
        <v>3400000</v>
      </c>
      <c r="Y316" s="715">
        <f t="shared" si="64"/>
        <v>34</v>
      </c>
      <c r="Z316" s="222" t="str">
        <f t="shared" si="65"/>
        <v xml:space="preserve">Thirty Four  Lakhs  </v>
      </c>
      <c r="AA316" s="222">
        <f t="shared" si="66"/>
        <v>50000</v>
      </c>
      <c r="AB316" s="715">
        <f t="shared" si="67"/>
        <v>50</v>
      </c>
      <c r="AC316" s="222" t="str">
        <f t="shared" si="68"/>
        <v xml:space="preserve">Fifty Thousand </v>
      </c>
      <c r="AD316" s="222">
        <f t="shared" si="69"/>
        <v>0</v>
      </c>
      <c r="AE316" s="281">
        <f t="shared" si="70"/>
        <v>0</v>
      </c>
      <c r="AF316" s="222" t="str">
        <f t="shared" si="71"/>
        <v/>
      </c>
      <c r="AG316" s="222">
        <f t="shared" si="72"/>
        <v>28</v>
      </c>
      <c r="AH316" s="281" t="str">
        <f t="shared" si="73"/>
        <v>Twenty Eight</v>
      </c>
      <c r="AJ316" s="236"/>
      <c r="AK316" s="270">
        <v>8600</v>
      </c>
      <c r="AL316" s="270">
        <v>16600</v>
      </c>
      <c r="AN316" s="273" t="e">
        <f t="shared" si="46"/>
        <v>#REF!</v>
      </c>
      <c r="AO316" s="273" t="e">
        <f t="shared" si="53"/>
        <v>#REF!</v>
      </c>
      <c r="AQ316" s="273" t="e">
        <f t="shared" si="47"/>
        <v>#REF!</v>
      </c>
      <c r="AR316" s="273" t="e">
        <f t="shared" si="54"/>
        <v>#REF!</v>
      </c>
      <c r="AS316" s="281"/>
      <c r="AT316" s="273" t="e">
        <f t="shared" si="48"/>
        <v>#REF!</v>
      </c>
      <c r="AU316" s="273" t="e">
        <f t="shared" si="55"/>
        <v>#REF!</v>
      </c>
      <c r="AV316" s="281"/>
      <c r="AW316" s="273" t="e">
        <f t="shared" si="49"/>
        <v>#REF!</v>
      </c>
      <c r="AX316" s="273" t="e">
        <f t="shared" si="56"/>
        <v>#REF!</v>
      </c>
      <c r="YS316" s="38" t="e">
        <f>RIGHT(CONCATENATE(0,#REF!),7)</f>
        <v>#REF!</v>
      </c>
    </row>
    <row r="317" spans="1:669" hidden="1">
      <c r="A317" s="35">
        <v>35</v>
      </c>
      <c r="B317" s="38">
        <v>1</v>
      </c>
      <c r="C317" s="37" t="s">
        <v>68</v>
      </c>
      <c r="D317" s="37">
        <v>35</v>
      </c>
      <c r="E317" s="37" t="s">
        <v>160</v>
      </c>
      <c r="F317" s="37">
        <v>9</v>
      </c>
      <c r="G317" s="38" t="s">
        <v>97</v>
      </c>
      <c r="H317" s="38">
        <f t="shared" si="58"/>
        <v>465</v>
      </c>
      <c r="I317" s="62">
        <f t="shared" si="57"/>
        <v>50</v>
      </c>
      <c r="J317" s="38">
        <f t="shared" si="51"/>
        <v>850</v>
      </c>
      <c r="K317" s="38" t="str">
        <f t="shared" si="74"/>
        <v>Sangam</v>
      </c>
      <c r="L317" s="38">
        <f t="shared" si="52"/>
        <v>850</v>
      </c>
      <c r="M317" s="38" t="str">
        <f t="shared" si="75"/>
        <v>Sangam</v>
      </c>
      <c r="P317" s="38">
        <v>35</v>
      </c>
      <c r="Q317" s="222" t="s">
        <v>161</v>
      </c>
      <c r="S317" s="222">
        <v>123450029</v>
      </c>
      <c r="T317" s="222" t="str">
        <f t="shared" si="59"/>
        <v>Twelve  Crores  Thirty Four  Lakhs  Fifty Thousand and Twenty Nine</v>
      </c>
      <c r="U317" s="222">
        <f t="shared" si="60"/>
        <v>120000000</v>
      </c>
      <c r="V317" s="222">
        <f t="shared" si="61"/>
        <v>12</v>
      </c>
      <c r="W317" s="222" t="str">
        <f t="shared" si="62"/>
        <v xml:space="preserve">Twelve  Crores  </v>
      </c>
      <c r="X317" s="222">
        <f t="shared" si="63"/>
        <v>3400000</v>
      </c>
      <c r="Y317" s="715">
        <f t="shared" si="64"/>
        <v>34</v>
      </c>
      <c r="Z317" s="222" t="str">
        <f t="shared" si="65"/>
        <v xml:space="preserve">Thirty Four  Lakhs  </v>
      </c>
      <c r="AA317" s="222">
        <f t="shared" si="66"/>
        <v>50000</v>
      </c>
      <c r="AB317" s="715">
        <f t="shared" si="67"/>
        <v>50</v>
      </c>
      <c r="AC317" s="222" t="str">
        <f t="shared" si="68"/>
        <v xml:space="preserve">Fifty Thousand </v>
      </c>
      <c r="AD317" s="222">
        <f t="shared" si="69"/>
        <v>0</v>
      </c>
      <c r="AE317" s="281">
        <f t="shared" si="70"/>
        <v>0</v>
      </c>
      <c r="AF317" s="222" t="str">
        <f t="shared" si="71"/>
        <v/>
      </c>
      <c r="AG317" s="222">
        <f t="shared" si="72"/>
        <v>29</v>
      </c>
      <c r="AH317" s="281" t="str">
        <f t="shared" si="73"/>
        <v>Twenty Nine</v>
      </c>
      <c r="AJ317" s="236"/>
      <c r="AK317" s="270">
        <v>8815</v>
      </c>
      <c r="AL317" s="270">
        <v>17050</v>
      </c>
      <c r="AN317" s="273" t="e">
        <f t="shared" si="46"/>
        <v>#REF!</v>
      </c>
      <c r="AO317" s="273" t="e">
        <f t="shared" si="53"/>
        <v>#REF!</v>
      </c>
      <c r="AQ317" s="273" t="e">
        <f t="shared" si="47"/>
        <v>#REF!</v>
      </c>
      <c r="AR317" s="273" t="e">
        <f t="shared" si="54"/>
        <v>#REF!</v>
      </c>
      <c r="AS317" s="281"/>
      <c r="AT317" s="273" t="e">
        <f t="shared" si="48"/>
        <v>#REF!</v>
      </c>
      <c r="AU317" s="273" t="e">
        <f t="shared" si="55"/>
        <v>#REF!</v>
      </c>
      <c r="AV317" s="281"/>
      <c r="AW317" s="273" t="e">
        <f t="shared" si="49"/>
        <v>#REF!</v>
      </c>
      <c r="AX317" s="273" t="e">
        <f t="shared" si="56"/>
        <v>#REF!</v>
      </c>
      <c r="YS317" s="38" t="e">
        <f>RIGHT(CONCATENATE(0,#REF!),7)</f>
        <v>#REF!</v>
      </c>
    </row>
    <row r="318" spans="1:669" hidden="1">
      <c r="A318" s="35">
        <v>36</v>
      </c>
      <c r="B318" s="38">
        <v>1</v>
      </c>
      <c r="C318" s="37" t="s">
        <v>68</v>
      </c>
      <c r="D318" s="37">
        <v>36</v>
      </c>
      <c r="E318" s="37" t="s">
        <v>162</v>
      </c>
      <c r="F318" s="37">
        <v>10</v>
      </c>
      <c r="G318" s="38" t="s">
        <v>100</v>
      </c>
      <c r="H318" s="38">
        <f t="shared" si="58"/>
        <v>519</v>
      </c>
      <c r="I318" s="62">
        <f t="shared" si="57"/>
        <v>54</v>
      </c>
      <c r="J318" s="38">
        <f t="shared" si="51"/>
        <v>851</v>
      </c>
      <c r="K318" s="38" t="str">
        <f t="shared" si="74"/>
        <v>Seetharamapuram</v>
      </c>
      <c r="L318" s="38">
        <f t="shared" si="52"/>
        <v>851</v>
      </c>
      <c r="M318" s="38" t="str">
        <f t="shared" si="75"/>
        <v>Seetharamapuram</v>
      </c>
      <c r="P318" s="38">
        <v>36</v>
      </c>
      <c r="Q318" s="222" t="s">
        <v>163</v>
      </c>
      <c r="S318" s="222">
        <v>123450030</v>
      </c>
      <c r="T318" s="222" t="str">
        <f t="shared" si="59"/>
        <v>Twelve  Crores  Thirty Four  Lakhs  Fifty Thousand and Thirty</v>
      </c>
      <c r="U318" s="222">
        <f t="shared" si="60"/>
        <v>120000000</v>
      </c>
      <c r="V318" s="222">
        <f t="shared" si="61"/>
        <v>12</v>
      </c>
      <c r="W318" s="222" t="str">
        <f t="shared" si="62"/>
        <v xml:space="preserve">Twelve  Crores  </v>
      </c>
      <c r="X318" s="222">
        <f t="shared" si="63"/>
        <v>3400000</v>
      </c>
      <c r="Y318" s="715">
        <f t="shared" si="64"/>
        <v>34</v>
      </c>
      <c r="Z318" s="222" t="str">
        <f t="shared" si="65"/>
        <v xml:space="preserve">Thirty Four  Lakhs  </v>
      </c>
      <c r="AA318" s="222">
        <f t="shared" si="66"/>
        <v>50000</v>
      </c>
      <c r="AB318" s="715">
        <f t="shared" si="67"/>
        <v>50</v>
      </c>
      <c r="AC318" s="222" t="str">
        <f t="shared" si="68"/>
        <v xml:space="preserve">Fifty Thousand </v>
      </c>
      <c r="AD318" s="222">
        <f t="shared" si="69"/>
        <v>0</v>
      </c>
      <c r="AE318" s="281">
        <f t="shared" si="70"/>
        <v>0</v>
      </c>
      <c r="AF318" s="222" t="str">
        <f t="shared" si="71"/>
        <v/>
      </c>
      <c r="AG318" s="222">
        <f t="shared" si="72"/>
        <v>30</v>
      </c>
      <c r="AH318" s="281" t="str">
        <f t="shared" si="73"/>
        <v>Thirty</v>
      </c>
      <c r="AJ318" s="236"/>
      <c r="AK318" s="270">
        <v>9050</v>
      </c>
      <c r="AL318" s="270">
        <v>17540</v>
      </c>
      <c r="AN318" s="273" t="e">
        <f t="shared" si="46"/>
        <v>#REF!</v>
      </c>
      <c r="AO318" s="273" t="e">
        <f t="shared" si="53"/>
        <v>#REF!</v>
      </c>
      <c r="AQ318" s="273" t="e">
        <f t="shared" si="47"/>
        <v>#REF!</v>
      </c>
      <c r="AR318" s="273" t="e">
        <f t="shared" si="54"/>
        <v>#REF!</v>
      </c>
      <c r="AS318" s="281"/>
      <c r="AT318" s="273" t="e">
        <f t="shared" si="48"/>
        <v>#REF!</v>
      </c>
      <c r="AU318" s="273" t="e">
        <f t="shared" si="55"/>
        <v>#REF!</v>
      </c>
      <c r="AV318" s="281"/>
      <c r="AW318" s="273" t="e">
        <f t="shared" si="49"/>
        <v>#REF!</v>
      </c>
      <c r="AX318" s="273" t="e">
        <f t="shared" si="56"/>
        <v>#REF!</v>
      </c>
      <c r="YS318" s="38" t="e">
        <f>RIGHT(CONCATENATE(0,#REF!),7)</f>
        <v>#REF!</v>
      </c>
    </row>
    <row r="319" spans="1:669" hidden="1">
      <c r="A319" s="35">
        <v>37</v>
      </c>
      <c r="B319" s="38">
        <v>1</v>
      </c>
      <c r="C319" s="37" t="s">
        <v>68</v>
      </c>
      <c r="D319" s="37">
        <v>37</v>
      </c>
      <c r="E319" s="37" t="s">
        <v>164</v>
      </c>
      <c r="F319" s="37">
        <v>11</v>
      </c>
      <c r="G319" s="38" t="s">
        <v>103</v>
      </c>
      <c r="H319" s="38">
        <f t="shared" si="58"/>
        <v>583</v>
      </c>
      <c r="I319" s="62">
        <f t="shared" si="57"/>
        <v>64</v>
      </c>
      <c r="J319" s="38">
        <f t="shared" si="51"/>
        <v>852</v>
      </c>
      <c r="K319" s="38" t="str">
        <f t="shared" si="74"/>
        <v>Sullurpeta</v>
      </c>
      <c r="L319" s="38">
        <f t="shared" si="52"/>
        <v>852</v>
      </c>
      <c r="M319" s="38" t="str">
        <f t="shared" si="75"/>
        <v>Sullurpeta</v>
      </c>
      <c r="P319" s="38">
        <v>37</v>
      </c>
      <c r="Q319" s="222" t="s">
        <v>165</v>
      </c>
      <c r="S319" s="222">
        <v>123450031</v>
      </c>
      <c r="T319" s="222" t="str">
        <f t="shared" si="59"/>
        <v>Twelve  Crores  Thirty Four  Lakhs  Fifty Thousand and Thirty One</v>
      </c>
      <c r="U319" s="222">
        <f t="shared" si="60"/>
        <v>120000000</v>
      </c>
      <c r="V319" s="222">
        <f t="shared" si="61"/>
        <v>12</v>
      </c>
      <c r="W319" s="222" t="str">
        <f t="shared" si="62"/>
        <v xml:space="preserve">Twelve  Crores  </v>
      </c>
      <c r="X319" s="222">
        <f t="shared" si="63"/>
        <v>3400000</v>
      </c>
      <c r="Y319" s="715">
        <f t="shared" si="64"/>
        <v>34</v>
      </c>
      <c r="Z319" s="222" t="str">
        <f t="shared" si="65"/>
        <v xml:space="preserve">Thirty Four  Lakhs  </v>
      </c>
      <c r="AA319" s="222">
        <f t="shared" si="66"/>
        <v>50000</v>
      </c>
      <c r="AB319" s="715">
        <f t="shared" si="67"/>
        <v>50</v>
      </c>
      <c r="AC319" s="222" t="str">
        <f t="shared" si="68"/>
        <v xml:space="preserve">Fifty Thousand </v>
      </c>
      <c r="AD319" s="222">
        <f t="shared" si="69"/>
        <v>0</v>
      </c>
      <c r="AE319" s="281">
        <f t="shared" si="70"/>
        <v>0</v>
      </c>
      <c r="AF319" s="222" t="str">
        <f t="shared" si="71"/>
        <v/>
      </c>
      <c r="AG319" s="222">
        <f t="shared" si="72"/>
        <v>31</v>
      </c>
      <c r="AH319" s="281" t="str">
        <f t="shared" si="73"/>
        <v>Thirty One</v>
      </c>
      <c r="AJ319" s="236"/>
      <c r="AK319" s="270">
        <v>9285</v>
      </c>
      <c r="AL319" s="270">
        <v>18030</v>
      </c>
      <c r="AN319" s="273" t="e">
        <f t="shared" si="46"/>
        <v>#REF!</v>
      </c>
      <c r="AO319" s="273" t="e">
        <f t="shared" si="53"/>
        <v>#REF!</v>
      </c>
      <c r="AQ319" s="273" t="e">
        <f t="shared" si="47"/>
        <v>#REF!</v>
      </c>
      <c r="AR319" s="273" t="e">
        <f t="shared" si="54"/>
        <v>#REF!</v>
      </c>
      <c r="AS319" s="281"/>
      <c r="AT319" s="273" t="e">
        <f t="shared" si="48"/>
        <v>#REF!</v>
      </c>
      <c r="AU319" s="273" t="e">
        <f t="shared" si="55"/>
        <v>#REF!</v>
      </c>
      <c r="AV319" s="281"/>
      <c r="AW319" s="273" t="e">
        <f t="shared" si="49"/>
        <v>#REF!</v>
      </c>
      <c r="AX319" s="273" t="e">
        <f t="shared" si="56"/>
        <v>#REF!</v>
      </c>
      <c r="YS319" s="38" t="e">
        <f>RIGHT(CONCATENATE(0,#REF!),7)</f>
        <v>#REF!</v>
      </c>
    </row>
    <row r="320" spans="1:669" hidden="1">
      <c r="A320" s="35">
        <v>38</v>
      </c>
      <c r="B320" s="38">
        <v>1</v>
      </c>
      <c r="C320" s="37" t="s">
        <v>68</v>
      </c>
      <c r="D320" s="37">
        <v>38</v>
      </c>
      <c r="E320" s="37" t="s">
        <v>166</v>
      </c>
      <c r="F320" s="37">
        <v>12</v>
      </c>
      <c r="G320" s="38" t="s">
        <v>106</v>
      </c>
      <c r="H320" s="38">
        <f t="shared" si="58"/>
        <v>628</v>
      </c>
      <c r="I320" s="62">
        <f t="shared" si="57"/>
        <v>45</v>
      </c>
      <c r="J320" s="38">
        <f t="shared" si="51"/>
        <v>853</v>
      </c>
      <c r="K320" s="38" t="str">
        <f t="shared" si="74"/>
        <v>Sydapuram</v>
      </c>
      <c r="L320" s="38">
        <f t="shared" si="52"/>
        <v>853</v>
      </c>
      <c r="M320" s="38" t="str">
        <f t="shared" si="75"/>
        <v>Sydapuram</v>
      </c>
      <c r="P320" s="38">
        <v>38</v>
      </c>
      <c r="Q320" s="222" t="s">
        <v>167</v>
      </c>
      <c r="S320" s="222">
        <v>123450032</v>
      </c>
      <c r="T320" s="222" t="str">
        <f t="shared" si="59"/>
        <v>Twelve  Crores  Thirty Four  Lakhs  Fifty Thousand and Thirty Two</v>
      </c>
      <c r="U320" s="222">
        <f t="shared" si="60"/>
        <v>120000000</v>
      </c>
      <c r="V320" s="222">
        <f t="shared" si="61"/>
        <v>12</v>
      </c>
      <c r="W320" s="222" t="str">
        <f t="shared" si="62"/>
        <v xml:space="preserve">Twelve  Crores  </v>
      </c>
      <c r="X320" s="222">
        <f t="shared" si="63"/>
        <v>3400000</v>
      </c>
      <c r="Y320" s="715">
        <f t="shared" si="64"/>
        <v>34</v>
      </c>
      <c r="Z320" s="222" t="str">
        <f t="shared" si="65"/>
        <v xml:space="preserve">Thirty Four  Lakhs  </v>
      </c>
      <c r="AA320" s="222">
        <f t="shared" si="66"/>
        <v>50000</v>
      </c>
      <c r="AB320" s="715">
        <f t="shared" si="67"/>
        <v>50</v>
      </c>
      <c r="AC320" s="222" t="str">
        <f t="shared" si="68"/>
        <v xml:space="preserve">Fifty Thousand </v>
      </c>
      <c r="AD320" s="222">
        <f t="shared" si="69"/>
        <v>0</v>
      </c>
      <c r="AE320" s="281">
        <f t="shared" si="70"/>
        <v>0</v>
      </c>
      <c r="AF320" s="222" t="str">
        <f t="shared" si="71"/>
        <v/>
      </c>
      <c r="AG320" s="222">
        <f t="shared" si="72"/>
        <v>32</v>
      </c>
      <c r="AH320" s="281" t="str">
        <f t="shared" si="73"/>
        <v>Thirty Two</v>
      </c>
      <c r="AJ320" s="236"/>
      <c r="AK320" s="270">
        <v>9520</v>
      </c>
      <c r="AL320" s="270">
        <v>18520</v>
      </c>
      <c r="AN320" s="273" t="e">
        <f t="shared" si="46"/>
        <v>#REF!</v>
      </c>
      <c r="AO320" s="273" t="e">
        <f t="shared" si="53"/>
        <v>#REF!</v>
      </c>
      <c r="AQ320" s="273" t="e">
        <f t="shared" si="47"/>
        <v>#REF!</v>
      </c>
      <c r="AR320" s="273" t="e">
        <f t="shared" si="54"/>
        <v>#REF!</v>
      </c>
      <c r="AS320" s="281"/>
      <c r="AT320" s="273" t="e">
        <f t="shared" si="48"/>
        <v>#REF!</v>
      </c>
      <c r="AU320" s="273" t="e">
        <f t="shared" si="55"/>
        <v>#REF!</v>
      </c>
      <c r="AV320" s="281"/>
      <c r="AW320" s="273" t="e">
        <f t="shared" si="49"/>
        <v>#REF!</v>
      </c>
      <c r="AX320" s="273" t="e">
        <f t="shared" si="56"/>
        <v>#REF!</v>
      </c>
      <c r="YS320" s="38" t="e">
        <f>RIGHT(CONCATENATE(0,#REF!),7)</f>
        <v>#REF!</v>
      </c>
    </row>
    <row r="321" spans="1:669" hidden="1">
      <c r="A321" s="35">
        <v>39</v>
      </c>
      <c r="B321" s="38">
        <v>1</v>
      </c>
      <c r="C321" s="37" t="s">
        <v>68</v>
      </c>
      <c r="D321" s="37">
        <v>39</v>
      </c>
      <c r="E321" s="37" t="s">
        <v>168</v>
      </c>
      <c r="F321" s="37">
        <v>13</v>
      </c>
      <c r="G321" s="38" t="s">
        <v>109</v>
      </c>
      <c r="H321" s="38">
        <f t="shared" si="58"/>
        <v>687</v>
      </c>
      <c r="I321" s="62">
        <f t="shared" si="57"/>
        <v>59</v>
      </c>
      <c r="J321" s="38">
        <f t="shared" si="51"/>
        <v>854</v>
      </c>
      <c r="K321" s="38" t="str">
        <f t="shared" si="74"/>
        <v>Tada</v>
      </c>
      <c r="L321" s="38">
        <f t="shared" si="52"/>
        <v>854</v>
      </c>
      <c r="M321" s="38" t="str">
        <f t="shared" si="75"/>
        <v>Tada</v>
      </c>
      <c r="P321" s="38">
        <v>39</v>
      </c>
      <c r="Q321" s="222" t="s">
        <v>169</v>
      </c>
      <c r="S321" s="222">
        <v>123450033</v>
      </c>
      <c r="T321" s="222" t="str">
        <f t="shared" si="59"/>
        <v>Twelve  Crores  Thirty Four  Lakhs  Fifty Thousand and Thirty Three</v>
      </c>
      <c r="U321" s="222">
        <f t="shared" si="60"/>
        <v>120000000</v>
      </c>
      <c r="V321" s="222">
        <f t="shared" si="61"/>
        <v>12</v>
      </c>
      <c r="W321" s="222" t="str">
        <f t="shared" si="62"/>
        <v xml:space="preserve">Twelve  Crores  </v>
      </c>
      <c r="X321" s="222">
        <f t="shared" si="63"/>
        <v>3400000</v>
      </c>
      <c r="Y321" s="715">
        <f t="shared" si="64"/>
        <v>34</v>
      </c>
      <c r="Z321" s="222" t="str">
        <f t="shared" si="65"/>
        <v xml:space="preserve">Thirty Four  Lakhs  </v>
      </c>
      <c r="AA321" s="222">
        <f t="shared" si="66"/>
        <v>50000</v>
      </c>
      <c r="AB321" s="715">
        <f t="shared" si="67"/>
        <v>50</v>
      </c>
      <c r="AC321" s="222" t="str">
        <f t="shared" si="68"/>
        <v xml:space="preserve">Fifty Thousand </v>
      </c>
      <c r="AD321" s="222">
        <f t="shared" si="69"/>
        <v>0</v>
      </c>
      <c r="AE321" s="281">
        <f t="shared" si="70"/>
        <v>0</v>
      </c>
      <c r="AF321" s="222" t="str">
        <f t="shared" si="71"/>
        <v/>
      </c>
      <c r="AG321" s="222">
        <f t="shared" si="72"/>
        <v>33</v>
      </c>
      <c r="AH321" s="281" t="str">
        <f t="shared" si="73"/>
        <v>Thirty Three</v>
      </c>
      <c r="AJ321" s="236"/>
      <c r="AK321" s="270">
        <v>9775</v>
      </c>
      <c r="AL321" s="270">
        <v>19050</v>
      </c>
      <c r="AN321" s="273" t="e">
        <f t="shared" si="46"/>
        <v>#REF!</v>
      </c>
      <c r="AO321" s="273" t="e">
        <f t="shared" si="53"/>
        <v>#REF!</v>
      </c>
      <c r="AQ321" s="273" t="e">
        <f t="shared" si="47"/>
        <v>#REF!</v>
      </c>
      <c r="AR321" s="273" t="e">
        <f t="shared" si="54"/>
        <v>#REF!</v>
      </c>
      <c r="AS321" s="281"/>
      <c r="AT321" s="273" t="e">
        <f t="shared" si="48"/>
        <v>#REF!</v>
      </c>
      <c r="AU321" s="273" t="e">
        <f t="shared" si="55"/>
        <v>#REF!</v>
      </c>
      <c r="AV321" s="281"/>
      <c r="AW321" s="273" t="e">
        <f t="shared" si="49"/>
        <v>#REF!</v>
      </c>
      <c r="AX321" s="273" t="e">
        <f t="shared" si="56"/>
        <v>#REF!</v>
      </c>
      <c r="YS321" s="38" t="e">
        <f>RIGHT(CONCATENATE(0,#REF!),7)</f>
        <v>#REF!</v>
      </c>
    </row>
    <row r="322" spans="1:669" hidden="1">
      <c r="A322" s="35">
        <v>40</v>
      </c>
      <c r="B322" s="38">
        <v>1</v>
      </c>
      <c r="C322" s="37" t="s">
        <v>68</v>
      </c>
      <c r="D322" s="37">
        <v>40</v>
      </c>
      <c r="E322" s="37" t="s">
        <v>170</v>
      </c>
      <c r="F322" s="37">
        <v>14</v>
      </c>
      <c r="G322" s="38" t="s">
        <v>112</v>
      </c>
      <c r="H322" s="38">
        <f t="shared" si="58"/>
        <v>723</v>
      </c>
      <c r="I322" s="62">
        <f t="shared" si="57"/>
        <v>36</v>
      </c>
      <c r="J322" s="38">
        <f t="shared" si="51"/>
        <v>855</v>
      </c>
      <c r="K322" s="38" t="str">
        <f t="shared" si="74"/>
        <v>Thotapalligudur</v>
      </c>
      <c r="L322" s="38">
        <f t="shared" si="52"/>
        <v>855</v>
      </c>
      <c r="M322" s="38" t="str">
        <f t="shared" si="75"/>
        <v>Thotapalligudur</v>
      </c>
      <c r="P322" s="38">
        <v>40</v>
      </c>
      <c r="Q322" s="222" t="s">
        <v>171</v>
      </c>
      <c r="S322" s="222">
        <v>123450034</v>
      </c>
      <c r="T322" s="222" t="str">
        <f t="shared" si="59"/>
        <v>Twelve  Crores  Thirty Four  Lakhs  Fifty Thousand and Thirty Four</v>
      </c>
      <c r="U322" s="222">
        <f t="shared" si="60"/>
        <v>120000000</v>
      </c>
      <c r="V322" s="222">
        <f t="shared" si="61"/>
        <v>12</v>
      </c>
      <c r="W322" s="222" t="str">
        <f t="shared" si="62"/>
        <v xml:space="preserve">Twelve  Crores  </v>
      </c>
      <c r="X322" s="222">
        <f t="shared" si="63"/>
        <v>3400000</v>
      </c>
      <c r="Y322" s="715">
        <f t="shared" si="64"/>
        <v>34</v>
      </c>
      <c r="Z322" s="222" t="str">
        <f t="shared" si="65"/>
        <v xml:space="preserve">Thirty Four  Lakhs  </v>
      </c>
      <c r="AA322" s="222">
        <f t="shared" si="66"/>
        <v>50000</v>
      </c>
      <c r="AB322" s="715">
        <f t="shared" si="67"/>
        <v>50</v>
      </c>
      <c r="AC322" s="222" t="str">
        <f t="shared" si="68"/>
        <v xml:space="preserve">Fifty Thousand </v>
      </c>
      <c r="AD322" s="222">
        <f t="shared" si="69"/>
        <v>0</v>
      </c>
      <c r="AE322" s="281">
        <f t="shared" si="70"/>
        <v>0</v>
      </c>
      <c r="AF322" s="222" t="str">
        <f t="shared" si="71"/>
        <v/>
      </c>
      <c r="AG322" s="222">
        <f t="shared" si="72"/>
        <v>34</v>
      </c>
      <c r="AH322" s="281" t="str">
        <f t="shared" si="73"/>
        <v>Thirty Four</v>
      </c>
      <c r="AJ322" s="236"/>
      <c r="AK322" s="270">
        <v>10030</v>
      </c>
      <c r="AL322" s="270">
        <v>19580</v>
      </c>
      <c r="AN322" s="273" t="e">
        <f t="shared" si="46"/>
        <v>#REF!</v>
      </c>
      <c r="AO322" s="273" t="e">
        <f t="shared" si="53"/>
        <v>#REF!</v>
      </c>
      <c r="AQ322" s="273" t="e">
        <f t="shared" si="47"/>
        <v>#REF!</v>
      </c>
      <c r="AR322" s="273" t="e">
        <f t="shared" si="54"/>
        <v>#REF!</v>
      </c>
      <c r="AS322" s="281"/>
      <c r="AT322" s="273" t="e">
        <f t="shared" si="48"/>
        <v>#REF!</v>
      </c>
      <c r="AU322" s="273" t="e">
        <f t="shared" si="55"/>
        <v>#REF!</v>
      </c>
      <c r="AV322" s="281"/>
      <c r="AW322" s="273" t="e">
        <f t="shared" si="49"/>
        <v>#REF!</v>
      </c>
      <c r="AX322" s="273" t="e">
        <f t="shared" si="56"/>
        <v>#REF!</v>
      </c>
      <c r="YS322" s="38" t="e">
        <f>RIGHT(CONCATENATE(0,#REF!),7)</f>
        <v>#REF!</v>
      </c>
    </row>
    <row r="323" spans="1:669" ht="28.9" hidden="1" customHeight="1">
      <c r="A323" s="35">
        <v>41</v>
      </c>
      <c r="B323" s="38">
        <v>1</v>
      </c>
      <c r="C323" s="37" t="s">
        <v>68</v>
      </c>
      <c r="D323" s="37">
        <v>41</v>
      </c>
      <c r="E323" s="37" t="s">
        <v>172</v>
      </c>
      <c r="F323" s="37">
        <v>15</v>
      </c>
      <c r="G323" s="38" t="s">
        <v>66</v>
      </c>
      <c r="H323" s="38">
        <f t="shared" si="58"/>
        <v>779</v>
      </c>
      <c r="I323" s="62">
        <f t="shared" si="57"/>
        <v>56</v>
      </c>
      <c r="J323" s="38">
        <f t="shared" si="51"/>
        <v>856</v>
      </c>
      <c r="K323" s="38" t="str">
        <f t="shared" si="74"/>
        <v>Udayagiri</v>
      </c>
      <c r="L323" s="38">
        <f t="shared" si="52"/>
        <v>856</v>
      </c>
      <c r="M323" s="38" t="str">
        <f t="shared" si="75"/>
        <v>Udayagiri</v>
      </c>
      <c r="P323" s="38">
        <v>41</v>
      </c>
      <c r="Q323" s="222" t="s">
        <v>173</v>
      </c>
      <c r="S323" s="222">
        <v>123450035</v>
      </c>
      <c r="T323" s="222" t="str">
        <f t="shared" si="59"/>
        <v>Twelve  Crores  Thirty Four  Lakhs  Fifty Thousand and Thirty Five</v>
      </c>
      <c r="U323" s="222">
        <f t="shared" si="60"/>
        <v>120000000</v>
      </c>
      <c r="V323" s="222">
        <f t="shared" si="61"/>
        <v>12</v>
      </c>
      <c r="W323" s="222" t="str">
        <f t="shared" si="62"/>
        <v xml:space="preserve">Twelve  Crores  </v>
      </c>
      <c r="X323" s="222">
        <f t="shared" si="63"/>
        <v>3400000</v>
      </c>
      <c r="Y323" s="715">
        <f t="shared" si="64"/>
        <v>34</v>
      </c>
      <c r="Z323" s="222" t="str">
        <f t="shared" si="65"/>
        <v xml:space="preserve">Thirty Four  Lakhs  </v>
      </c>
      <c r="AA323" s="222">
        <f t="shared" si="66"/>
        <v>50000</v>
      </c>
      <c r="AB323" s="715">
        <f t="shared" si="67"/>
        <v>50</v>
      </c>
      <c r="AC323" s="222" t="str">
        <f t="shared" si="68"/>
        <v xml:space="preserve">Fifty Thousand </v>
      </c>
      <c r="AD323" s="222">
        <f t="shared" si="69"/>
        <v>0</v>
      </c>
      <c r="AE323" s="281">
        <f t="shared" si="70"/>
        <v>0</v>
      </c>
      <c r="AF323" s="222" t="str">
        <f t="shared" si="71"/>
        <v/>
      </c>
      <c r="AG323" s="222">
        <f t="shared" si="72"/>
        <v>35</v>
      </c>
      <c r="AH323" s="281" t="str">
        <f t="shared" si="73"/>
        <v>Thirty Five</v>
      </c>
      <c r="AJ323" s="236"/>
      <c r="AK323" s="270">
        <v>10285</v>
      </c>
      <c r="AL323" s="270">
        <v>20110</v>
      </c>
      <c r="AN323" s="273" t="e">
        <f t="shared" si="46"/>
        <v>#REF!</v>
      </c>
      <c r="AO323" s="273" t="e">
        <f t="shared" si="53"/>
        <v>#REF!</v>
      </c>
      <c r="YS323" s="38" t="e">
        <f>RIGHT(CONCATENATE(0,#REF!),7)</f>
        <v>#REF!</v>
      </c>
    </row>
    <row r="324" spans="1:669" hidden="1">
      <c r="A324" s="35">
        <v>42</v>
      </c>
      <c r="B324" s="38">
        <v>1</v>
      </c>
      <c r="C324" s="37" t="s">
        <v>68</v>
      </c>
      <c r="D324" s="37">
        <v>42</v>
      </c>
      <c r="E324" s="37" t="s">
        <v>174</v>
      </c>
      <c r="F324" s="37">
        <v>16</v>
      </c>
      <c r="G324" s="38" t="s">
        <v>117</v>
      </c>
      <c r="H324" s="38">
        <f t="shared" si="58"/>
        <v>816</v>
      </c>
      <c r="I324" s="62">
        <f t="shared" si="57"/>
        <v>37</v>
      </c>
      <c r="J324" s="38">
        <f t="shared" si="51"/>
        <v>857</v>
      </c>
      <c r="K324" s="38" t="str">
        <f t="shared" si="74"/>
        <v>Vakadu</v>
      </c>
      <c r="L324" s="38">
        <f t="shared" si="52"/>
        <v>857</v>
      </c>
      <c r="M324" s="38" t="str">
        <f t="shared" si="75"/>
        <v>Vakadu</v>
      </c>
      <c r="P324" s="38">
        <v>42</v>
      </c>
      <c r="Q324" s="222" t="s">
        <v>175</v>
      </c>
      <c r="S324" s="222">
        <v>123450036</v>
      </c>
      <c r="T324" s="222" t="str">
        <f t="shared" si="59"/>
        <v>Twelve  Crores  Thirty Four  Lakhs  Fifty Thousand and Thirty Six</v>
      </c>
      <c r="U324" s="222">
        <f t="shared" si="60"/>
        <v>120000000</v>
      </c>
      <c r="V324" s="222">
        <f t="shared" si="61"/>
        <v>12</v>
      </c>
      <c r="W324" s="222" t="str">
        <f t="shared" si="62"/>
        <v xml:space="preserve">Twelve  Crores  </v>
      </c>
      <c r="X324" s="222">
        <f t="shared" si="63"/>
        <v>3400000</v>
      </c>
      <c r="Y324" s="715">
        <f t="shared" si="64"/>
        <v>34</v>
      </c>
      <c r="Z324" s="222" t="str">
        <f t="shared" si="65"/>
        <v xml:space="preserve">Thirty Four  Lakhs  </v>
      </c>
      <c r="AA324" s="222">
        <f t="shared" si="66"/>
        <v>50000</v>
      </c>
      <c r="AB324" s="715">
        <f t="shared" si="67"/>
        <v>50</v>
      </c>
      <c r="AC324" s="222" t="str">
        <f t="shared" si="68"/>
        <v xml:space="preserve">Fifty Thousand </v>
      </c>
      <c r="AD324" s="222">
        <f t="shared" si="69"/>
        <v>0</v>
      </c>
      <c r="AE324" s="281">
        <f t="shared" si="70"/>
        <v>0</v>
      </c>
      <c r="AF324" s="222" t="str">
        <f t="shared" si="71"/>
        <v/>
      </c>
      <c r="AG324" s="222">
        <f t="shared" si="72"/>
        <v>36</v>
      </c>
      <c r="AH324" s="281" t="str">
        <f t="shared" si="73"/>
        <v>Thirty Six</v>
      </c>
      <c r="AJ324" s="236"/>
      <c r="AK324" s="270">
        <v>10565</v>
      </c>
      <c r="AL324" s="270">
        <v>20680</v>
      </c>
      <c r="AN324" s="273" t="e">
        <f t="shared" si="46"/>
        <v>#REF!</v>
      </c>
      <c r="AO324" s="273" t="e">
        <f t="shared" si="53"/>
        <v>#REF!</v>
      </c>
      <c r="YS324" s="38" t="e">
        <f>RIGHT(CONCATENATE(0,#REF!),7)</f>
        <v>#REF!</v>
      </c>
    </row>
    <row r="325" spans="1:669" hidden="1">
      <c r="A325" s="35">
        <v>43</v>
      </c>
      <c r="B325" s="38">
        <v>1</v>
      </c>
      <c r="C325" s="37" t="s">
        <v>68</v>
      </c>
      <c r="D325" s="37">
        <v>43</v>
      </c>
      <c r="E325" s="37" t="s">
        <v>176</v>
      </c>
      <c r="F325" s="37">
        <v>17</v>
      </c>
      <c r="G325" s="38" t="s">
        <v>120</v>
      </c>
      <c r="H325" s="38">
        <f t="shared" si="58"/>
        <v>862</v>
      </c>
      <c r="I325" s="62">
        <f t="shared" si="57"/>
        <v>46</v>
      </c>
      <c r="J325" s="38">
        <f t="shared" si="51"/>
        <v>858</v>
      </c>
      <c r="K325" s="38" t="str">
        <f t="shared" si="74"/>
        <v>Varikuntapadu</v>
      </c>
      <c r="L325" s="38">
        <f t="shared" si="52"/>
        <v>858</v>
      </c>
      <c r="M325" s="38" t="str">
        <f t="shared" si="75"/>
        <v>Varikuntapadu</v>
      </c>
      <c r="P325" s="38">
        <v>43</v>
      </c>
      <c r="Q325" s="222" t="s">
        <v>177</v>
      </c>
      <c r="S325" s="222">
        <v>123450037</v>
      </c>
      <c r="T325" s="222" t="str">
        <f t="shared" si="59"/>
        <v>Twelve  Crores  Thirty Four  Lakhs  Fifty Thousand and Thirty Seven</v>
      </c>
      <c r="U325" s="222">
        <f t="shared" si="60"/>
        <v>120000000</v>
      </c>
      <c r="V325" s="222">
        <f t="shared" si="61"/>
        <v>12</v>
      </c>
      <c r="W325" s="222" t="str">
        <f t="shared" si="62"/>
        <v xml:space="preserve">Twelve  Crores  </v>
      </c>
      <c r="X325" s="222">
        <f t="shared" si="63"/>
        <v>3400000</v>
      </c>
      <c r="Y325" s="715">
        <f t="shared" si="64"/>
        <v>34</v>
      </c>
      <c r="Z325" s="222" t="str">
        <f t="shared" si="65"/>
        <v xml:space="preserve">Thirty Four  Lakhs  </v>
      </c>
      <c r="AA325" s="222">
        <f t="shared" si="66"/>
        <v>50000</v>
      </c>
      <c r="AB325" s="715">
        <f t="shared" si="67"/>
        <v>50</v>
      </c>
      <c r="AC325" s="222" t="str">
        <f t="shared" si="68"/>
        <v xml:space="preserve">Fifty Thousand </v>
      </c>
      <c r="AD325" s="222">
        <f t="shared" si="69"/>
        <v>0</v>
      </c>
      <c r="AE325" s="281">
        <f t="shared" si="70"/>
        <v>0</v>
      </c>
      <c r="AF325" s="222" t="str">
        <f t="shared" si="71"/>
        <v/>
      </c>
      <c r="AG325" s="222">
        <f t="shared" si="72"/>
        <v>37</v>
      </c>
      <c r="AH325" s="281" t="str">
        <f t="shared" si="73"/>
        <v>Thirty Seven</v>
      </c>
      <c r="AJ325" s="236"/>
      <c r="AK325" s="270">
        <v>10845</v>
      </c>
      <c r="AL325" s="270">
        <v>21250</v>
      </c>
      <c r="AN325" s="273" t="e">
        <f t="shared" si="46"/>
        <v>#REF!</v>
      </c>
      <c r="AO325" s="273" t="e">
        <f t="shared" si="53"/>
        <v>#REF!</v>
      </c>
      <c r="YS325" s="38" t="e">
        <f>RIGHT(CONCATENATE(0,#REF!),7)</f>
        <v>#REF!</v>
      </c>
    </row>
    <row r="326" spans="1:669" hidden="1">
      <c r="A326" s="35">
        <v>44</v>
      </c>
      <c r="B326" s="38">
        <v>1</v>
      </c>
      <c r="C326" s="37" t="s">
        <v>68</v>
      </c>
      <c r="D326" s="37">
        <v>44</v>
      </c>
      <c r="E326" s="37" t="s">
        <v>178</v>
      </c>
      <c r="F326" s="37">
        <v>18</v>
      </c>
      <c r="G326" s="38" t="s">
        <v>123</v>
      </c>
      <c r="H326" s="38">
        <f t="shared" si="58"/>
        <v>899</v>
      </c>
      <c r="I326" s="62">
        <f t="shared" si="57"/>
        <v>37</v>
      </c>
      <c r="J326" s="38">
        <f t="shared" si="51"/>
        <v>859</v>
      </c>
      <c r="K326" s="38" t="str">
        <f t="shared" si="74"/>
        <v>Venkatachalam</v>
      </c>
      <c r="L326" s="38">
        <f t="shared" si="52"/>
        <v>859</v>
      </c>
      <c r="M326" s="38" t="str">
        <f t="shared" si="75"/>
        <v>Venkatachalam</v>
      </c>
      <c r="P326" s="38">
        <v>44</v>
      </c>
      <c r="Q326" s="222" t="s">
        <v>179</v>
      </c>
      <c r="S326" s="222">
        <v>123450038</v>
      </c>
      <c r="T326" s="222" t="str">
        <f t="shared" si="59"/>
        <v>Twelve  Crores  Thirty Four  Lakhs  Fifty Thousand and Thirty Eight</v>
      </c>
      <c r="U326" s="222">
        <f t="shared" si="60"/>
        <v>120000000</v>
      </c>
      <c r="V326" s="222">
        <f t="shared" si="61"/>
        <v>12</v>
      </c>
      <c r="W326" s="222" t="str">
        <f t="shared" si="62"/>
        <v xml:space="preserve">Twelve  Crores  </v>
      </c>
      <c r="X326" s="222">
        <f t="shared" si="63"/>
        <v>3400000</v>
      </c>
      <c r="Y326" s="715">
        <f t="shared" si="64"/>
        <v>34</v>
      </c>
      <c r="Z326" s="222" t="str">
        <f t="shared" si="65"/>
        <v xml:space="preserve">Thirty Four  Lakhs  </v>
      </c>
      <c r="AA326" s="222">
        <f t="shared" si="66"/>
        <v>50000</v>
      </c>
      <c r="AB326" s="715">
        <f t="shared" si="67"/>
        <v>50</v>
      </c>
      <c r="AC326" s="222" t="str">
        <f t="shared" si="68"/>
        <v xml:space="preserve">Fifty Thousand </v>
      </c>
      <c r="AD326" s="222">
        <f t="shared" si="69"/>
        <v>0</v>
      </c>
      <c r="AE326" s="281">
        <f t="shared" si="70"/>
        <v>0</v>
      </c>
      <c r="AF326" s="222" t="str">
        <f t="shared" si="71"/>
        <v/>
      </c>
      <c r="AG326" s="222">
        <f t="shared" si="72"/>
        <v>38</v>
      </c>
      <c r="AH326" s="281" t="str">
        <f t="shared" si="73"/>
        <v>Thirty Eight</v>
      </c>
      <c r="AJ326" s="236"/>
      <c r="AK326" s="270">
        <v>11125</v>
      </c>
      <c r="AL326" s="270">
        <v>21820</v>
      </c>
      <c r="AN326" s="273" t="e">
        <f t="shared" si="46"/>
        <v>#REF!</v>
      </c>
      <c r="AO326" s="273" t="e">
        <f t="shared" si="53"/>
        <v>#REF!</v>
      </c>
      <c r="YS326" s="38" t="e">
        <f>RIGHT(CONCATENATE(0,#REF!),7)</f>
        <v>#REF!</v>
      </c>
    </row>
    <row r="327" spans="1:669" hidden="1">
      <c r="A327" s="35">
        <v>45</v>
      </c>
      <c r="B327" s="38">
        <v>1</v>
      </c>
      <c r="C327" s="37" t="s">
        <v>68</v>
      </c>
      <c r="D327" s="37">
        <v>45</v>
      </c>
      <c r="E327" s="37" t="s">
        <v>180</v>
      </c>
      <c r="F327" s="37">
        <v>19</v>
      </c>
      <c r="G327" s="38" t="s">
        <v>126</v>
      </c>
      <c r="H327" s="38">
        <f t="shared" si="58"/>
        <v>942</v>
      </c>
      <c r="I327" s="62">
        <f t="shared" si="57"/>
        <v>43</v>
      </c>
      <c r="J327" s="38">
        <f t="shared" si="51"/>
        <v>860</v>
      </c>
      <c r="K327" s="38" t="str">
        <f t="shared" si="74"/>
        <v>Venkatagiri</v>
      </c>
      <c r="L327" s="38">
        <f t="shared" si="52"/>
        <v>860</v>
      </c>
      <c r="M327" s="38" t="str">
        <f t="shared" si="75"/>
        <v>Venkatagiri</v>
      </c>
      <c r="P327" s="38">
        <v>45</v>
      </c>
      <c r="Q327" s="222" t="s">
        <v>181</v>
      </c>
      <c r="S327" s="222">
        <v>123450039</v>
      </c>
      <c r="T327" s="222" t="str">
        <f t="shared" si="59"/>
        <v>Twelve  Crores  Thirty Four  Lakhs  Fifty Thousand and Thirty Nine</v>
      </c>
      <c r="U327" s="222">
        <f t="shared" si="60"/>
        <v>120000000</v>
      </c>
      <c r="V327" s="222">
        <f t="shared" si="61"/>
        <v>12</v>
      </c>
      <c r="W327" s="222" t="str">
        <f t="shared" si="62"/>
        <v xml:space="preserve">Twelve  Crores  </v>
      </c>
      <c r="X327" s="222">
        <f t="shared" si="63"/>
        <v>3400000</v>
      </c>
      <c r="Y327" s="715">
        <f t="shared" si="64"/>
        <v>34</v>
      </c>
      <c r="Z327" s="222" t="str">
        <f t="shared" si="65"/>
        <v xml:space="preserve">Thirty Four  Lakhs  </v>
      </c>
      <c r="AA327" s="222">
        <f t="shared" si="66"/>
        <v>50000</v>
      </c>
      <c r="AB327" s="715">
        <f t="shared" si="67"/>
        <v>50</v>
      </c>
      <c r="AC327" s="222" t="str">
        <f t="shared" si="68"/>
        <v xml:space="preserve">Fifty Thousand </v>
      </c>
      <c r="AD327" s="222">
        <f t="shared" si="69"/>
        <v>0</v>
      </c>
      <c r="AE327" s="281">
        <f t="shared" si="70"/>
        <v>0</v>
      </c>
      <c r="AF327" s="222" t="str">
        <f t="shared" si="71"/>
        <v/>
      </c>
      <c r="AG327" s="222">
        <f t="shared" si="72"/>
        <v>39</v>
      </c>
      <c r="AH327" s="281" t="str">
        <f t="shared" si="73"/>
        <v>Thirty Nine</v>
      </c>
      <c r="AK327" s="270">
        <v>11440</v>
      </c>
      <c r="AL327" s="270">
        <v>22430</v>
      </c>
      <c r="AN327" s="273" t="e">
        <f t="shared" si="46"/>
        <v>#REF!</v>
      </c>
      <c r="AO327" s="273" t="e">
        <f t="shared" si="53"/>
        <v>#REF!</v>
      </c>
      <c r="YS327" s="38" t="e">
        <f>RIGHT(CONCATENATE(0,#REF!),7)</f>
        <v>#REF!</v>
      </c>
    </row>
    <row r="328" spans="1:669" hidden="1">
      <c r="A328" s="35">
        <v>46</v>
      </c>
      <c r="B328" s="38">
        <v>1</v>
      </c>
      <c r="C328" s="37" t="s">
        <v>68</v>
      </c>
      <c r="D328" s="37">
        <v>46</v>
      </c>
      <c r="E328" s="37" t="s">
        <v>182</v>
      </c>
      <c r="F328" s="37">
        <v>20</v>
      </c>
      <c r="G328" s="38" t="s">
        <v>129</v>
      </c>
      <c r="H328" s="38">
        <f t="shared" si="58"/>
        <v>976</v>
      </c>
      <c r="I328" s="62">
        <f t="shared" si="57"/>
        <v>34</v>
      </c>
      <c r="J328" s="38">
        <f t="shared" si="51"/>
        <v>861</v>
      </c>
      <c r="K328" s="38" t="str">
        <f t="shared" si="74"/>
        <v>Vidavalur</v>
      </c>
      <c r="L328" s="38">
        <f t="shared" si="52"/>
        <v>861</v>
      </c>
      <c r="M328" s="38" t="str">
        <f t="shared" si="75"/>
        <v>Vidavalur</v>
      </c>
      <c r="P328" s="38">
        <v>46</v>
      </c>
      <c r="Q328" s="222" t="s">
        <v>183</v>
      </c>
      <c r="S328" s="222">
        <v>123450040</v>
      </c>
      <c r="T328" s="222" t="str">
        <f t="shared" si="59"/>
        <v>Twelve  Crores  Thirty Four  Lakhs  Fifty Thousand and Fourty</v>
      </c>
      <c r="U328" s="222">
        <f t="shared" si="60"/>
        <v>120000000</v>
      </c>
      <c r="V328" s="222">
        <f t="shared" si="61"/>
        <v>12</v>
      </c>
      <c r="W328" s="222" t="str">
        <f t="shared" si="62"/>
        <v xml:space="preserve">Twelve  Crores  </v>
      </c>
      <c r="X328" s="222">
        <f t="shared" si="63"/>
        <v>3400000</v>
      </c>
      <c r="Y328" s="715">
        <f t="shared" si="64"/>
        <v>34</v>
      </c>
      <c r="Z328" s="222" t="str">
        <f t="shared" si="65"/>
        <v xml:space="preserve">Thirty Four  Lakhs  </v>
      </c>
      <c r="AA328" s="222">
        <f t="shared" si="66"/>
        <v>50000</v>
      </c>
      <c r="AB328" s="715">
        <f t="shared" si="67"/>
        <v>50</v>
      </c>
      <c r="AC328" s="222" t="str">
        <f t="shared" si="68"/>
        <v xml:space="preserve">Fifty Thousand </v>
      </c>
      <c r="AD328" s="222">
        <f t="shared" si="69"/>
        <v>0</v>
      </c>
      <c r="AE328" s="281">
        <f t="shared" si="70"/>
        <v>0</v>
      </c>
      <c r="AF328" s="222" t="str">
        <f t="shared" si="71"/>
        <v/>
      </c>
      <c r="AG328" s="222">
        <f t="shared" si="72"/>
        <v>40</v>
      </c>
      <c r="AH328" s="281" t="str">
        <f t="shared" si="73"/>
        <v>Fourty</v>
      </c>
      <c r="AK328" s="270">
        <v>11755</v>
      </c>
      <c r="AL328" s="270">
        <v>23040</v>
      </c>
      <c r="AN328" s="273" t="e">
        <f t="shared" si="46"/>
        <v>#REF!</v>
      </c>
      <c r="AO328" s="273" t="e">
        <f t="shared" si="53"/>
        <v>#REF!</v>
      </c>
      <c r="YS328" s="38" t="e">
        <f>RIGHT(CONCATENATE(0,#REF!),7)</f>
        <v>#REF!</v>
      </c>
    </row>
    <row r="329" spans="1:669" hidden="1">
      <c r="A329" s="35">
        <v>47</v>
      </c>
      <c r="B329" s="38">
        <v>1</v>
      </c>
      <c r="C329" s="37" t="s">
        <v>68</v>
      </c>
      <c r="D329" s="37">
        <v>47</v>
      </c>
      <c r="E329" s="37" t="s">
        <v>184</v>
      </c>
      <c r="F329" s="37">
        <v>21</v>
      </c>
      <c r="G329" s="38" t="s">
        <v>132</v>
      </c>
      <c r="H329" s="38">
        <f t="shared" si="58"/>
        <v>1026</v>
      </c>
      <c r="I329" s="62">
        <f t="shared" si="57"/>
        <v>50</v>
      </c>
      <c r="J329" s="38">
        <f t="shared" si="51"/>
        <v>862</v>
      </c>
      <c r="K329" s="38" t="str">
        <f t="shared" si="74"/>
        <v>Vinjamur</v>
      </c>
      <c r="L329" s="38">
        <f t="shared" si="52"/>
        <v>862</v>
      </c>
      <c r="M329" s="38" t="str">
        <f t="shared" si="75"/>
        <v>Vinjamur</v>
      </c>
      <c r="P329" s="38">
        <v>47</v>
      </c>
      <c r="Q329" s="222" t="s">
        <v>185</v>
      </c>
      <c r="S329" s="222">
        <v>123450041</v>
      </c>
      <c r="T329" s="222" t="str">
        <f t="shared" si="59"/>
        <v>Twelve  Crores  Thirty Four  Lakhs  Fifty Thousand and Fourty One</v>
      </c>
      <c r="U329" s="222">
        <f t="shared" si="60"/>
        <v>120000000</v>
      </c>
      <c r="V329" s="222">
        <f t="shared" si="61"/>
        <v>12</v>
      </c>
      <c r="W329" s="222" t="str">
        <f t="shared" si="62"/>
        <v xml:space="preserve">Twelve  Crores  </v>
      </c>
      <c r="X329" s="222">
        <f t="shared" si="63"/>
        <v>3400000</v>
      </c>
      <c r="Y329" s="715">
        <f t="shared" si="64"/>
        <v>34</v>
      </c>
      <c r="Z329" s="222" t="str">
        <f t="shared" si="65"/>
        <v xml:space="preserve">Thirty Four  Lakhs  </v>
      </c>
      <c r="AA329" s="222">
        <f t="shared" si="66"/>
        <v>50000</v>
      </c>
      <c r="AB329" s="715">
        <f t="shared" si="67"/>
        <v>50</v>
      </c>
      <c r="AC329" s="222" t="str">
        <f t="shared" si="68"/>
        <v xml:space="preserve">Fifty Thousand </v>
      </c>
      <c r="AD329" s="222">
        <f t="shared" si="69"/>
        <v>0</v>
      </c>
      <c r="AE329" s="281">
        <f t="shared" si="70"/>
        <v>0</v>
      </c>
      <c r="AF329" s="222" t="str">
        <f t="shared" si="71"/>
        <v/>
      </c>
      <c r="AG329" s="222">
        <f t="shared" si="72"/>
        <v>41</v>
      </c>
      <c r="AH329" s="281" t="str">
        <f t="shared" si="73"/>
        <v>Fourty One</v>
      </c>
      <c r="AK329" s="270">
        <v>12070</v>
      </c>
      <c r="AL329" s="270">
        <v>23650</v>
      </c>
      <c r="AN329" s="273" t="e">
        <f t="shared" si="46"/>
        <v>#REF!</v>
      </c>
      <c r="AO329" s="273" t="e">
        <f t="shared" si="53"/>
        <v>#REF!</v>
      </c>
      <c r="YS329" s="38" t="e">
        <f>RIGHT(CONCATENATE(0,#REF!),7)</f>
        <v>#REF!</v>
      </c>
    </row>
    <row r="330" spans="1:669" hidden="1">
      <c r="A330" s="35">
        <v>48</v>
      </c>
      <c r="B330" s="38">
        <v>1</v>
      </c>
      <c r="C330" s="37" t="s">
        <v>68</v>
      </c>
      <c r="D330" s="37">
        <v>48</v>
      </c>
      <c r="E330" s="37" t="s">
        <v>186</v>
      </c>
      <c r="F330" s="37">
        <v>22</v>
      </c>
      <c r="G330" s="38" t="s">
        <v>135</v>
      </c>
      <c r="H330" s="38">
        <f t="shared" si="58"/>
        <v>1072</v>
      </c>
      <c r="I330" s="62">
        <f t="shared" si="57"/>
        <v>46</v>
      </c>
      <c r="J330" s="38">
        <f t="shared" si="51"/>
        <v>863</v>
      </c>
      <c r="K330" s="38" t="str">
        <f t="shared" si="74"/>
        <v/>
      </c>
      <c r="L330" s="38">
        <f t="shared" si="52"/>
        <v>863</v>
      </c>
      <c r="M330" s="38" t="str">
        <f t="shared" si="75"/>
        <v/>
      </c>
      <c r="P330" s="38">
        <v>48</v>
      </c>
      <c r="Q330" s="222" t="s">
        <v>187</v>
      </c>
      <c r="S330" s="222">
        <v>123450042</v>
      </c>
      <c r="T330" s="222" t="str">
        <f t="shared" si="59"/>
        <v>Twelve  Crores  Thirty Four  Lakhs  Fifty Thousand and Fourty Two</v>
      </c>
      <c r="U330" s="222">
        <f t="shared" si="60"/>
        <v>120000000</v>
      </c>
      <c r="V330" s="222">
        <f t="shared" si="61"/>
        <v>12</v>
      </c>
      <c r="W330" s="222" t="str">
        <f t="shared" si="62"/>
        <v xml:space="preserve">Twelve  Crores  </v>
      </c>
      <c r="X330" s="222">
        <f t="shared" si="63"/>
        <v>3400000</v>
      </c>
      <c r="Y330" s="715">
        <f t="shared" si="64"/>
        <v>34</v>
      </c>
      <c r="Z330" s="222" t="str">
        <f t="shared" si="65"/>
        <v xml:space="preserve">Thirty Four  Lakhs  </v>
      </c>
      <c r="AA330" s="222">
        <f t="shared" si="66"/>
        <v>50000</v>
      </c>
      <c r="AB330" s="715">
        <f t="shared" si="67"/>
        <v>50</v>
      </c>
      <c r="AC330" s="222" t="str">
        <f t="shared" si="68"/>
        <v xml:space="preserve">Fifty Thousand </v>
      </c>
      <c r="AD330" s="222">
        <f t="shared" si="69"/>
        <v>0</v>
      </c>
      <c r="AE330" s="281">
        <f t="shared" si="70"/>
        <v>0</v>
      </c>
      <c r="AF330" s="222" t="str">
        <f t="shared" si="71"/>
        <v/>
      </c>
      <c r="AG330" s="222">
        <f t="shared" si="72"/>
        <v>42</v>
      </c>
      <c r="AH330" s="281" t="str">
        <f t="shared" si="73"/>
        <v>Fourty Two</v>
      </c>
      <c r="AK330" s="270">
        <v>12385</v>
      </c>
      <c r="AL330" s="270">
        <v>24300</v>
      </c>
      <c r="AN330" s="273" t="e">
        <f t="shared" si="46"/>
        <v>#REF!</v>
      </c>
      <c r="AO330" s="273" t="e">
        <f t="shared" si="53"/>
        <v>#REF!</v>
      </c>
      <c r="YS330" s="38" t="e">
        <f>RIGHT(CONCATENATE(0,#REF!),7)</f>
        <v>#REF!</v>
      </c>
    </row>
    <row r="331" spans="1:669" hidden="1">
      <c r="A331" s="35">
        <v>49</v>
      </c>
      <c r="B331" s="38">
        <v>1</v>
      </c>
      <c r="C331" s="37" t="s">
        <v>68</v>
      </c>
      <c r="D331" s="37">
        <v>49</v>
      </c>
      <c r="E331" s="37" t="s">
        <v>188</v>
      </c>
      <c r="F331" s="37">
        <v>23</v>
      </c>
      <c r="G331" s="38" t="s">
        <v>138</v>
      </c>
      <c r="H331" s="38">
        <f t="shared" si="58"/>
        <v>1122</v>
      </c>
      <c r="I331" s="62">
        <f t="shared" si="57"/>
        <v>50</v>
      </c>
      <c r="J331" s="38">
        <f t="shared" si="51"/>
        <v>863</v>
      </c>
      <c r="K331" s="38" t="str">
        <f t="shared" si="74"/>
        <v/>
      </c>
      <c r="L331" s="38">
        <f t="shared" si="52"/>
        <v>863</v>
      </c>
      <c r="M331" s="38" t="str">
        <f t="shared" si="75"/>
        <v/>
      </c>
      <c r="P331" s="38">
        <v>49</v>
      </c>
      <c r="Q331" s="222" t="s">
        <v>189</v>
      </c>
      <c r="S331" s="222">
        <v>123450043</v>
      </c>
      <c r="T331" s="222" t="str">
        <f t="shared" si="59"/>
        <v>Twelve  Crores  Thirty Four  Lakhs  Fifty Thousand and Fourty Three</v>
      </c>
      <c r="U331" s="222">
        <f t="shared" si="60"/>
        <v>120000000</v>
      </c>
      <c r="V331" s="222">
        <f t="shared" si="61"/>
        <v>12</v>
      </c>
      <c r="W331" s="222" t="str">
        <f t="shared" si="62"/>
        <v xml:space="preserve">Twelve  Crores  </v>
      </c>
      <c r="X331" s="222">
        <f t="shared" si="63"/>
        <v>3400000</v>
      </c>
      <c r="Y331" s="715">
        <f t="shared" si="64"/>
        <v>34</v>
      </c>
      <c r="Z331" s="222" t="str">
        <f t="shared" si="65"/>
        <v xml:space="preserve">Thirty Four  Lakhs  </v>
      </c>
      <c r="AA331" s="222">
        <f t="shared" si="66"/>
        <v>50000</v>
      </c>
      <c r="AB331" s="715">
        <f t="shared" si="67"/>
        <v>50</v>
      </c>
      <c r="AC331" s="222" t="str">
        <f t="shared" si="68"/>
        <v xml:space="preserve">Fifty Thousand </v>
      </c>
      <c r="AD331" s="222">
        <f t="shared" si="69"/>
        <v>0</v>
      </c>
      <c r="AE331" s="281">
        <f t="shared" si="70"/>
        <v>0</v>
      </c>
      <c r="AF331" s="222" t="str">
        <f t="shared" si="71"/>
        <v/>
      </c>
      <c r="AG331" s="222">
        <f t="shared" si="72"/>
        <v>43</v>
      </c>
      <c r="AH331" s="281" t="str">
        <f t="shared" si="73"/>
        <v>Fourty Three</v>
      </c>
      <c r="AK331" s="270">
        <v>12700</v>
      </c>
      <c r="AL331" s="270">
        <v>24950</v>
      </c>
      <c r="AN331" s="273" t="e">
        <f t="shared" si="46"/>
        <v>#REF!</v>
      </c>
      <c r="AO331" s="273" t="e">
        <f t="shared" si="53"/>
        <v>#REF!</v>
      </c>
      <c r="YS331" s="38" t="e">
        <f>RIGHT(CONCATENATE(0,#REF!),7)</f>
        <v>#REF!</v>
      </c>
    </row>
    <row r="332" spans="1:669" hidden="1">
      <c r="A332" s="35">
        <v>50</v>
      </c>
      <c r="B332" s="38">
        <v>1</v>
      </c>
      <c r="C332" s="37" t="s">
        <v>68</v>
      </c>
      <c r="D332" s="37">
        <v>50</v>
      </c>
      <c r="E332" s="37" t="s">
        <v>190</v>
      </c>
      <c r="J332" s="38">
        <f t="shared" si="51"/>
        <v>863</v>
      </c>
      <c r="K332" s="38" t="str">
        <f t="shared" si="74"/>
        <v/>
      </c>
      <c r="L332" s="38">
        <f t="shared" si="52"/>
        <v>863</v>
      </c>
      <c r="M332" s="38" t="str">
        <f t="shared" si="75"/>
        <v/>
      </c>
      <c r="P332" s="38">
        <v>50</v>
      </c>
      <c r="Q332" s="222" t="s">
        <v>191</v>
      </c>
      <c r="S332" s="222">
        <v>123450044</v>
      </c>
      <c r="T332" s="222" t="str">
        <f t="shared" si="59"/>
        <v>Twelve  Crores  Thirty Four  Lakhs  Fifty Thousand and Fourty Four</v>
      </c>
      <c r="U332" s="222">
        <f t="shared" si="60"/>
        <v>120000000</v>
      </c>
      <c r="V332" s="222">
        <f t="shared" si="61"/>
        <v>12</v>
      </c>
      <c r="W332" s="222" t="str">
        <f t="shared" si="62"/>
        <v xml:space="preserve">Twelve  Crores  </v>
      </c>
      <c r="X332" s="222">
        <f t="shared" si="63"/>
        <v>3400000</v>
      </c>
      <c r="Y332" s="715">
        <f t="shared" si="64"/>
        <v>34</v>
      </c>
      <c r="Z332" s="222" t="str">
        <f t="shared" si="65"/>
        <v xml:space="preserve">Thirty Four  Lakhs  </v>
      </c>
      <c r="AA332" s="222">
        <f t="shared" si="66"/>
        <v>50000</v>
      </c>
      <c r="AB332" s="715">
        <f t="shared" si="67"/>
        <v>50</v>
      </c>
      <c r="AC332" s="222" t="str">
        <f t="shared" si="68"/>
        <v xml:space="preserve">Fifty Thousand </v>
      </c>
      <c r="AD332" s="222">
        <f t="shared" si="69"/>
        <v>0</v>
      </c>
      <c r="AE332" s="281">
        <f t="shared" si="70"/>
        <v>0</v>
      </c>
      <c r="AF332" s="222" t="str">
        <f t="shared" si="71"/>
        <v/>
      </c>
      <c r="AG332" s="222">
        <f t="shared" si="72"/>
        <v>44</v>
      </c>
      <c r="AH332" s="281" t="str">
        <f t="shared" si="73"/>
        <v>Fourty Four</v>
      </c>
      <c r="AK332" s="270">
        <v>13030</v>
      </c>
      <c r="AL332" s="270">
        <v>25600</v>
      </c>
      <c r="AN332" s="273" t="e">
        <f t="shared" si="46"/>
        <v>#REF!</v>
      </c>
      <c r="AO332" s="273" t="e">
        <f t="shared" si="53"/>
        <v>#REF!</v>
      </c>
      <c r="YS332" s="38" t="e">
        <f>RIGHT(CONCATENATE(0,#REF!),7)</f>
        <v>#REF!</v>
      </c>
    </row>
    <row r="333" spans="1:669" hidden="1">
      <c r="A333" s="35">
        <v>51</v>
      </c>
      <c r="B333" s="38">
        <v>1</v>
      </c>
      <c r="C333" s="37" t="s">
        <v>68</v>
      </c>
      <c r="D333" s="37">
        <v>51</v>
      </c>
      <c r="E333" s="37" t="s">
        <v>192</v>
      </c>
      <c r="F333" s="38" t="s">
        <v>1877</v>
      </c>
      <c r="J333" s="38">
        <f t="shared" si="51"/>
        <v>863</v>
      </c>
      <c r="K333" s="38" t="str">
        <f t="shared" si="74"/>
        <v/>
      </c>
      <c r="L333" s="38">
        <f t="shared" si="52"/>
        <v>863</v>
      </c>
      <c r="M333" s="38" t="str">
        <f t="shared" si="75"/>
        <v/>
      </c>
      <c r="P333" s="38">
        <v>51</v>
      </c>
      <c r="Q333" s="222" t="s">
        <v>193</v>
      </c>
      <c r="S333" s="222">
        <v>123450045</v>
      </c>
      <c r="T333" s="222" t="str">
        <f t="shared" si="59"/>
        <v>Twelve  Crores  Thirty Four  Lakhs  Fifty Thousand and Fourty Five</v>
      </c>
      <c r="U333" s="222">
        <f t="shared" si="60"/>
        <v>120000000</v>
      </c>
      <c r="V333" s="222">
        <f t="shared" si="61"/>
        <v>12</v>
      </c>
      <c r="W333" s="222" t="str">
        <f t="shared" si="62"/>
        <v xml:space="preserve">Twelve  Crores  </v>
      </c>
      <c r="X333" s="222">
        <f t="shared" si="63"/>
        <v>3400000</v>
      </c>
      <c r="Y333" s="715">
        <f t="shared" si="64"/>
        <v>34</v>
      </c>
      <c r="Z333" s="222" t="str">
        <f t="shared" si="65"/>
        <v xml:space="preserve">Thirty Four  Lakhs  </v>
      </c>
      <c r="AA333" s="222">
        <f t="shared" si="66"/>
        <v>50000</v>
      </c>
      <c r="AB333" s="715">
        <f t="shared" si="67"/>
        <v>50</v>
      </c>
      <c r="AC333" s="222" t="str">
        <f t="shared" si="68"/>
        <v xml:space="preserve">Fifty Thousand </v>
      </c>
      <c r="AD333" s="222">
        <f t="shared" si="69"/>
        <v>0</v>
      </c>
      <c r="AE333" s="281">
        <f t="shared" si="70"/>
        <v>0</v>
      </c>
      <c r="AF333" s="222" t="str">
        <f t="shared" si="71"/>
        <v/>
      </c>
      <c r="AG333" s="222">
        <f t="shared" si="72"/>
        <v>45</v>
      </c>
      <c r="AH333" s="281" t="str">
        <f t="shared" si="73"/>
        <v>Fourty Five</v>
      </c>
      <c r="AK333" s="270">
        <v>13390</v>
      </c>
      <c r="AL333" s="270">
        <v>26300</v>
      </c>
      <c r="AN333" s="273" t="e">
        <f t="shared" si="46"/>
        <v>#REF!</v>
      </c>
      <c r="AO333" s="273" t="e">
        <f t="shared" si="53"/>
        <v>#REF!</v>
      </c>
      <c r="YS333" s="38" t="e">
        <f>RIGHT(CONCATENATE(0,#REF!),7)</f>
        <v>#REF!</v>
      </c>
    </row>
    <row r="334" spans="1:669" hidden="1">
      <c r="A334" s="35">
        <v>52</v>
      </c>
      <c r="B334" s="38">
        <v>1</v>
      </c>
      <c r="C334" s="37" t="s">
        <v>68</v>
      </c>
      <c r="D334" s="37">
        <v>52</v>
      </c>
      <c r="E334" s="37" t="s">
        <v>194</v>
      </c>
      <c r="F334" s="38" t="s">
        <v>1858</v>
      </c>
      <c r="J334" s="38">
        <f t="shared" si="51"/>
        <v>863</v>
      </c>
      <c r="K334" s="38" t="str">
        <f t="shared" si="74"/>
        <v/>
      </c>
      <c r="L334" s="38">
        <f t="shared" si="52"/>
        <v>863</v>
      </c>
      <c r="M334" s="38" t="str">
        <f t="shared" si="75"/>
        <v/>
      </c>
      <c r="P334" s="38">
        <v>52</v>
      </c>
      <c r="Q334" s="222" t="s">
        <v>195</v>
      </c>
      <c r="S334" s="222">
        <v>123450046</v>
      </c>
      <c r="T334" s="222" t="str">
        <f t="shared" si="59"/>
        <v>Twelve  Crores  Thirty Four  Lakhs  Fifty Thousand and Fourty Six</v>
      </c>
      <c r="U334" s="222">
        <f t="shared" si="60"/>
        <v>120000000</v>
      </c>
      <c r="V334" s="222">
        <f t="shared" si="61"/>
        <v>12</v>
      </c>
      <c r="W334" s="222" t="str">
        <f t="shared" si="62"/>
        <v xml:space="preserve">Twelve  Crores  </v>
      </c>
      <c r="X334" s="222">
        <f t="shared" si="63"/>
        <v>3400000</v>
      </c>
      <c r="Y334" s="715">
        <f t="shared" si="64"/>
        <v>34</v>
      </c>
      <c r="Z334" s="222" t="str">
        <f t="shared" si="65"/>
        <v xml:space="preserve">Thirty Four  Lakhs  </v>
      </c>
      <c r="AA334" s="222">
        <f t="shared" si="66"/>
        <v>50000</v>
      </c>
      <c r="AB334" s="715">
        <f t="shared" si="67"/>
        <v>50</v>
      </c>
      <c r="AC334" s="222" t="str">
        <f t="shared" si="68"/>
        <v xml:space="preserve">Fifty Thousand </v>
      </c>
      <c r="AD334" s="222">
        <f t="shared" si="69"/>
        <v>0</v>
      </c>
      <c r="AE334" s="281">
        <f t="shared" si="70"/>
        <v>0</v>
      </c>
      <c r="AF334" s="222" t="str">
        <f t="shared" si="71"/>
        <v/>
      </c>
      <c r="AG334" s="222">
        <f t="shared" si="72"/>
        <v>46</v>
      </c>
      <c r="AH334" s="281" t="str">
        <f t="shared" si="73"/>
        <v>Fourty Six</v>
      </c>
      <c r="AK334" s="270">
        <v>13750</v>
      </c>
      <c r="AL334" s="270">
        <v>27000</v>
      </c>
      <c r="AN334" s="273" t="e">
        <f t="shared" si="46"/>
        <v>#REF!</v>
      </c>
      <c r="AO334" s="273" t="e">
        <f t="shared" si="53"/>
        <v>#REF!</v>
      </c>
      <c r="YS334" s="38" t="e">
        <f>RIGHT(CONCATENATE(0,#REF!),7)</f>
        <v>#REF!</v>
      </c>
    </row>
    <row r="335" spans="1:669" hidden="1">
      <c r="A335" s="35">
        <v>53</v>
      </c>
      <c r="B335" s="38">
        <v>2</v>
      </c>
      <c r="C335" s="37" t="s">
        <v>77</v>
      </c>
      <c r="D335" s="37">
        <v>1</v>
      </c>
      <c r="E335" s="37" t="s">
        <v>196</v>
      </c>
      <c r="F335" s="38" t="s">
        <v>1336</v>
      </c>
      <c r="J335" s="38">
        <f t="shared" si="51"/>
        <v>863</v>
      </c>
      <c r="K335" s="38" t="str">
        <f t="shared" si="74"/>
        <v/>
      </c>
      <c r="L335" s="38">
        <f t="shared" si="52"/>
        <v>863</v>
      </c>
      <c r="M335" s="38" t="str">
        <f t="shared" si="75"/>
        <v/>
      </c>
      <c r="P335" s="38">
        <v>53</v>
      </c>
      <c r="Q335" s="222" t="s">
        <v>197</v>
      </c>
      <c r="S335" s="222">
        <v>123450047</v>
      </c>
      <c r="T335" s="222" t="str">
        <f t="shared" si="59"/>
        <v>Twelve  Crores  Thirty Four  Lakhs  Fifty Thousand and Fourty Seven</v>
      </c>
      <c r="U335" s="222">
        <f t="shared" si="60"/>
        <v>120000000</v>
      </c>
      <c r="V335" s="222">
        <f t="shared" si="61"/>
        <v>12</v>
      </c>
      <c r="W335" s="222" t="str">
        <f t="shared" si="62"/>
        <v xml:space="preserve">Twelve  Crores  </v>
      </c>
      <c r="X335" s="222">
        <f t="shared" si="63"/>
        <v>3400000</v>
      </c>
      <c r="Y335" s="715">
        <f t="shared" si="64"/>
        <v>34</v>
      </c>
      <c r="Z335" s="222" t="str">
        <f t="shared" si="65"/>
        <v xml:space="preserve">Thirty Four  Lakhs  </v>
      </c>
      <c r="AA335" s="222">
        <f t="shared" si="66"/>
        <v>50000</v>
      </c>
      <c r="AB335" s="715">
        <f t="shared" si="67"/>
        <v>50</v>
      </c>
      <c r="AC335" s="222" t="str">
        <f t="shared" si="68"/>
        <v xml:space="preserve">Fifty Thousand </v>
      </c>
      <c r="AD335" s="222">
        <f t="shared" si="69"/>
        <v>0</v>
      </c>
      <c r="AE335" s="281">
        <f t="shared" si="70"/>
        <v>0</v>
      </c>
      <c r="AF335" s="222" t="str">
        <f t="shared" si="71"/>
        <v/>
      </c>
      <c r="AG335" s="222">
        <f t="shared" si="72"/>
        <v>47</v>
      </c>
      <c r="AH335" s="281" t="str">
        <f t="shared" si="73"/>
        <v>Fourty Seven</v>
      </c>
      <c r="AK335" s="270">
        <v>14175</v>
      </c>
      <c r="AL335" s="270">
        <v>27700</v>
      </c>
      <c r="AN335" s="273" t="e">
        <f t="shared" si="46"/>
        <v>#REF!</v>
      </c>
      <c r="AO335" s="273" t="e">
        <f t="shared" si="53"/>
        <v>#REF!</v>
      </c>
      <c r="YS335" s="38" t="e">
        <f>RIGHT(CONCATENATE(0,#REF!),7)</f>
        <v>#REF!</v>
      </c>
    </row>
    <row r="336" spans="1:669" hidden="1">
      <c r="A336" s="35">
        <v>54</v>
      </c>
      <c r="B336" s="38">
        <v>2</v>
      </c>
      <c r="C336" s="37" t="s">
        <v>77</v>
      </c>
      <c r="D336" s="37">
        <v>2</v>
      </c>
      <c r="E336" s="37" t="s">
        <v>198</v>
      </c>
      <c r="F336" s="38" t="s">
        <v>1465</v>
      </c>
      <c r="J336" s="38">
        <f t="shared" si="51"/>
        <v>863</v>
      </c>
      <c r="K336" s="38" t="str">
        <f t="shared" si="74"/>
        <v/>
      </c>
      <c r="L336" s="38">
        <f t="shared" si="52"/>
        <v>863</v>
      </c>
      <c r="M336" s="38" t="str">
        <f t="shared" si="75"/>
        <v/>
      </c>
      <c r="P336" s="38">
        <v>54</v>
      </c>
      <c r="Q336" s="222" t="s">
        <v>199</v>
      </c>
      <c r="S336" s="222">
        <v>123450048</v>
      </c>
      <c r="T336" s="222" t="str">
        <f t="shared" si="59"/>
        <v>Twelve  Crores  Thirty Four  Lakhs  Fifty Thousand and Fourty Eight</v>
      </c>
      <c r="U336" s="222">
        <f t="shared" si="60"/>
        <v>120000000</v>
      </c>
      <c r="V336" s="222">
        <f t="shared" si="61"/>
        <v>12</v>
      </c>
      <c r="W336" s="222" t="str">
        <f t="shared" si="62"/>
        <v xml:space="preserve">Twelve  Crores  </v>
      </c>
      <c r="X336" s="222">
        <f t="shared" si="63"/>
        <v>3400000</v>
      </c>
      <c r="Y336" s="715">
        <f t="shared" si="64"/>
        <v>34</v>
      </c>
      <c r="Z336" s="222" t="str">
        <f t="shared" si="65"/>
        <v xml:space="preserve">Thirty Four  Lakhs  </v>
      </c>
      <c r="AA336" s="222">
        <f t="shared" si="66"/>
        <v>50000</v>
      </c>
      <c r="AB336" s="715">
        <f t="shared" si="67"/>
        <v>50</v>
      </c>
      <c r="AC336" s="222" t="str">
        <f t="shared" si="68"/>
        <v xml:space="preserve">Fifty Thousand </v>
      </c>
      <c r="AD336" s="222">
        <f t="shared" si="69"/>
        <v>0</v>
      </c>
      <c r="AE336" s="281">
        <f t="shared" si="70"/>
        <v>0</v>
      </c>
      <c r="AF336" s="222" t="str">
        <f t="shared" si="71"/>
        <v/>
      </c>
      <c r="AG336" s="222">
        <f t="shared" si="72"/>
        <v>48</v>
      </c>
      <c r="AH336" s="281" t="str">
        <f t="shared" si="73"/>
        <v>Fourty Eight</v>
      </c>
      <c r="AK336" s="270">
        <v>14600</v>
      </c>
      <c r="AL336" s="270">
        <v>28450</v>
      </c>
      <c r="AN336" s="273" t="e">
        <f t="shared" si="46"/>
        <v>#REF!</v>
      </c>
      <c r="AO336" s="273" t="e">
        <f t="shared" si="53"/>
        <v>#REF!</v>
      </c>
      <c r="YS336" s="38" t="e">
        <f>RIGHT(CONCATENATE(0,#REF!),7)</f>
        <v>#REF!</v>
      </c>
    </row>
    <row r="337" spans="1:669" hidden="1">
      <c r="A337" s="35">
        <v>55</v>
      </c>
      <c r="B337" s="38">
        <v>2</v>
      </c>
      <c r="C337" s="37" t="s">
        <v>77</v>
      </c>
      <c r="D337" s="37">
        <v>3</v>
      </c>
      <c r="E337" s="37" t="s">
        <v>200</v>
      </c>
      <c r="F337" s="38" t="s">
        <v>1337</v>
      </c>
      <c r="J337" s="38">
        <f t="shared" si="51"/>
        <v>863</v>
      </c>
      <c r="K337" s="38" t="str">
        <f t="shared" si="74"/>
        <v/>
      </c>
      <c r="L337" s="38">
        <f t="shared" si="52"/>
        <v>863</v>
      </c>
      <c r="M337" s="38" t="str">
        <f t="shared" si="75"/>
        <v/>
      </c>
      <c r="P337" s="38">
        <v>55</v>
      </c>
      <c r="Q337" s="222" t="s">
        <v>201</v>
      </c>
      <c r="S337" s="222">
        <v>123450049</v>
      </c>
      <c r="T337" s="222" t="str">
        <f t="shared" si="59"/>
        <v>Twelve  Crores  Thirty Four  Lakhs  Fifty Thousand and Fourty Nine</v>
      </c>
      <c r="U337" s="222">
        <f t="shared" si="60"/>
        <v>120000000</v>
      </c>
      <c r="V337" s="222">
        <f t="shared" si="61"/>
        <v>12</v>
      </c>
      <c r="W337" s="222" t="str">
        <f t="shared" si="62"/>
        <v xml:space="preserve">Twelve  Crores  </v>
      </c>
      <c r="X337" s="222">
        <f t="shared" si="63"/>
        <v>3400000</v>
      </c>
      <c r="Y337" s="715">
        <f t="shared" si="64"/>
        <v>34</v>
      </c>
      <c r="Z337" s="222" t="str">
        <f t="shared" si="65"/>
        <v xml:space="preserve">Thirty Four  Lakhs  </v>
      </c>
      <c r="AA337" s="222">
        <f t="shared" si="66"/>
        <v>50000</v>
      </c>
      <c r="AB337" s="715">
        <f t="shared" si="67"/>
        <v>50</v>
      </c>
      <c r="AC337" s="222" t="str">
        <f t="shared" si="68"/>
        <v xml:space="preserve">Fifty Thousand </v>
      </c>
      <c r="AD337" s="222">
        <f t="shared" si="69"/>
        <v>0</v>
      </c>
      <c r="AE337" s="281">
        <f t="shared" si="70"/>
        <v>0</v>
      </c>
      <c r="AF337" s="222" t="str">
        <f t="shared" si="71"/>
        <v/>
      </c>
      <c r="AG337" s="222">
        <f t="shared" si="72"/>
        <v>49</v>
      </c>
      <c r="AH337" s="281" t="str">
        <f t="shared" si="73"/>
        <v>Fourty Nine</v>
      </c>
      <c r="AK337" s="270">
        <v>15025</v>
      </c>
      <c r="AL337" s="270">
        <v>29200</v>
      </c>
      <c r="AN337" s="273" t="e">
        <f t="shared" si="46"/>
        <v>#REF!</v>
      </c>
      <c r="AO337" s="273" t="e">
        <f t="shared" si="53"/>
        <v>#REF!</v>
      </c>
      <c r="YS337" s="38" t="e">
        <f>RIGHT(CONCATENATE(0,#REF!),7)</f>
        <v>#REF!</v>
      </c>
    </row>
    <row r="338" spans="1:669" hidden="1">
      <c r="A338" s="35">
        <v>56</v>
      </c>
      <c r="B338" s="38">
        <v>2</v>
      </c>
      <c r="C338" s="37" t="s">
        <v>77</v>
      </c>
      <c r="D338" s="37">
        <v>4</v>
      </c>
      <c r="E338" s="37" t="s">
        <v>77</v>
      </c>
      <c r="F338" s="87" t="s">
        <v>1466</v>
      </c>
      <c r="J338" s="38">
        <f t="shared" si="51"/>
        <v>863</v>
      </c>
      <c r="K338" s="38" t="str">
        <f t="shared" si="74"/>
        <v/>
      </c>
      <c r="L338" s="38">
        <f t="shared" si="52"/>
        <v>863</v>
      </c>
      <c r="M338" s="38" t="str">
        <f t="shared" si="75"/>
        <v/>
      </c>
      <c r="P338" s="38">
        <v>56</v>
      </c>
      <c r="Q338" s="222" t="s">
        <v>202</v>
      </c>
      <c r="S338" s="222">
        <v>123450050</v>
      </c>
      <c r="T338" s="222" t="str">
        <f t="shared" si="59"/>
        <v>Twelve  Crores  Thirty Four  Lakhs  Fifty Thousand and Fifty</v>
      </c>
      <c r="U338" s="222">
        <f t="shared" si="60"/>
        <v>120000000</v>
      </c>
      <c r="V338" s="222">
        <f t="shared" si="61"/>
        <v>12</v>
      </c>
      <c r="W338" s="222" t="str">
        <f t="shared" si="62"/>
        <v xml:space="preserve">Twelve  Crores  </v>
      </c>
      <c r="X338" s="222">
        <f t="shared" si="63"/>
        <v>3400000</v>
      </c>
      <c r="Y338" s="715">
        <f t="shared" si="64"/>
        <v>34</v>
      </c>
      <c r="Z338" s="222" t="str">
        <f t="shared" si="65"/>
        <v xml:space="preserve">Thirty Four  Lakhs  </v>
      </c>
      <c r="AA338" s="222">
        <f t="shared" si="66"/>
        <v>50000</v>
      </c>
      <c r="AB338" s="715">
        <f t="shared" si="67"/>
        <v>50</v>
      </c>
      <c r="AC338" s="222" t="str">
        <f t="shared" si="68"/>
        <v xml:space="preserve">Fifty Thousand </v>
      </c>
      <c r="AD338" s="222">
        <f t="shared" si="69"/>
        <v>0</v>
      </c>
      <c r="AE338" s="281">
        <f t="shared" si="70"/>
        <v>0</v>
      </c>
      <c r="AF338" s="222" t="str">
        <f t="shared" si="71"/>
        <v/>
      </c>
      <c r="AG338" s="222">
        <f t="shared" si="72"/>
        <v>50</v>
      </c>
      <c r="AH338" s="281" t="str">
        <f t="shared" si="73"/>
        <v>Fifty</v>
      </c>
      <c r="AK338" s="270">
        <v>15500</v>
      </c>
      <c r="AL338" s="270">
        <v>29950</v>
      </c>
      <c r="AN338" s="273" t="e">
        <f t="shared" si="46"/>
        <v>#REF!</v>
      </c>
      <c r="AO338" s="273" t="e">
        <f t="shared" si="53"/>
        <v>#REF!</v>
      </c>
      <c r="YS338" s="38" t="e">
        <f>RIGHT(CONCATENATE(0,#REF!),7)</f>
        <v>#REF!</v>
      </c>
    </row>
    <row r="339" spans="1:669" hidden="1">
      <c r="A339" s="35">
        <v>57</v>
      </c>
      <c r="B339" s="38">
        <v>2</v>
      </c>
      <c r="C339" s="37" t="s">
        <v>77</v>
      </c>
      <c r="D339" s="37">
        <v>5</v>
      </c>
      <c r="E339" s="37" t="s">
        <v>203</v>
      </c>
      <c r="F339" s="87" t="s">
        <v>1464</v>
      </c>
      <c r="J339" s="38">
        <f t="shared" si="51"/>
        <v>863</v>
      </c>
      <c r="K339" s="38" t="str">
        <f t="shared" si="74"/>
        <v/>
      </c>
      <c r="L339" s="38">
        <f t="shared" si="52"/>
        <v>863</v>
      </c>
      <c r="M339" s="38" t="str">
        <f t="shared" si="75"/>
        <v/>
      </c>
      <c r="P339" s="38">
        <v>57</v>
      </c>
      <c r="Q339" s="222" t="s">
        <v>204</v>
      </c>
      <c r="S339" s="222">
        <v>123450051</v>
      </c>
      <c r="T339" s="222" t="str">
        <f t="shared" si="59"/>
        <v>Twelve  Crores  Thirty Four  Lakhs  Fifty Thousand and Fifty One</v>
      </c>
      <c r="U339" s="222">
        <f t="shared" si="60"/>
        <v>120000000</v>
      </c>
      <c r="V339" s="222">
        <f t="shared" si="61"/>
        <v>12</v>
      </c>
      <c r="W339" s="222" t="str">
        <f t="shared" si="62"/>
        <v xml:space="preserve">Twelve  Crores  </v>
      </c>
      <c r="X339" s="222">
        <f t="shared" si="63"/>
        <v>3400000</v>
      </c>
      <c r="Y339" s="715">
        <f t="shared" si="64"/>
        <v>34</v>
      </c>
      <c r="Z339" s="222" t="str">
        <f t="shared" si="65"/>
        <v xml:space="preserve">Thirty Four  Lakhs  </v>
      </c>
      <c r="AA339" s="222">
        <f t="shared" si="66"/>
        <v>50000</v>
      </c>
      <c r="AB339" s="715">
        <f t="shared" si="67"/>
        <v>50</v>
      </c>
      <c r="AC339" s="222" t="str">
        <f t="shared" si="68"/>
        <v xml:space="preserve">Fifty Thousand </v>
      </c>
      <c r="AD339" s="222">
        <f t="shared" si="69"/>
        <v>0</v>
      </c>
      <c r="AE339" s="281">
        <f t="shared" si="70"/>
        <v>0</v>
      </c>
      <c r="AF339" s="222" t="str">
        <f t="shared" si="71"/>
        <v/>
      </c>
      <c r="AG339" s="222">
        <f t="shared" si="72"/>
        <v>51</v>
      </c>
      <c r="AH339" s="281" t="str">
        <f t="shared" si="73"/>
        <v>Fifty One</v>
      </c>
      <c r="AK339" s="270">
        <v>15975</v>
      </c>
      <c r="AL339" s="270">
        <v>30750</v>
      </c>
      <c r="AN339" s="273" t="e">
        <f t="shared" si="46"/>
        <v>#REF!</v>
      </c>
      <c r="AO339" s="273" t="e">
        <f t="shared" si="53"/>
        <v>#REF!</v>
      </c>
      <c r="YS339" s="38" t="e">
        <f>RIGHT(CONCATENATE(0,#REF!),7)</f>
        <v>#REF!</v>
      </c>
    </row>
    <row r="340" spans="1:669" hidden="1">
      <c r="A340" s="35">
        <v>58</v>
      </c>
      <c r="B340" s="38">
        <v>2</v>
      </c>
      <c r="C340" s="37" t="s">
        <v>77</v>
      </c>
      <c r="D340" s="37">
        <v>6</v>
      </c>
      <c r="E340" s="37" t="s">
        <v>205</v>
      </c>
      <c r="F340" s="87" t="s">
        <v>1307</v>
      </c>
      <c r="J340" s="38">
        <f t="shared" si="51"/>
        <v>863</v>
      </c>
      <c r="K340" s="38" t="str">
        <f t="shared" si="74"/>
        <v/>
      </c>
      <c r="L340" s="38">
        <f t="shared" si="52"/>
        <v>863</v>
      </c>
      <c r="M340" s="38" t="str">
        <f t="shared" si="75"/>
        <v/>
      </c>
      <c r="P340" s="38">
        <v>58</v>
      </c>
      <c r="Q340" s="222" t="s">
        <v>206</v>
      </c>
      <c r="S340" s="222">
        <v>123450052</v>
      </c>
      <c r="T340" s="222" t="str">
        <f t="shared" si="59"/>
        <v>Twelve  Crores  Thirty Four  Lakhs  Fifty Thousand and Fifty Two</v>
      </c>
      <c r="U340" s="222">
        <f t="shared" si="60"/>
        <v>120000000</v>
      </c>
      <c r="V340" s="222">
        <f t="shared" si="61"/>
        <v>12</v>
      </c>
      <c r="W340" s="222" t="str">
        <f t="shared" si="62"/>
        <v xml:space="preserve">Twelve  Crores  </v>
      </c>
      <c r="X340" s="222">
        <f t="shared" si="63"/>
        <v>3400000</v>
      </c>
      <c r="Y340" s="715">
        <f t="shared" si="64"/>
        <v>34</v>
      </c>
      <c r="Z340" s="222" t="str">
        <f t="shared" si="65"/>
        <v xml:space="preserve">Thirty Four  Lakhs  </v>
      </c>
      <c r="AA340" s="222">
        <f t="shared" si="66"/>
        <v>50000</v>
      </c>
      <c r="AB340" s="715">
        <f t="shared" si="67"/>
        <v>50</v>
      </c>
      <c r="AC340" s="222" t="str">
        <f t="shared" si="68"/>
        <v xml:space="preserve">Fifty Thousand </v>
      </c>
      <c r="AD340" s="222">
        <f t="shared" si="69"/>
        <v>0</v>
      </c>
      <c r="AE340" s="281">
        <f t="shared" si="70"/>
        <v>0</v>
      </c>
      <c r="AF340" s="222" t="str">
        <f t="shared" si="71"/>
        <v/>
      </c>
      <c r="AG340" s="222">
        <f t="shared" si="72"/>
        <v>52</v>
      </c>
      <c r="AH340" s="281" t="str">
        <f t="shared" si="73"/>
        <v>Fifty Two</v>
      </c>
      <c r="AK340" s="270">
        <v>16450</v>
      </c>
      <c r="AL340" s="270">
        <v>31550</v>
      </c>
      <c r="AN340" s="273" t="e">
        <f t="shared" si="46"/>
        <v>#REF!</v>
      </c>
      <c r="AO340" s="273" t="e">
        <f t="shared" si="53"/>
        <v>#REF!</v>
      </c>
      <c r="YS340" s="38" t="e">
        <f>RIGHT(CONCATENATE(0,#REF!),7)</f>
        <v>#REF!</v>
      </c>
    </row>
    <row r="341" spans="1:669" hidden="1">
      <c r="A341" s="35">
        <v>59</v>
      </c>
      <c r="B341" s="38">
        <v>2</v>
      </c>
      <c r="C341" s="37" t="s">
        <v>77</v>
      </c>
      <c r="D341" s="37">
        <v>7</v>
      </c>
      <c r="E341" s="37" t="s">
        <v>207</v>
      </c>
      <c r="F341" s="87" t="s">
        <v>1308</v>
      </c>
      <c r="J341" s="38">
        <f t="shared" si="51"/>
        <v>863</v>
      </c>
      <c r="K341" s="38" t="str">
        <f t="shared" si="74"/>
        <v/>
      </c>
      <c r="L341" s="38">
        <f t="shared" si="52"/>
        <v>863</v>
      </c>
      <c r="M341" s="38" t="str">
        <f t="shared" si="75"/>
        <v/>
      </c>
      <c r="P341" s="38">
        <v>59</v>
      </c>
      <c r="Q341" s="222" t="s">
        <v>208</v>
      </c>
      <c r="S341" s="222">
        <v>123450053</v>
      </c>
      <c r="T341" s="222" t="str">
        <f t="shared" si="59"/>
        <v>Twelve  Crores  Thirty Four  Lakhs  Fifty Thousand and Fifty Three</v>
      </c>
      <c r="U341" s="222">
        <f t="shared" si="60"/>
        <v>120000000</v>
      </c>
      <c r="V341" s="222">
        <f t="shared" si="61"/>
        <v>12</v>
      </c>
      <c r="W341" s="222" t="str">
        <f t="shared" si="62"/>
        <v xml:space="preserve">Twelve  Crores  </v>
      </c>
      <c r="X341" s="222">
        <f t="shared" si="63"/>
        <v>3400000</v>
      </c>
      <c r="Y341" s="715">
        <f t="shared" si="64"/>
        <v>34</v>
      </c>
      <c r="Z341" s="222" t="str">
        <f t="shared" si="65"/>
        <v xml:space="preserve">Thirty Four  Lakhs  </v>
      </c>
      <c r="AA341" s="222">
        <f t="shared" si="66"/>
        <v>50000</v>
      </c>
      <c r="AB341" s="715">
        <f t="shared" si="67"/>
        <v>50</v>
      </c>
      <c r="AC341" s="222" t="str">
        <f t="shared" si="68"/>
        <v xml:space="preserve">Fifty Thousand </v>
      </c>
      <c r="AD341" s="222">
        <f t="shared" si="69"/>
        <v>0</v>
      </c>
      <c r="AE341" s="281">
        <f t="shared" si="70"/>
        <v>0</v>
      </c>
      <c r="AF341" s="222" t="str">
        <f t="shared" si="71"/>
        <v/>
      </c>
      <c r="AG341" s="222">
        <f t="shared" si="72"/>
        <v>53</v>
      </c>
      <c r="AH341" s="281" t="str">
        <f t="shared" si="73"/>
        <v>Fifty Three</v>
      </c>
      <c r="AK341" s="270">
        <v>16925</v>
      </c>
      <c r="AL341" s="270">
        <v>32350</v>
      </c>
      <c r="AN341" s="273" t="e">
        <f t="shared" si="46"/>
        <v>#REF!</v>
      </c>
      <c r="AO341" s="273" t="e">
        <f t="shared" si="53"/>
        <v>#REF!</v>
      </c>
      <c r="YS341" s="38" t="e">
        <f>RIGHT(CONCATENATE(0,#REF!),7)</f>
        <v>#REF!</v>
      </c>
    </row>
    <row r="342" spans="1:669" hidden="1">
      <c r="A342" s="35">
        <v>60</v>
      </c>
      <c r="B342" s="38">
        <v>2</v>
      </c>
      <c r="C342" s="37" t="s">
        <v>77</v>
      </c>
      <c r="D342" s="37">
        <v>8</v>
      </c>
      <c r="E342" s="37" t="s">
        <v>209</v>
      </c>
      <c r="F342" s="88" t="s">
        <v>1309</v>
      </c>
      <c r="J342" s="38">
        <f t="shared" si="51"/>
        <v>863</v>
      </c>
      <c r="K342" s="38" t="str">
        <f t="shared" si="74"/>
        <v/>
      </c>
      <c r="L342" s="38">
        <f t="shared" si="52"/>
        <v>863</v>
      </c>
      <c r="M342" s="38" t="str">
        <f t="shared" si="75"/>
        <v/>
      </c>
      <c r="P342" s="38">
        <v>60</v>
      </c>
      <c r="Q342" s="222" t="s">
        <v>210</v>
      </c>
      <c r="S342" s="222">
        <v>123450054</v>
      </c>
      <c r="T342" s="222" t="str">
        <f t="shared" si="59"/>
        <v>Twelve  Crores  Thirty Four  Lakhs  Fifty Thousand and Fifty Four</v>
      </c>
      <c r="U342" s="222">
        <f t="shared" si="60"/>
        <v>120000000</v>
      </c>
      <c r="V342" s="222">
        <f t="shared" si="61"/>
        <v>12</v>
      </c>
      <c r="W342" s="222" t="str">
        <f t="shared" si="62"/>
        <v xml:space="preserve">Twelve  Crores  </v>
      </c>
      <c r="X342" s="222">
        <f t="shared" si="63"/>
        <v>3400000</v>
      </c>
      <c r="Y342" s="715">
        <f t="shared" si="64"/>
        <v>34</v>
      </c>
      <c r="Z342" s="222" t="str">
        <f t="shared" si="65"/>
        <v xml:space="preserve">Thirty Four  Lakhs  </v>
      </c>
      <c r="AA342" s="222">
        <f t="shared" si="66"/>
        <v>50000</v>
      </c>
      <c r="AB342" s="715">
        <f t="shared" si="67"/>
        <v>50</v>
      </c>
      <c r="AC342" s="222" t="str">
        <f t="shared" si="68"/>
        <v xml:space="preserve">Fifty Thousand </v>
      </c>
      <c r="AD342" s="222">
        <f t="shared" si="69"/>
        <v>0</v>
      </c>
      <c r="AE342" s="281">
        <f t="shared" si="70"/>
        <v>0</v>
      </c>
      <c r="AF342" s="222" t="str">
        <f t="shared" si="71"/>
        <v/>
      </c>
      <c r="AG342" s="222">
        <f t="shared" si="72"/>
        <v>54</v>
      </c>
      <c r="AH342" s="281" t="str">
        <f t="shared" si="73"/>
        <v>Fifty Four</v>
      </c>
      <c r="AK342" s="270">
        <v>17475</v>
      </c>
      <c r="AL342" s="270">
        <v>33200</v>
      </c>
      <c r="AN342" s="273" t="e">
        <f t="shared" si="46"/>
        <v>#REF!</v>
      </c>
      <c r="AO342" s="273" t="e">
        <f t="shared" si="53"/>
        <v>#REF!</v>
      </c>
      <c r="YS342" s="38" t="e">
        <f>RIGHT(CONCATENATE(0,#REF!),7)</f>
        <v>#REF!</v>
      </c>
    </row>
    <row r="343" spans="1:669" hidden="1">
      <c r="A343" s="35">
        <v>61</v>
      </c>
      <c r="B343" s="38">
        <v>2</v>
      </c>
      <c r="C343" s="37" t="s">
        <v>77</v>
      </c>
      <c r="D343" s="37">
        <v>9</v>
      </c>
      <c r="E343" s="37" t="s">
        <v>211</v>
      </c>
      <c r="F343" s="88" t="s">
        <v>1310</v>
      </c>
      <c r="J343" s="38">
        <f t="shared" si="51"/>
        <v>863</v>
      </c>
      <c r="K343" s="38" t="str">
        <f t="shared" si="74"/>
        <v/>
      </c>
      <c r="L343" s="38">
        <f t="shared" si="52"/>
        <v>863</v>
      </c>
      <c r="M343" s="38" t="str">
        <f t="shared" si="75"/>
        <v/>
      </c>
      <c r="P343" s="38">
        <v>61</v>
      </c>
      <c r="Q343" s="222" t="s">
        <v>212</v>
      </c>
      <c r="S343" s="222">
        <v>123450055</v>
      </c>
      <c r="T343" s="222" t="str">
        <f t="shared" si="59"/>
        <v>Twelve  Crores  Thirty Four  Lakhs  Fifty Thousand and Fifty Five</v>
      </c>
      <c r="U343" s="222">
        <f t="shared" si="60"/>
        <v>120000000</v>
      </c>
      <c r="V343" s="222">
        <f t="shared" si="61"/>
        <v>12</v>
      </c>
      <c r="W343" s="222" t="str">
        <f t="shared" si="62"/>
        <v xml:space="preserve">Twelve  Crores  </v>
      </c>
      <c r="X343" s="222">
        <f t="shared" si="63"/>
        <v>3400000</v>
      </c>
      <c r="Y343" s="715">
        <f t="shared" si="64"/>
        <v>34</v>
      </c>
      <c r="Z343" s="222" t="str">
        <f t="shared" si="65"/>
        <v xml:space="preserve">Thirty Four  Lakhs  </v>
      </c>
      <c r="AA343" s="222">
        <f t="shared" si="66"/>
        <v>50000</v>
      </c>
      <c r="AB343" s="715">
        <f t="shared" si="67"/>
        <v>50</v>
      </c>
      <c r="AC343" s="222" t="str">
        <f t="shared" si="68"/>
        <v xml:space="preserve">Fifty Thousand </v>
      </c>
      <c r="AD343" s="222">
        <f t="shared" si="69"/>
        <v>0</v>
      </c>
      <c r="AE343" s="281">
        <f t="shared" si="70"/>
        <v>0</v>
      </c>
      <c r="AF343" s="222" t="str">
        <f t="shared" si="71"/>
        <v/>
      </c>
      <c r="AG343" s="222">
        <f t="shared" si="72"/>
        <v>55</v>
      </c>
      <c r="AH343" s="281" t="str">
        <f t="shared" si="73"/>
        <v>Fifty Five</v>
      </c>
      <c r="AK343" s="270">
        <v>18025</v>
      </c>
      <c r="AL343" s="270">
        <v>34050</v>
      </c>
      <c r="AN343" s="273" t="e">
        <f t="shared" si="46"/>
        <v>#REF!</v>
      </c>
      <c r="AO343" s="273" t="e">
        <f t="shared" si="53"/>
        <v>#REF!</v>
      </c>
      <c r="YS343" s="38" t="e">
        <f>RIGHT(CONCATENATE(0,#REF!),7)</f>
        <v>#REF!</v>
      </c>
    </row>
    <row r="344" spans="1:669" hidden="1">
      <c r="A344" s="35">
        <v>62</v>
      </c>
      <c r="B344" s="38">
        <v>2</v>
      </c>
      <c r="C344" s="37" t="s">
        <v>77</v>
      </c>
      <c r="D344" s="37">
        <v>10</v>
      </c>
      <c r="E344" s="37" t="s">
        <v>213</v>
      </c>
      <c r="F344" s="88" t="s">
        <v>1311</v>
      </c>
      <c r="J344" s="38">
        <f t="shared" si="51"/>
        <v>863</v>
      </c>
      <c r="K344" s="38" t="str">
        <f t="shared" si="74"/>
        <v/>
      </c>
      <c r="L344" s="38">
        <f t="shared" si="52"/>
        <v>863</v>
      </c>
      <c r="M344" s="38" t="str">
        <f t="shared" si="75"/>
        <v/>
      </c>
      <c r="P344" s="38">
        <v>62</v>
      </c>
      <c r="Q344" s="222" t="s">
        <v>214</v>
      </c>
      <c r="S344" s="222">
        <v>123450056</v>
      </c>
      <c r="T344" s="222" t="str">
        <f t="shared" si="59"/>
        <v>Twelve  Crores  Thirty Four  Lakhs  Fifty Thousand and Fifty Six</v>
      </c>
      <c r="U344" s="222">
        <f t="shared" si="60"/>
        <v>120000000</v>
      </c>
      <c r="V344" s="222">
        <f t="shared" si="61"/>
        <v>12</v>
      </c>
      <c r="W344" s="222" t="str">
        <f t="shared" si="62"/>
        <v xml:space="preserve">Twelve  Crores  </v>
      </c>
      <c r="X344" s="222">
        <f t="shared" si="63"/>
        <v>3400000</v>
      </c>
      <c r="Y344" s="715">
        <f t="shared" si="64"/>
        <v>34</v>
      </c>
      <c r="Z344" s="222" t="str">
        <f t="shared" si="65"/>
        <v xml:space="preserve">Thirty Four  Lakhs  </v>
      </c>
      <c r="AA344" s="222">
        <f t="shared" si="66"/>
        <v>50000</v>
      </c>
      <c r="AB344" s="715">
        <f t="shared" si="67"/>
        <v>50</v>
      </c>
      <c r="AC344" s="222" t="str">
        <f t="shared" si="68"/>
        <v xml:space="preserve">Fifty Thousand </v>
      </c>
      <c r="AD344" s="222">
        <f t="shared" si="69"/>
        <v>0</v>
      </c>
      <c r="AE344" s="281">
        <f t="shared" si="70"/>
        <v>0</v>
      </c>
      <c r="AF344" s="222" t="str">
        <f t="shared" si="71"/>
        <v/>
      </c>
      <c r="AG344" s="222">
        <f t="shared" si="72"/>
        <v>56</v>
      </c>
      <c r="AH344" s="281" t="str">
        <f t="shared" si="73"/>
        <v>Fifty Six</v>
      </c>
      <c r="AK344" s="270">
        <v>18575</v>
      </c>
      <c r="AL344" s="270">
        <v>34900</v>
      </c>
      <c r="AN344" s="273" t="e">
        <f t="shared" si="46"/>
        <v>#REF!</v>
      </c>
      <c r="AO344" s="273" t="e">
        <f t="shared" si="53"/>
        <v>#REF!</v>
      </c>
      <c r="YS344" s="38" t="e">
        <f>RIGHT(CONCATENATE(0,#REF!),7)</f>
        <v>#REF!</v>
      </c>
    </row>
    <row r="345" spans="1:669" hidden="1">
      <c r="A345" s="35">
        <v>63</v>
      </c>
      <c r="B345" s="38">
        <v>2</v>
      </c>
      <c r="C345" s="37" t="s">
        <v>77</v>
      </c>
      <c r="D345" s="37">
        <v>11</v>
      </c>
      <c r="E345" s="37" t="s">
        <v>215</v>
      </c>
      <c r="F345" s="88" t="s">
        <v>1312</v>
      </c>
      <c r="J345" s="38">
        <f t="shared" si="51"/>
        <v>863</v>
      </c>
      <c r="K345" s="38" t="str">
        <f t="shared" si="74"/>
        <v/>
      </c>
      <c r="L345" s="38">
        <f t="shared" si="52"/>
        <v>863</v>
      </c>
      <c r="M345" s="38" t="str">
        <f t="shared" si="75"/>
        <v/>
      </c>
      <c r="P345" s="38">
        <v>63</v>
      </c>
      <c r="Q345" s="222" t="s">
        <v>216</v>
      </c>
      <c r="S345" s="222">
        <v>123450057</v>
      </c>
      <c r="T345" s="222" t="str">
        <f t="shared" si="59"/>
        <v>Twelve  Crores  Thirty Four  Lakhs  Fifty Thousand and Fifty Seven</v>
      </c>
      <c r="U345" s="222">
        <f t="shared" si="60"/>
        <v>120000000</v>
      </c>
      <c r="V345" s="222">
        <f t="shared" si="61"/>
        <v>12</v>
      </c>
      <c r="W345" s="222" t="str">
        <f t="shared" si="62"/>
        <v xml:space="preserve">Twelve  Crores  </v>
      </c>
      <c r="X345" s="222">
        <f t="shared" si="63"/>
        <v>3400000</v>
      </c>
      <c r="Y345" s="715">
        <f t="shared" si="64"/>
        <v>34</v>
      </c>
      <c r="Z345" s="222" t="str">
        <f t="shared" si="65"/>
        <v xml:space="preserve">Thirty Four  Lakhs  </v>
      </c>
      <c r="AA345" s="222">
        <f t="shared" si="66"/>
        <v>50000</v>
      </c>
      <c r="AB345" s="715">
        <f t="shared" si="67"/>
        <v>50</v>
      </c>
      <c r="AC345" s="222" t="str">
        <f t="shared" si="68"/>
        <v xml:space="preserve">Fifty Thousand </v>
      </c>
      <c r="AD345" s="222">
        <f t="shared" si="69"/>
        <v>0</v>
      </c>
      <c r="AE345" s="281">
        <f t="shared" si="70"/>
        <v>0</v>
      </c>
      <c r="AF345" s="222" t="str">
        <f t="shared" si="71"/>
        <v/>
      </c>
      <c r="AG345" s="222">
        <f t="shared" si="72"/>
        <v>57</v>
      </c>
      <c r="AH345" s="281" t="str">
        <f t="shared" si="73"/>
        <v>Fifty Seven</v>
      </c>
      <c r="AK345" s="270">
        <v>19125</v>
      </c>
      <c r="AL345" s="270">
        <v>35800</v>
      </c>
      <c r="AN345" s="273" t="e">
        <f t="shared" si="46"/>
        <v>#REF!</v>
      </c>
      <c r="AO345" s="273" t="e">
        <f t="shared" si="53"/>
        <v>#REF!</v>
      </c>
      <c r="YS345" s="38" t="e">
        <f>RIGHT(CONCATENATE(0,#REF!),7)</f>
        <v>#REF!</v>
      </c>
    </row>
    <row r="346" spans="1:669" hidden="1">
      <c r="A346" s="35">
        <v>64</v>
      </c>
      <c r="B346" s="38">
        <v>2</v>
      </c>
      <c r="C346" s="37" t="s">
        <v>77</v>
      </c>
      <c r="D346" s="37">
        <v>12</v>
      </c>
      <c r="E346" s="37" t="s">
        <v>217</v>
      </c>
      <c r="F346" s="88" t="s">
        <v>1945</v>
      </c>
      <c r="J346" s="38">
        <f t="shared" si="51"/>
        <v>863</v>
      </c>
      <c r="K346" s="38" t="str">
        <f t="shared" si="74"/>
        <v/>
      </c>
      <c r="L346" s="38">
        <f t="shared" si="52"/>
        <v>863</v>
      </c>
      <c r="M346" s="38" t="str">
        <f t="shared" si="75"/>
        <v/>
      </c>
      <c r="P346" s="38">
        <v>64</v>
      </c>
      <c r="Q346" s="222" t="s">
        <v>218</v>
      </c>
      <c r="S346" s="222">
        <v>123450058</v>
      </c>
      <c r="T346" s="222" t="str">
        <f t="shared" si="59"/>
        <v>Twelve  Crores  Thirty Four  Lakhs  Fifty Thousand and Fifty Eight</v>
      </c>
      <c r="U346" s="222">
        <f t="shared" si="60"/>
        <v>120000000</v>
      </c>
      <c r="V346" s="222">
        <f t="shared" si="61"/>
        <v>12</v>
      </c>
      <c r="W346" s="222" t="str">
        <f t="shared" si="62"/>
        <v xml:space="preserve">Twelve  Crores  </v>
      </c>
      <c r="X346" s="222">
        <f t="shared" si="63"/>
        <v>3400000</v>
      </c>
      <c r="Y346" s="715">
        <f t="shared" si="64"/>
        <v>34</v>
      </c>
      <c r="Z346" s="222" t="str">
        <f t="shared" si="65"/>
        <v xml:space="preserve">Thirty Four  Lakhs  </v>
      </c>
      <c r="AA346" s="222">
        <f t="shared" si="66"/>
        <v>50000</v>
      </c>
      <c r="AB346" s="715">
        <f t="shared" si="67"/>
        <v>50</v>
      </c>
      <c r="AC346" s="222" t="str">
        <f t="shared" si="68"/>
        <v xml:space="preserve">Fifty Thousand </v>
      </c>
      <c r="AD346" s="222">
        <f t="shared" si="69"/>
        <v>0</v>
      </c>
      <c r="AE346" s="281">
        <f t="shared" si="70"/>
        <v>0</v>
      </c>
      <c r="AF346" s="222" t="str">
        <f t="shared" si="71"/>
        <v/>
      </c>
      <c r="AG346" s="222">
        <f t="shared" si="72"/>
        <v>58</v>
      </c>
      <c r="AH346" s="281" t="str">
        <f t="shared" si="73"/>
        <v>Fifty Eight</v>
      </c>
      <c r="AK346" s="270">
        <v>19675</v>
      </c>
      <c r="AL346" s="270">
        <v>36700</v>
      </c>
      <c r="AN346" s="273" t="e">
        <f t="shared" si="46"/>
        <v>#REF!</v>
      </c>
      <c r="AO346" s="273" t="e">
        <f t="shared" si="53"/>
        <v>#REF!</v>
      </c>
      <c r="YS346" s="38" t="e">
        <f>RIGHT(CONCATENATE(0,#REF!),7)</f>
        <v>#REF!</v>
      </c>
    </row>
    <row r="347" spans="1:669" hidden="1">
      <c r="A347" s="35">
        <v>65</v>
      </c>
      <c r="B347" s="38">
        <v>2</v>
      </c>
      <c r="C347" s="37" t="s">
        <v>77</v>
      </c>
      <c r="D347" s="37">
        <v>13</v>
      </c>
      <c r="E347" s="37" t="s">
        <v>219</v>
      </c>
      <c r="F347" s="88" t="s">
        <v>1313</v>
      </c>
      <c r="J347" s="38">
        <f t="shared" si="51"/>
        <v>863</v>
      </c>
      <c r="K347" s="38" t="str">
        <f t="shared" si="74"/>
        <v/>
      </c>
      <c r="L347" s="38">
        <f t="shared" si="52"/>
        <v>863</v>
      </c>
      <c r="M347" s="38" t="str">
        <f t="shared" si="75"/>
        <v/>
      </c>
      <c r="P347" s="38">
        <v>65</v>
      </c>
      <c r="Q347" s="222" t="s">
        <v>220</v>
      </c>
      <c r="S347" s="222">
        <v>123450059</v>
      </c>
      <c r="T347" s="222" t="str">
        <f t="shared" ref="T347:T373" si="76">IF(S347=0,"NIL",IF(AND(V347=0,Y347=0,AB347=0,AE347=0),AH347,IF(AND(V347=0,Y347=0,AB347=0),CONCATENATE(AF347,IF(AG347&gt;0,"and "," "),AH347),IF(AND(V347=0,Y347=0),CONCATENATE(AC347,IF(AND(AG347=0,AE347&gt;0),"and ", ""),AF347,IF(AG347&gt;0,"and "," "),AH347),IF(V347=0,CONCATENATE(Z347,IF(AND(AG347=0,AE347=0,AB347&gt;0),"and ", ""),AC347,IF(AND(AG347=0,AE347&gt;0),"and ", ""),AF347,IF(AG347&gt;0,"and "," "),AH347),CONCATENATE(W347,IF(AND(AG347=0,AE347=0,AB347=0,Y347&gt;0),"and ", ""),Z347,IF(AND(AG347=0,AE347=0,AB347&gt;0),"and ", ""),AC347,IF(AND(AG347=0,AE347&gt;0),"and ", ""),AF347,IF(AG347&gt;0,"and "," "),AH347))))))</f>
        <v>Twelve  Crores  Thirty Four  Lakhs  Fifty Thousand and Fifty Nine</v>
      </c>
      <c r="U347" s="222">
        <f t="shared" ref="U347:U373" si="77">INT(S347/10000000)*10000000</f>
        <v>120000000</v>
      </c>
      <c r="V347" s="222">
        <f t="shared" ref="V347:V373" si="78">INT(S347/10000000)</f>
        <v>12</v>
      </c>
      <c r="W347" s="222" t="str">
        <f t="shared" ref="W347:W373" si="79">IF(V347=1,CONCATENATE(VLOOKUP(V347,$P$283:$Q$381,2),"  Crore "),IF(V347&gt;1,CONCATENATE(VLOOKUP(V347,$P$283:$Q$381,2),"  Crores  "),""))</f>
        <v xml:space="preserve">Twelve  Crores  </v>
      </c>
      <c r="X347" s="222">
        <f t="shared" ref="X347:X373" si="80">INT(S347/100000)*100000-U347</f>
        <v>3400000</v>
      </c>
      <c r="Y347" s="715">
        <f t="shared" ref="Y347:Y373" si="81">INT(X347/100000)</f>
        <v>34</v>
      </c>
      <c r="Z347" s="222" t="str">
        <f t="shared" ref="Z347:Z373" si="82">IF(Y347=1,CONCATENATE(VLOOKUP(Y347,$P$283:$Q$381,2),"  Lakh "),IF(Y347&gt;1,CONCATENATE(VLOOKUP(Y347,$P$283:$Q$381,2),"  Lakhs  "),""))</f>
        <v xml:space="preserve">Thirty Four  Lakhs  </v>
      </c>
      <c r="AA347" s="222">
        <f t="shared" ref="AA347:AA373" si="83">INT(S347/1000)*1000-U347-X347</f>
        <v>50000</v>
      </c>
      <c r="AB347" s="715">
        <f t="shared" ref="AB347:AB373" si="84">INT(AA347/1000)</f>
        <v>50</v>
      </c>
      <c r="AC347" s="222" t="str">
        <f t="shared" ref="AC347:AC373" si="85">IF(AB347&gt;0,CONCATENATE(VLOOKUP(AB347,$P$283:$Q$381,2)," Thousand "),"")</f>
        <v xml:space="preserve">Fifty Thousand </v>
      </c>
      <c r="AD347" s="222">
        <f t="shared" ref="AD347:AD373" si="86">INT(S347/100)*100-U347-X347-AA347</f>
        <v>0</v>
      </c>
      <c r="AE347" s="281">
        <f t="shared" ref="AE347:AE373" si="87">INT(AD347/100)</f>
        <v>0</v>
      </c>
      <c r="AF347" s="222" t="str">
        <f t="shared" ref="AF347:AF373" si="88">IF(AE347&gt;0,CONCATENATE(VLOOKUP(AE347,$P$283:$Q$381,2)," Hundred "),"")</f>
        <v/>
      </c>
      <c r="AG347" s="222">
        <f t="shared" ref="AG347:AG373" si="89">S347-U347-X347-AA347-AD347</f>
        <v>59</v>
      </c>
      <c r="AH347" s="281" t="str">
        <f t="shared" ref="AH347:AH373" si="90">IF(AG347&gt;0, VLOOKUP(AG347,$P$283:$Q$381,2),"")</f>
        <v>Fifty Nine</v>
      </c>
      <c r="AK347" s="270">
        <v>20300</v>
      </c>
      <c r="AL347" s="270">
        <v>37600</v>
      </c>
      <c r="AN347" s="273" t="e">
        <f t="shared" si="46"/>
        <v>#REF!</v>
      </c>
      <c r="AO347" s="273" t="e">
        <f t="shared" si="53"/>
        <v>#REF!</v>
      </c>
      <c r="YS347" s="38" t="e">
        <f>RIGHT(CONCATENATE(0,#REF!),7)</f>
        <v>#REF!</v>
      </c>
    </row>
    <row r="348" spans="1:669" hidden="1">
      <c r="A348" s="35">
        <v>66</v>
      </c>
      <c r="B348" s="38">
        <v>2</v>
      </c>
      <c r="C348" s="37" t="s">
        <v>77</v>
      </c>
      <c r="D348" s="37">
        <v>14</v>
      </c>
      <c r="E348" s="37" t="s">
        <v>221</v>
      </c>
      <c r="F348" s="88" t="s">
        <v>1314</v>
      </c>
      <c r="J348" s="38">
        <f t="shared" si="51"/>
        <v>863</v>
      </c>
      <c r="K348" s="38" t="str">
        <f>IF(J348&gt;$J$283,"",VLOOKUP(J348,$A$283:$E$1404,5))</f>
        <v/>
      </c>
      <c r="L348" s="38">
        <f t="shared" si="52"/>
        <v>863</v>
      </c>
      <c r="M348" s="38" t="str">
        <f>IF(L348&gt;$L$283,"",VLOOKUP(L348,$A$283:$E$1404,5))</f>
        <v/>
      </c>
      <c r="P348" s="38">
        <v>66</v>
      </c>
      <c r="Q348" s="222" t="s">
        <v>222</v>
      </c>
      <c r="S348" s="222">
        <v>123450060</v>
      </c>
      <c r="T348" s="222" t="str">
        <f t="shared" si="76"/>
        <v>Twelve  Crores  Thirty Four  Lakhs  Fifty Thousand and Sixty</v>
      </c>
      <c r="U348" s="222">
        <f t="shared" si="77"/>
        <v>120000000</v>
      </c>
      <c r="V348" s="222">
        <f t="shared" si="78"/>
        <v>12</v>
      </c>
      <c r="W348" s="222" t="str">
        <f t="shared" si="79"/>
        <v xml:space="preserve">Twelve  Crores  </v>
      </c>
      <c r="X348" s="222">
        <f t="shared" si="80"/>
        <v>3400000</v>
      </c>
      <c r="Y348" s="715">
        <f t="shared" si="81"/>
        <v>34</v>
      </c>
      <c r="Z348" s="222" t="str">
        <f t="shared" si="82"/>
        <v xml:space="preserve">Thirty Four  Lakhs  </v>
      </c>
      <c r="AA348" s="222">
        <f t="shared" si="83"/>
        <v>50000</v>
      </c>
      <c r="AB348" s="715">
        <f t="shared" si="84"/>
        <v>50</v>
      </c>
      <c r="AC348" s="222" t="str">
        <f t="shared" si="85"/>
        <v xml:space="preserve">Fifty Thousand </v>
      </c>
      <c r="AD348" s="222">
        <f t="shared" si="86"/>
        <v>0</v>
      </c>
      <c r="AE348" s="281">
        <f t="shared" si="87"/>
        <v>0</v>
      </c>
      <c r="AF348" s="222" t="str">
        <f t="shared" si="88"/>
        <v/>
      </c>
      <c r="AG348" s="222">
        <f t="shared" si="89"/>
        <v>60</v>
      </c>
      <c r="AH348" s="281" t="str">
        <f t="shared" si="90"/>
        <v>Sixty</v>
      </c>
      <c r="AK348" s="270">
        <v>20925</v>
      </c>
      <c r="AL348" s="270">
        <v>38570</v>
      </c>
      <c r="AN348" s="273" t="e">
        <f t="shared" si="46"/>
        <v>#REF!</v>
      </c>
      <c r="AO348" s="273" t="e">
        <f t="shared" si="53"/>
        <v>#REF!</v>
      </c>
      <c r="YS348" s="38" t="e">
        <f>RIGHT(CONCATENATE(0,#REF!),7)</f>
        <v>#REF!</v>
      </c>
    </row>
    <row r="349" spans="1:669" hidden="1">
      <c r="A349" s="35">
        <v>67</v>
      </c>
      <c r="B349" s="38">
        <v>2</v>
      </c>
      <c r="C349" s="37" t="s">
        <v>77</v>
      </c>
      <c r="D349" s="37">
        <v>15</v>
      </c>
      <c r="E349" s="37" t="s">
        <v>223</v>
      </c>
      <c r="F349" s="88" t="s">
        <v>1315</v>
      </c>
      <c r="J349" s="38">
        <f t="shared" si="51"/>
        <v>863</v>
      </c>
      <c r="K349" s="38" t="str">
        <f>IF(J349&gt;$J$283,"",VLOOKUP(J349,$A$283:$E$1404,5))</f>
        <v/>
      </c>
      <c r="L349" s="38">
        <f t="shared" si="52"/>
        <v>863</v>
      </c>
      <c r="M349" s="38" t="str">
        <f>IF(L349&gt;$L$283,"",VLOOKUP(L349,$A$283:$E$1404,5))</f>
        <v/>
      </c>
      <c r="P349" s="38">
        <v>67</v>
      </c>
      <c r="Q349" s="222" t="s">
        <v>224</v>
      </c>
      <c r="S349" s="222">
        <v>123450061</v>
      </c>
      <c r="T349" s="222" t="str">
        <f t="shared" si="76"/>
        <v>Twelve  Crores  Thirty Four  Lakhs  Fifty Thousand and Sixty One</v>
      </c>
      <c r="U349" s="222">
        <f t="shared" si="77"/>
        <v>120000000</v>
      </c>
      <c r="V349" s="222">
        <f t="shared" si="78"/>
        <v>12</v>
      </c>
      <c r="W349" s="222" t="str">
        <f t="shared" si="79"/>
        <v xml:space="preserve">Twelve  Crores  </v>
      </c>
      <c r="X349" s="222">
        <f t="shared" si="80"/>
        <v>3400000</v>
      </c>
      <c r="Y349" s="715">
        <f t="shared" si="81"/>
        <v>34</v>
      </c>
      <c r="Z349" s="222" t="str">
        <f t="shared" si="82"/>
        <v xml:space="preserve">Thirty Four  Lakhs  </v>
      </c>
      <c r="AA349" s="222">
        <f t="shared" si="83"/>
        <v>50000</v>
      </c>
      <c r="AB349" s="715">
        <f t="shared" si="84"/>
        <v>50</v>
      </c>
      <c r="AC349" s="222" t="str">
        <f t="shared" si="85"/>
        <v xml:space="preserve">Fifty Thousand </v>
      </c>
      <c r="AD349" s="222">
        <f t="shared" si="86"/>
        <v>0</v>
      </c>
      <c r="AE349" s="281">
        <f t="shared" si="87"/>
        <v>0</v>
      </c>
      <c r="AF349" s="222" t="str">
        <f t="shared" si="88"/>
        <v/>
      </c>
      <c r="AG349" s="222">
        <f t="shared" si="89"/>
        <v>61</v>
      </c>
      <c r="AH349" s="281" t="str">
        <f t="shared" si="90"/>
        <v>Sixty One</v>
      </c>
      <c r="AK349" s="270">
        <v>21550</v>
      </c>
      <c r="AL349" s="270">
        <v>39540</v>
      </c>
      <c r="AN349" s="273" t="e">
        <f t="shared" ref="AN349:AN368" si="91">IF(AN348&gt;=SUM(30765,5*765),"",IF(AN348&gt;=30000,AN348+765,IF(AN348&gt;=27000,AN348+750,IF(AN348&gt;=22800,AN348+700,IF(AN348&gt;=19675,AN348+625,IF(AN348&gt;=16925,AN348+550,IF(AN348&gt;=15025,AN348+475,IF(AN348&gt;=13750,AN348+425,IF(AN348&gt;=13030,AN348+360,IF(AN348&gt;=12700,AN348+330,IF(AN348&gt;=11125,AN348+315,IF(AN348&gt;=10285,AN348+280,IF(AN348&gt;=9520,AN348+255,IF(AN348&gt;=8815,AN348+235,IF(AN348&gt;=8170,AN348+215,IF(AN348&gt;=7570,AN348+200,IF(AN348&gt;=7015,AN348+185,IF(AN348&gt;=6505,AN348+170,IF(AN348&gt;=6040,AN348+155,IF(AN348&gt;=5605,AN348+145,IF(AN348&gt;=5200,AN348+135,IF(AN348&gt;=4825,AN348+125,IF(AN348&gt;=4480,AN348+115,IF(AN348&gt;=4150,AN348+110,IF(AN348&gt;=3850,AN348+100,0)))))))))))))))))))))))))</f>
        <v>#REF!</v>
      </c>
      <c r="AO349" s="273" t="e">
        <f t="shared" si="53"/>
        <v>#REF!</v>
      </c>
      <c r="YS349" s="38" t="e">
        <f>RIGHT(CONCATENATE(0,#REF!),7)</f>
        <v>#REF!</v>
      </c>
    </row>
    <row r="350" spans="1:669" hidden="1">
      <c r="A350" s="35">
        <v>68</v>
      </c>
      <c r="B350" s="38">
        <v>2</v>
      </c>
      <c r="C350" s="37" t="s">
        <v>77</v>
      </c>
      <c r="D350" s="37">
        <v>16</v>
      </c>
      <c r="E350" s="37" t="s">
        <v>225</v>
      </c>
      <c r="F350" s="88" t="s">
        <v>1316</v>
      </c>
      <c r="J350" s="38">
        <f>IF(J349=$J$283+1,$J$283+1,J349+1)</f>
        <v>863</v>
      </c>
      <c r="K350" s="38" t="str">
        <f>IF(J350&gt;$J$283,"",VLOOKUP(J350,$A$283:$E$1404,5))</f>
        <v/>
      </c>
      <c r="L350" s="38">
        <f>IF(L349=$L$283+1,$L$283+1,L349+1)</f>
        <v>863</v>
      </c>
      <c r="M350" s="38" t="str">
        <f>IF(L350&gt;$L$283,"",VLOOKUP(L350,$A$283:$E$1404,5))</f>
        <v/>
      </c>
      <c r="P350" s="38">
        <v>68</v>
      </c>
      <c r="Q350" s="222" t="s">
        <v>226</v>
      </c>
      <c r="S350" s="222">
        <v>123450062</v>
      </c>
      <c r="T350" s="222" t="str">
        <f t="shared" si="76"/>
        <v>Twelve  Crores  Thirty Four  Lakhs  Fifty Thousand and Sixty Two</v>
      </c>
      <c r="U350" s="222">
        <f t="shared" si="77"/>
        <v>120000000</v>
      </c>
      <c r="V350" s="222">
        <f t="shared" si="78"/>
        <v>12</v>
      </c>
      <c r="W350" s="222" t="str">
        <f t="shared" si="79"/>
        <v xml:space="preserve">Twelve  Crores  </v>
      </c>
      <c r="X350" s="222">
        <f t="shared" si="80"/>
        <v>3400000</v>
      </c>
      <c r="Y350" s="715">
        <f t="shared" si="81"/>
        <v>34</v>
      </c>
      <c r="Z350" s="222" t="str">
        <f t="shared" si="82"/>
        <v xml:space="preserve">Thirty Four  Lakhs  </v>
      </c>
      <c r="AA350" s="222">
        <f t="shared" si="83"/>
        <v>50000</v>
      </c>
      <c r="AB350" s="715">
        <f t="shared" si="84"/>
        <v>50</v>
      </c>
      <c r="AC350" s="222" t="str">
        <f t="shared" si="85"/>
        <v xml:space="preserve">Fifty Thousand </v>
      </c>
      <c r="AD350" s="222">
        <f t="shared" si="86"/>
        <v>0</v>
      </c>
      <c r="AE350" s="281">
        <f t="shared" si="87"/>
        <v>0</v>
      </c>
      <c r="AF350" s="222" t="str">
        <f t="shared" si="88"/>
        <v/>
      </c>
      <c r="AG350" s="222">
        <f t="shared" si="89"/>
        <v>62</v>
      </c>
      <c r="AH350" s="281" t="str">
        <f t="shared" si="90"/>
        <v>Sixty Two</v>
      </c>
      <c r="AK350" s="270">
        <v>22175</v>
      </c>
      <c r="AL350" s="270">
        <v>40510</v>
      </c>
      <c r="AN350" s="273" t="e">
        <f t="shared" si="91"/>
        <v>#REF!</v>
      </c>
      <c r="AO350" s="273" t="e">
        <f t="shared" ref="AO350:AO368" si="92">IF(AO349&gt;=SUM(55660,5*1300),"",IF(AO349&gt;=51760,AO349+1300,IF(AO349&gt;=46960,AO349+1200,IF(AO349&gt;=43630,AO349+1110,IF(AO349&gt;=40510,AO349+1040,IF(AO349&gt;=37600,AO349+970,IF(AO349&gt;=34900,AO349+900,IF(AO349&gt;=32350,AO349+850,IF(AO349&gt;=29950,AO349+800,IF(AO349&gt;=27700,AO349+750,IF(AO349&gt;=25600,AO349+700,IF(AO349&gt;=23650,AO349+650,IF(AO349&gt;=21820,AO349+610,IF(AO349&gt;=20110,AO349+570,IF(AO349&gt;=18520,AO349+530,IF(AO349&gt;=17050,AO349+490,IF(AO349&gt;=15700,AO349+450,IF(AO349&gt;=14440,AO349+420,IF(AO349&gt;=13270,AO349+390,IF(AO349&gt;=12190,AO349+360,IF(AO349&gt;=11200,AO349+330,IF(AO349&gt;=10300,AO349+300,IF(AO349&gt;=9460,AO349+280,IF(AO349&gt;=8680,AO349+260,IF(AO349&gt;=7960,AO349+240,IF(AO349&gt;=7300,AO349+220,IF(AO349&gt;=6700,AO349+200,0)))))))))))))))))))))))))))</f>
        <v>#REF!</v>
      </c>
      <c r="YS350" s="38" t="e">
        <f>RIGHT(CONCATENATE(0,#REF!),7)</f>
        <v>#REF!</v>
      </c>
    </row>
    <row r="351" spans="1:669" hidden="1">
      <c r="A351" s="35">
        <v>69</v>
      </c>
      <c r="B351" s="38">
        <v>2</v>
      </c>
      <c r="C351" s="37" t="s">
        <v>77</v>
      </c>
      <c r="D351" s="37">
        <v>17</v>
      </c>
      <c r="E351" s="37" t="s">
        <v>227</v>
      </c>
      <c r="F351" s="88" t="s">
        <v>1317</v>
      </c>
      <c r="P351" s="38">
        <v>69</v>
      </c>
      <c r="Q351" s="222" t="s">
        <v>228</v>
      </c>
      <c r="S351" s="222">
        <v>123450063</v>
      </c>
      <c r="T351" s="222" t="str">
        <f t="shared" si="76"/>
        <v>Twelve  Crores  Thirty Four  Lakhs  Fifty Thousand and Sixty Three</v>
      </c>
      <c r="U351" s="222">
        <f t="shared" si="77"/>
        <v>120000000</v>
      </c>
      <c r="V351" s="222">
        <f t="shared" si="78"/>
        <v>12</v>
      </c>
      <c r="W351" s="222" t="str">
        <f t="shared" si="79"/>
        <v xml:space="preserve">Twelve  Crores  </v>
      </c>
      <c r="X351" s="222">
        <f t="shared" si="80"/>
        <v>3400000</v>
      </c>
      <c r="Y351" s="715">
        <f t="shared" si="81"/>
        <v>34</v>
      </c>
      <c r="Z351" s="222" t="str">
        <f t="shared" si="82"/>
        <v xml:space="preserve">Thirty Four  Lakhs  </v>
      </c>
      <c r="AA351" s="222">
        <f t="shared" si="83"/>
        <v>50000</v>
      </c>
      <c r="AB351" s="715">
        <f t="shared" si="84"/>
        <v>50</v>
      </c>
      <c r="AC351" s="222" t="str">
        <f t="shared" si="85"/>
        <v xml:space="preserve">Fifty Thousand </v>
      </c>
      <c r="AD351" s="222">
        <f t="shared" si="86"/>
        <v>0</v>
      </c>
      <c r="AE351" s="281">
        <f t="shared" si="87"/>
        <v>0</v>
      </c>
      <c r="AF351" s="222" t="str">
        <f t="shared" si="88"/>
        <v/>
      </c>
      <c r="AG351" s="222">
        <f t="shared" si="89"/>
        <v>63</v>
      </c>
      <c r="AH351" s="281" t="str">
        <f t="shared" si="90"/>
        <v>Sixty Three</v>
      </c>
      <c r="AK351" s="270">
        <v>22800</v>
      </c>
      <c r="AL351" s="270">
        <v>41550</v>
      </c>
      <c r="AN351" s="273" t="e">
        <f t="shared" si="91"/>
        <v>#REF!</v>
      </c>
      <c r="AO351" s="273" t="e">
        <f t="shared" si="92"/>
        <v>#REF!</v>
      </c>
      <c r="YS351" s="38" t="e">
        <f>RIGHT(CONCATENATE(0,#REF!),7)</f>
        <v>#REF!</v>
      </c>
    </row>
    <row r="352" spans="1:669" hidden="1">
      <c r="A352" s="35">
        <v>70</v>
      </c>
      <c r="B352" s="38">
        <v>2</v>
      </c>
      <c r="C352" s="37" t="s">
        <v>77</v>
      </c>
      <c r="D352" s="37">
        <v>18</v>
      </c>
      <c r="E352" s="37" t="s">
        <v>229</v>
      </c>
      <c r="F352" s="87" t="s">
        <v>1318</v>
      </c>
      <c r="P352" s="38">
        <v>70</v>
      </c>
      <c r="Q352" s="222" t="s">
        <v>230</v>
      </c>
      <c r="S352" s="222">
        <v>123450064</v>
      </c>
      <c r="T352" s="222" t="str">
        <f t="shared" si="76"/>
        <v>Twelve  Crores  Thirty Four  Lakhs  Fifty Thousand and Sixty Four</v>
      </c>
      <c r="U352" s="222">
        <f t="shared" si="77"/>
        <v>120000000</v>
      </c>
      <c r="V352" s="222">
        <f t="shared" si="78"/>
        <v>12</v>
      </c>
      <c r="W352" s="222" t="str">
        <f t="shared" si="79"/>
        <v xml:space="preserve">Twelve  Crores  </v>
      </c>
      <c r="X352" s="222">
        <f t="shared" si="80"/>
        <v>3400000</v>
      </c>
      <c r="Y352" s="715">
        <f t="shared" si="81"/>
        <v>34</v>
      </c>
      <c r="Z352" s="222" t="str">
        <f t="shared" si="82"/>
        <v xml:space="preserve">Thirty Four  Lakhs  </v>
      </c>
      <c r="AA352" s="222">
        <f t="shared" si="83"/>
        <v>50000</v>
      </c>
      <c r="AB352" s="715">
        <f t="shared" si="84"/>
        <v>50</v>
      </c>
      <c r="AC352" s="222" t="str">
        <f t="shared" si="85"/>
        <v xml:space="preserve">Fifty Thousand </v>
      </c>
      <c r="AD352" s="222">
        <f t="shared" si="86"/>
        <v>0</v>
      </c>
      <c r="AE352" s="281">
        <f t="shared" si="87"/>
        <v>0</v>
      </c>
      <c r="AF352" s="222" t="str">
        <f t="shared" si="88"/>
        <v/>
      </c>
      <c r="AG352" s="222">
        <f t="shared" si="89"/>
        <v>64</v>
      </c>
      <c r="AH352" s="281" t="str">
        <f t="shared" si="90"/>
        <v>Sixty Four</v>
      </c>
      <c r="AK352" s="270">
        <v>23500</v>
      </c>
      <c r="AL352" s="270">
        <v>42590</v>
      </c>
      <c r="AN352" s="273" t="e">
        <f t="shared" si="91"/>
        <v>#REF!</v>
      </c>
      <c r="AO352" s="273" t="e">
        <f t="shared" si="92"/>
        <v>#REF!</v>
      </c>
      <c r="YS352" s="38" t="e">
        <f>RIGHT(CONCATENATE(0,#REF!),7)</f>
        <v>#REF!</v>
      </c>
    </row>
    <row r="353" spans="1:669" hidden="1">
      <c r="A353" s="35">
        <v>71</v>
      </c>
      <c r="B353" s="38">
        <v>2</v>
      </c>
      <c r="C353" s="37" t="s">
        <v>77</v>
      </c>
      <c r="D353" s="37">
        <v>19</v>
      </c>
      <c r="E353" s="37" t="s">
        <v>231</v>
      </c>
      <c r="F353" s="87" t="s">
        <v>1319</v>
      </c>
      <c r="P353" s="38">
        <v>71</v>
      </c>
      <c r="Q353" s="222" t="s">
        <v>232</v>
      </c>
      <c r="S353" s="222">
        <v>123450065</v>
      </c>
      <c r="T353" s="222" t="str">
        <f t="shared" si="76"/>
        <v>Twelve  Crores  Thirty Four  Lakhs  Fifty Thousand and Sixty Five</v>
      </c>
      <c r="U353" s="222">
        <f t="shared" si="77"/>
        <v>120000000</v>
      </c>
      <c r="V353" s="222">
        <f t="shared" si="78"/>
        <v>12</v>
      </c>
      <c r="W353" s="222" t="str">
        <f t="shared" si="79"/>
        <v xml:space="preserve">Twelve  Crores  </v>
      </c>
      <c r="X353" s="222">
        <f t="shared" si="80"/>
        <v>3400000</v>
      </c>
      <c r="Y353" s="715">
        <f t="shared" si="81"/>
        <v>34</v>
      </c>
      <c r="Z353" s="222" t="str">
        <f t="shared" si="82"/>
        <v xml:space="preserve">Thirty Four  Lakhs  </v>
      </c>
      <c r="AA353" s="222">
        <f t="shared" si="83"/>
        <v>50000</v>
      </c>
      <c r="AB353" s="715">
        <f t="shared" si="84"/>
        <v>50</v>
      </c>
      <c r="AC353" s="222" t="str">
        <f t="shared" si="85"/>
        <v xml:space="preserve">Fifty Thousand </v>
      </c>
      <c r="AD353" s="222">
        <f t="shared" si="86"/>
        <v>0</v>
      </c>
      <c r="AE353" s="281">
        <f t="shared" si="87"/>
        <v>0</v>
      </c>
      <c r="AF353" s="222" t="str">
        <f t="shared" si="88"/>
        <v/>
      </c>
      <c r="AG353" s="222">
        <f t="shared" si="89"/>
        <v>65</v>
      </c>
      <c r="AH353" s="281" t="str">
        <f t="shared" si="90"/>
        <v>Sixty Five</v>
      </c>
      <c r="AK353" s="270">
        <v>24200</v>
      </c>
      <c r="AL353" s="270">
        <v>43630</v>
      </c>
      <c r="AN353" s="273" t="e">
        <f t="shared" si="91"/>
        <v>#REF!</v>
      </c>
      <c r="AO353" s="273" t="e">
        <f t="shared" si="92"/>
        <v>#REF!</v>
      </c>
      <c r="YS353" s="38" t="e">
        <f>RIGHT(CONCATENATE(0,#REF!),7)</f>
        <v>#REF!</v>
      </c>
    </row>
    <row r="354" spans="1:669" hidden="1">
      <c r="A354" s="35">
        <v>72</v>
      </c>
      <c r="B354" s="38">
        <v>2</v>
      </c>
      <c r="C354" s="37" t="s">
        <v>77</v>
      </c>
      <c r="D354" s="37">
        <v>20</v>
      </c>
      <c r="E354" s="37" t="s">
        <v>233</v>
      </c>
      <c r="F354" s="87" t="s">
        <v>1320</v>
      </c>
      <c r="P354" s="38">
        <v>72</v>
      </c>
      <c r="Q354" s="222" t="s">
        <v>234</v>
      </c>
      <c r="S354" s="222">
        <v>123450066</v>
      </c>
      <c r="T354" s="222" t="str">
        <f t="shared" si="76"/>
        <v>Twelve  Crores  Thirty Four  Lakhs  Fifty Thousand and Sixty Six</v>
      </c>
      <c r="U354" s="222">
        <f t="shared" si="77"/>
        <v>120000000</v>
      </c>
      <c r="V354" s="222">
        <f t="shared" si="78"/>
        <v>12</v>
      </c>
      <c r="W354" s="222" t="str">
        <f t="shared" si="79"/>
        <v xml:space="preserve">Twelve  Crores  </v>
      </c>
      <c r="X354" s="222">
        <f t="shared" si="80"/>
        <v>3400000</v>
      </c>
      <c r="Y354" s="715">
        <f t="shared" si="81"/>
        <v>34</v>
      </c>
      <c r="Z354" s="222" t="str">
        <f t="shared" si="82"/>
        <v xml:space="preserve">Thirty Four  Lakhs  </v>
      </c>
      <c r="AA354" s="222">
        <f t="shared" si="83"/>
        <v>50000</v>
      </c>
      <c r="AB354" s="715">
        <f t="shared" si="84"/>
        <v>50</v>
      </c>
      <c r="AC354" s="222" t="str">
        <f t="shared" si="85"/>
        <v xml:space="preserve">Fifty Thousand </v>
      </c>
      <c r="AD354" s="222">
        <f t="shared" si="86"/>
        <v>0</v>
      </c>
      <c r="AE354" s="281">
        <f t="shared" si="87"/>
        <v>0</v>
      </c>
      <c r="AF354" s="222" t="str">
        <f t="shared" si="88"/>
        <v/>
      </c>
      <c r="AG354" s="222">
        <f t="shared" si="89"/>
        <v>66</v>
      </c>
      <c r="AH354" s="281" t="str">
        <f t="shared" si="90"/>
        <v>Sixty Six</v>
      </c>
      <c r="AK354" s="270">
        <v>24900</v>
      </c>
      <c r="AL354" s="270">
        <v>44740</v>
      </c>
      <c r="AN354" s="273" t="e">
        <f t="shared" si="91"/>
        <v>#REF!</v>
      </c>
      <c r="AO354" s="273" t="e">
        <f t="shared" si="92"/>
        <v>#REF!</v>
      </c>
      <c r="YS354" s="38" t="e">
        <f>RIGHT(CONCATENATE(0,#REF!),7)</f>
        <v>#REF!</v>
      </c>
    </row>
    <row r="355" spans="1:669" hidden="1">
      <c r="A355" s="35">
        <v>73</v>
      </c>
      <c r="B355" s="38">
        <v>2</v>
      </c>
      <c r="C355" s="37" t="s">
        <v>77</v>
      </c>
      <c r="D355" s="37">
        <v>21</v>
      </c>
      <c r="E355" s="37" t="s">
        <v>235</v>
      </c>
      <c r="F355" s="87" t="s">
        <v>1321</v>
      </c>
      <c r="P355" s="38">
        <v>73</v>
      </c>
      <c r="Q355" s="222" t="s">
        <v>236</v>
      </c>
      <c r="S355" s="222">
        <v>123450067</v>
      </c>
      <c r="T355" s="222" t="str">
        <f t="shared" si="76"/>
        <v>Twelve  Crores  Thirty Four  Lakhs  Fifty Thousand and Sixty Seven</v>
      </c>
      <c r="U355" s="222">
        <f t="shared" si="77"/>
        <v>120000000</v>
      </c>
      <c r="V355" s="222">
        <f t="shared" si="78"/>
        <v>12</v>
      </c>
      <c r="W355" s="222" t="str">
        <f t="shared" si="79"/>
        <v xml:space="preserve">Twelve  Crores  </v>
      </c>
      <c r="X355" s="222">
        <f t="shared" si="80"/>
        <v>3400000</v>
      </c>
      <c r="Y355" s="715">
        <f t="shared" si="81"/>
        <v>34</v>
      </c>
      <c r="Z355" s="222" t="str">
        <f t="shared" si="82"/>
        <v xml:space="preserve">Thirty Four  Lakhs  </v>
      </c>
      <c r="AA355" s="222">
        <f t="shared" si="83"/>
        <v>50000</v>
      </c>
      <c r="AB355" s="715">
        <f t="shared" si="84"/>
        <v>50</v>
      </c>
      <c r="AC355" s="222" t="str">
        <f t="shared" si="85"/>
        <v xml:space="preserve">Fifty Thousand </v>
      </c>
      <c r="AD355" s="222">
        <f t="shared" si="86"/>
        <v>0</v>
      </c>
      <c r="AE355" s="281">
        <f t="shared" si="87"/>
        <v>0</v>
      </c>
      <c r="AF355" s="222" t="str">
        <f t="shared" si="88"/>
        <v/>
      </c>
      <c r="AG355" s="222">
        <f t="shared" si="89"/>
        <v>67</v>
      </c>
      <c r="AH355" s="281" t="str">
        <f t="shared" si="90"/>
        <v>Sixty Seven</v>
      </c>
      <c r="AK355" s="270">
        <v>25600</v>
      </c>
      <c r="AL355" s="270">
        <v>45850</v>
      </c>
      <c r="AN355" s="273" t="e">
        <f t="shared" si="91"/>
        <v>#REF!</v>
      </c>
      <c r="AO355" s="273" t="e">
        <f t="shared" si="92"/>
        <v>#REF!</v>
      </c>
      <c r="YS355" s="38" t="e">
        <f>RIGHT(CONCATENATE(0,#REF!),7)</f>
        <v>#REF!</v>
      </c>
    </row>
    <row r="356" spans="1:669" hidden="1">
      <c r="A356" s="35">
        <v>74</v>
      </c>
      <c r="B356" s="38">
        <v>2</v>
      </c>
      <c r="C356" s="37" t="s">
        <v>77</v>
      </c>
      <c r="D356" s="37">
        <v>22</v>
      </c>
      <c r="E356" s="37" t="s">
        <v>237</v>
      </c>
      <c r="F356" s="87" t="s">
        <v>1322</v>
      </c>
      <c r="P356" s="38">
        <v>74</v>
      </c>
      <c r="Q356" s="222" t="s">
        <v>238</v>
      </c>
      <c r="S356" s="222">
        <v>123450068</v>
      </c>
      <c r="T356" s="222" t="str">
        <f t="shared" si="76"/>
        <v>Twelve  Crores  Thirty Four  Lakhs  Fifty Thousand and Sixty Eight</v>
      </c>
      <c r="U356" s="222">
        <f t="shared" si="77"/>
        <v>120000000</v>
      </c>
      <c r="V356" s="222">
        <f t="shared" si="78"/>
        <v>12</v>
      </c>
      <c r="W356" s="222" t="str">
        <f t="shared" si="79"/>
        <v xml:space="preserve">Twelve  Crores  </v>
      </c>
      <c r="X356" s="222">
        <f t="shared" si="80"/>
        <v>3400000</v>
      </c>
      <c r="Y356" s="715">
        <f t="shared" si="81"/>
        <v>34</v>
      </c>
      <c r="Z356" s="222" t="str">
        <f t="shared" si="82"/>
        <v xml:space="preserve">Thirty Four  Lakhs  </v>
      </c>
      <c r="AA356" s="222">
        <f t="shared" si="83"/>
        <v>50000</v>
      </c>
      <c r="AB356" s="715">
        <f t="shared" si="84"/>
        <v>50</v>
      </c>
      <c r="AC356" s="222" t="str">
        <f t="shared" si="85"/>
        <v xml:space="preserve">Fifty Thousand </v>
      </c>
      <c r="AD356" s="222">
        <f t="shared" si="86"/>
        <v>0</v>
      </c>
      <c r="AE356" s="281">
        <f t="shared" si="87"/>
        <v>0</v>
      </c>
      <c r="AF356" s="222" t="str">
        <f t="shared" si="88"/>
        <v/>
      </c>
      <c r="AG356" s="222">
        <f t="shared" si="89"/>
        <v>68</v>
      </c>
      <c r="AH356" s="281" t="str">
        <f t="shared" si="90"/>
        <v>Sixty Eight</v>
      </c>
      <c r="AK356" s="270">
        <v>26300</v>
      </c>
      <c r="AL356" s="270">
        <v>46960</v>
      </c>
      <c r="AN356" s="273" t="e">
        <f t="shared" si="91"/>
        <v>#REF!</v>
      </c>
      <c r="AO356" s="273" t="e">
        <f t="shared" si="92"/>
        <v>#REF!</v>
      </c>
      <c r="YS356" s="38" t="e">
        <f>RIGHT(CONCATENATE(0,#REF!),7)</f>
        <v>#REF!</v>
      </c>
    </row>
    <row r="357" spans="1:669" hidden="1">
      <c r="A357" s="35">
        <v>75</v>
      </c>
      <c r="B357" s="38">
        <v>2</v>
      </c>
      <c r="C357" s="37" t="s">
        <v>77</v>
      </c>
      <c r="D357" s="37">
        <v>23</v>
      </c>
      <c r="E357" s="37" t="s">
        <v>239</v>
      </c>
      <c r="F357" s="87" t="s">
        <v>1323</v>
      </c>
      <c r="P357" s="38">
        <v>75</v>
      </c>
      <c r="Q357" s="222" t="s">
        <v>240</v>
      </c>
      <c r="S357" s="222">
        <v>123450069</v>
      </c>
      <c r="T357" s="222" t="str">
        <f t="shared" si="76"/>
        <v>Twelve  Crores  Thirty Four  Lakhs  Fifty Thousand and Sixty Nine</v>
      </c>
      <c r="U357" s="222">
        <f t="shared" si="77"/>
        <v>120000000</v>
      </c>
      <c r="V357" s="222">
        <f t="shared" si="78"/>
        <v>12</v>
      </c>
      <c r="W357" s="222" t="str">
        <f t="shared" si="79"/>
        <v xml:space="preserve">Twelve  Crores  </v>
      </c>
      <c r="X357" s="222">
        <f t="shared" si="80"/>
        <v>3400000</v>
      </c>
      <c r="Y357" s="715">
        <f t="shared" si="81"/>
        <v>34</v>
      </c>
      <c r="Z357" s="222" t="str">
        <f t="shared" si="82"/>
        <v xml:space="preserve">Thirty Four  Lakhs  </v>
      </c>
      <c r="AA357" s="222">
        <f t="shared" si="83"/>
        <v>50000</v>
      </c>
      <c r="AB357" s="715">
        <f t="shared" si="84"/>
        <v>50</v>
      </c>
      <c r="AC357" s="222" t="str">
        <f t="shared" si="85"/>
        <v xml:space="preserve">Fifty Thousand </v>
      </c>
      <c r="AD357" s="222">
        <f t="shared" si="86"/>
        <v>0</v>
      </c>
      <c r="AE357" s="281">
        <f t="shared" si="87"/>
        <v>0</v>
      </c>
      <c r="AF357" s="222" t="str">
        <f t="shared" si="88"/>
        <v/>
      </c>
      <c r="AG357" s="222">
        <f t="shared" si="89"/>
        <v>69</v>
      </c>
      <c r="AH357" s="281" t="str">
        <f t="shared" si="90"/>
        <v>Sixty Nine</v>
      </c>
      <c r="AK357" s="270">
        <v>27000</v>
      </c>
      <c r="AL357" s="270">
        <v>48160</v>
      </c>
      <c r="AN357" s="273" t="e">
        <f t="shared" si="91"/>
        <v>#REF!</v>
      </c>
      <c r="AO357" s="273" t="e">
        <f t="shared" si="92"/>
        <v>#REF!</v>
      </c>
      <c r="YS357" s="38" t="e">
        <f>RIGHT(CONCATENATE(0,#REF!),7)</f>
        <v>#REF!</v>
      </c>
    </row>
    <row r="358" spans="1:669" hidden="1">
      <c r="A358" s="35">
        <v>76</v>
      </c>
      <c r="B358" s="38">
        <v>2</v>
      </c>
      <c r="C358" s="37" t="s">
        <v>77</v>
      </c>
      <c r="D358" s="37">
        <v>24</v>
      </c>
      <c r="E358" s="37" t="s">
        <v>241</v>
      </c>
      <c r="F358" s="87" t="s">
        <v>1324</v>
      </c>
      <c r="P358" s="38">
        <v>76</v>
      </c>
      <c r="Q358" s="222" t="s">
        <v>242</v>
      </c>
      <c r="S358" s="222">
        <v>123450070</v>
      </c>
      <c r="T358" s="222" t="str">
        <f t="shared" si="76"/>
        <v>Twelve  Crores  Thirty Four  Lakhs  Fifty Thousand and Seventy</v>
      </c>
      <c r="U358" s="222">
        <f t="shared" si="77"/>
        <v>120000000</v>
      </c>
      <c r="V358" s="222">
        <f t="shared" si="78"/>
        <v>12</v>
      </c>
      <c r="W358" s="222" t="str">
        <f t="shared" si="79"/>
        <v xml:space="preserve">Twelve  Crores  </v>
      </c>
      <c r="X358" s="222">
        <f t="shared" si="80"/>
        <v>3400000</v>
      </c>
      <c r="Y358" s="715">
        <f t="shared" si="81"/>
        <v>34</v>
      </c>
      <c r="Z358" s="222" t="str">
        <f t="shared" si="82"/>
        <v xml:space="preserve">Thirty Four  Lakhs  </v>
      </c>
      <c r="AA358" s="222">
        <f t="shared" si="83"/>
        <v>50000</v>
      </c>
      <c r="AB358" s="715">
        <f t="shared" si="84"/>
        <v>50</v>
      </c>
      <c r="AC358" s="222" t="str">
        <f t="shared" si="85"/>
        <v xml:space="preserve">Fifty Thousand </v>
      </c>
      <c r="AD358" s="222">
        <f t="shared" si="86"/>
        <v>0</v>
      </c>
      <c r="AE358" s="281">
        <f t="shared" si="87"/>
        <v>0</v>
      </c>
      <c r="AF358" s="222" t="str">
        <f t="shared" si="88"/>
        <v/>
      </c>
      <c r="AG358" s="222">
        <f t="shared" si="89"/>
        <v>70</v>
      </c>
      <c r="AH358" s="281" t="str">
        <f t="shared" si="90"/>
        <v>Seventy</v>
      </c>
      <c r="AK358" s="270">
        <v>27750</v>
      </c>
      <c r="AL358" s="270">
        <v>49360</v>
      </c>
      <c r="AN358" s="273" t="e">
        <f t="shared" si="91"/>
        <v>#REF!</v>
      </c>
      <c r="AO358" s="273" t="e">
        <f t="shared" si="92"/>
        <v>#REF!</v>
      </c>
      <c r="YS358" s="38" t="e">
        <f>RIGHT(CONCATENATE(0,#REF!),7)</f>
        <v>#REF!</v>
      </c>
    </row>
    <row r="359" spans="1:669" hidden="1">
      <c r="A359" s="35">
        <v>77</v>
      </c>
      <c r="B359" s="38">
        <v>2</v>
      </c>
      <c r="C359" s="37" t="s">
        <v>77</v>
      </c>
      <c r="D359" s="37">
        <v>25</v>
      </c>
      <c r="E359" s="37" t="s">
        <v>243</v>
      </c>
      <c r="F359" s="87" t="s">
        <v>1325</v>
      </c>
      <c r="P359" s="38">
        <v>77</v>
      </c>
      <c r="Q359" s="222" t="s">
        <v>244</v>
      </c>
      <c r="S359" s="222">
        <v>123450071</v>
      </c>
      <c r="T359" s="222" t="str">
        <f t="shared" si="76"/>
        <v>Twelve  Crores  Thirty Four  Lakhs  Fifty Thousand and Seventy One</v>
      </c>
      <c r="U359" s="222">
        <f t="shared" si="77"/>
        <v>120000000</v>
      </c>
      <c r="V359" s="222">
        <f t="shared" si="78"/>
        <v>12</v>
      </c>
      <c r="W359" s="222" t="str">
        <f t="shared" si="79"/>
        <v xml:space="preserve">Twelve  Crores  </v>
      </c>
      <c r="X359" s="222">
        <f t="shared" si="80"/>
        <v>3400000</v>
      </c>
      <c r="Y359" s="715">
        <f t="shared" si="81"/>
        <v>34</v>
      </c>
      <c r="Z359" s="222" t="str">
        <f t="shared" si="82"/>
        <v xml:space="preserve">Thirty Four  Lakhs  </v>
      </c>
      <c r="AA359" s="222">
        <f t="shared" si="83"/>
        <v>50000</v>
      </c>
      <c r="AB359" s="715">
        <f t="shared" si="84"/>
        <v>50</v>
      </c>
      <c r="AC359" s="222" t="str">
        <f t="shared" si="85"/>
        <v xml:space="preserve">Fifty Thousand </v>
      </c>
      <c r="AD359" s="222">
        <f t="shared" si="86"/>
        <v>0</v>
      </c>
      <c r="AE359" s="281">
        <f t="shared" si="87"/>
        <v>0</v>
      </c>
      <c r="AF359" s="222" t="str">
        <f t="shared" si="88"/>
        <v/>
      </c>
      <c r="AG359" s="222">
        <f t="shared" si="89"/>
        <v>71</v>
      </c>
      <c r="AH359" s="281" t="str">
        <f t="shared" si="90"/>
        <v>Seventy One</v>
      </c>
      <c r="AK359" s="270">
        <v>28500</v>
      </c>
      <c r="AL359" s="270">
        <v>50560</v>
      </c>
      <c r="AN359" s="273" t="e">
        <f t="shared" si="91"/>
        <v>#REF!</v>
      </c>
      <c r="AO359" s="273" t="e">
        <f t="shared" si="92"/>
        <v>#REF!</v>
      </c>
      <c r="YS359" s="38" t="e">
        <f>RIGHT(CONCATENATE(0,#REF!),7)</f>
        <v>#REF!</v>
      </c>
    </row>
    <row r="360" spans="1:669" hidden="1">
      <c r="A360" s="35">
        <v>78</v>
      </c>
      <c r="B360" s="38">
        <v>2</v>
      </c>
      <c r="C360" s="37" t="s">
        <v>77</v>
      </c>
      <c r="D360" s="37">
        <v>26</v>
      </c>
      <c r="E360" s="37" t="s">
        <v>245</v>
      </c>
      <c r="F360" s="87" t="s">
        <v>1326</v>
      </c>
      <c r="P360" s="38">
        <v>78</v>
      </c>
      <c r="Q360" s="222" t="s">
        <v>246</v>
      </c>
      <c r="S360" s="222">
        <v>123450072</v>
      </c>
      <c r="T360" s="222" t="str">
        <f t="shared" si="76"/>
        <v>Twelve  Crores  Thirty Four  Lakhs  Fifty Thousand and Seventy Two</v>
      </c>
      <c r="U360" s="222">
        <f t="shared" si="77"/>
        <v>120000000</v>
      </c>
      <c r="V360" s="222">
        <f t="shared" si="78"/>
        <v>12</v>
      </c>
      <c r="W360" s="222" t="str">
        <f t="shared" si="79"/>
        <v xml:space="preserve">Twelve  Crores  </v>
      </c>
      <c r="X360" s="222">
        <f t="shared" si="80"/>
        <v>3400000</v>
      </c>
      <c r="Y360" s="715">
        <f t="shared" si="81"/>
        <v>34</v>
      </c>
      <c r="Z360" s="222" t="str">
        <f t="shared" si="82"/>
        <v xml:space="preserve">Thirty Four  Lakhs  </v>
      </c>
      <c r="AA360" s="222">
        <f t="shared" si="83"/>
        <v>50000</v>
      </c>
      <c r="AB360" s="715">
        <f t="shared" si="84"/>
        <v>50</v>
      </c>
      <c r="AC360" s="222" t="str">
        <f t="shared" si="85"/>
        <v xml:space="preserve">Fifty Thousand </v>
      </c>
      <c r="AD360" s="222">
        <f t="shared" si="86"/>
        <v>0</v>
      </c>
      <c r="AE360" s="281">
        <f t="shared" si="87"/>
        <v>0</v>
      </c>
      <c r="AF360" s="222" t="str">
        <f t="shared" si="88"/>
        <v/>
      </c>
      <c r="AG360" s="222">
        <f t="shared" si="89"/>
        <v>72</v>
      </c>
      <c r="AH360" s="281" t="str">
        <f t="shared" si="90"/>
        <v>Seventy Two</v>
      </c>
      <c r="AK360" s="270">
        <v>29250</v>
      </c>
      <c r="AL360" s="270">
        <v>51760</v>
      </c>
      <c r="AN360" s="273" t="e">
        <f t="shared" si="91"/>
        <v>#REF!</v>
      </c>
      <c r="AO360" s="273" t="e">
        <f t="shared" si="92"/>
        <v>#REF!</v>
      </c>
      <c r="YS360" s="38" t="e">
        <f>RIGHT(CONCATENATE(0,#REF!),7)</f>
        <v>#REF!</v>
      </c>
    </row>
    <row r="361" spans="1:669" hidden="1">
      <c r="A361" s="35">
        <v>79</v>
      </c>
      <c r="B361" s="38">
        <v>2</v>
      </c>
      <c r="C361" s="37" t="s">
        <v>77</v>
      </c>
      <c r="D361" s="37">
        <v>27</v>
      </c>
      <c r="E361" s="37" t="s">
        <v>247</v>
      </c>
      <c r="F361" s="87" t="s">
        <v>1327</v>
      </c>
      <c r="P361" s="38">
        <v>79</v>
      </c>
      <c r="Q361" s="222" t="s">
        <v>248</v>
      </c>
      <c r="S361" s="222">
        <v>123450073</v>
      </c>
      <c r="T361" s="222" t="str">
        <f t="shared" si="76"/>
        <v>Twelve  Crores  Thirty Four  Lakhs  Fifty Thousand and Seventy Three</v>
      </c>
      <c r="U361" s="222">
        <f t="shared" si="77"/>
        <v>120000000</v>
      </c>
      <c r="V361" s="222">
        <f t="shared" si="78"/>
        <v>12</v>
      </c>
      <c r="W361" s="222" t="str">
        <f t="shared" si="79"/>
        <v xml:space="preserve">Twelve  Crores  </v>
      </c>
      <c r="X361" s="222">
        <f t="shared" si="80"/>
        <v>3400000</v>
      </c>
      <c r="Y361" s="715">
        <f t="shared" si="81"/>
        <v>34</v>
      </c>
      <c r="Z361" s="222" t="str">
        <f t="shared" si="82"/>
        <v xml:space="preserve">Thirty Four  Lakhs  </v>
      </c>
      <c r="AA361" s="222">
        <f t="shared" si="83"/>
        <v>50000</v>
      </c>
      <c r="AB361" s="715">
        <f t="shared" si="84"/>
        <v>50</v>
      </c>
      <c r="AC361" s="222" t="str">
        <f t="shared" si="85"/>
        <v xml:space="preserve">Fifty Thousand </v>
      </c>
      <c r="AD361" s="222">
        <f t="shared" si="86"/>
        <v>0</v>
      </c>
      <c r="AE361" s="281">
        <f t="shared" si="87"/>
        <v>0</v>
      </c>
      <c r="AF361" s="222" t="str">
        <f t="shared" si="88"/>
        <v/>
      </c>
      <c r="AG361" s="222">
        <f t="shared" si="89"/>
        <v>73</v>
      </c>
      <c r="AH361" s="281" t="str">
        <f t="shared" si="90"/>
        <v>Seventy Three</v>
      </c>
      <c r="AK361" s="270">
        <v>30000</v>
      </c>
      <c r="AL361" s="270">
        <v>53060</v>
      </c>
      <c r="AN361" s="273" t="e">
        <f t="shared" si="91"/>
        <v>#REF!</v>
      </c>
      <c r="AO361" s="273" t="e">
        <f t="shared" si="92"/>
        <v>#REF!</v>
      </c>
      <c r="YS361" s="38" t="e">
        <f>RIGHT(CONCATENATE(0,#REF!),7)</f>
        <v>#REF!</v>
      </c>
    </row>
    <row r="362" spans="1:669" ht="21.75" hidden="1">
      <c r="A362" s="35">
        <v>80</v>
      </c>
      <c r="B362" s="38">
        <v>2</v>
      </c>
      <c r="C362" s="37" t="s">
        <v>77</v>
      </c>
      <c r="D362" s="37">
        <v>28</v>
      </c>
      <c r="E362" s="37" t="s">
        <v>249</v>
      </c>
      <c r="F362" s="89" t="s">
        <v>1328</v>
      </c>
      <c r="P362" s="38">
        <v>80</v>
      </c>
      <c r="Q362" s="222" t="s">
        <v>250</v>
      </c>
      <c r="S362" s="222">
        <v>123450074</v>
      </c>
      <c r="T362" s="222" t="str">
        <f t="shared" si="76"/>
        <v>Twelve  Crores  Thirty Four  Lakhs  Fifty Thousand and Seventy Four</v>
      </c>
      <c r="U362" s="222">
        <f t="shared" si="77"/>
        <v>120000000</v>
      </c>
      <c r="V362" s="222">
        <f t="shared" si="78"/>
        <v>12</v>
      </c>
      <c r="W362" s="222" t="str">
        <f t="shared" si="79"/>
        <v xml:space="preserve">Twelve  Crores  </v>
      </c>
      <c r="X362" s="222">
        <f t="shared" si="80"/>
        <v>3400000</v>
      </c>
      <c r="Y362" s="715">
        <f t="shared" si="81"/>
        <v>34</v>
      </c>
      <c r="Z362" s="222" t="str">
        <f t="shared" si="82"/>
        <v xml:space="preserve">Thirty Four  Lakhs  </v>
      </c>
      <c r="AA362" s="222">
        <f t="shared" si="83"/>
        <v>50000</v>
      </c>
      <c r="AB362" s="715">
        <f t="shared" si="84"/>
        <v>50</v>
      </c>
      <c r="AC362" s="222" t="str">
        <f t="shared" si="85"/>
        <v xml:space="preserve">Fifty Thousand </v>
      </c>
      <c r="AD362" s="222">
        <f t="shared" si="86"/>
        <v>0</v>
      </c>
      <c r="AE362" s="281">
        <f t="shared" si="87"/>
        <v>0</v>
      </c>
      <c r="AF362" s="222" t="str">
        <f t="shared" si="88"/>
        <v/>
      </c>
      <c r="AG362" s="222">
        <f t="shared" si="89"/>
        <v>74</v>
      </c>
      <c r="AH362" s="281" t="str">
        <f t="shared" si="90"/>
        <v>Seventy Four</v>
      </c>
      <c r="AK362" s="270">
        <v>30765</v>
      </c>
      <c r="AL362" s="270">
        <v>54360</v>
      </c>
      <c r="AN362" s="273" t="e">
        <f t="shared" si="91"/>
        <v>#REF!</v>
      </c>
      <c r="AO362" s="273" t="e">
        <f t="shared" si="92"/>
        <v>#REF!</v>
      </c>
      <c r="YS362" s="38" t="e">
        <f>RIGHT(CONCATENATE(0,#REF!),7)</f>
        <v>#REF!</v>
      </c>
    </row>
    <row r="363" spans="1:669" ht="32.25" hidden="1">
      <c r="A363" s="35">
        <v>81</v>
      </c>
      <c r="B363" s="38">
        <v>2</v>
      </c>
      <c r="C363" s="37" t="s">
        <v>77</v>
      </c>
      <c r="D363" s="37">
        <v>29</v>
      </c>
      <c r="E363" s="37" t="s">
        <v>251</v>
      </c>
      <c r="F363" s="89" t="s">
        <v>1329</v>
      </c>
      <c r="P363" s="38">
        <v>81</v>
      </c>
      <c r="Q363" s="222" t="s">
        <v>252</v>
      </c>
      <c r="S363" s="222">
        <v>123450075</v>
      </c>
      <c r="T363" s="222" t="str">
        <f t="shared" si="76"/>
        <v>Twelve  Crores  Thirty Four  Lakhs  Fifty Thousand and Seventy Five</v>
      </c>
      <c r="U363" s="222">
        <f t="shared" si="77"/>
        <v>120000000</v>
      </c>
      <c r="V363" s="222">
        <f t="shared" si="78"/>
        <v>12</v>
      </c>
      <c r="W363" s="222" t="str">
        <f t="shared" si="79"/>
        <v xml:space="preserve">Twelve  Crores  </v>
      </c>
      <c r="X363" s="222">
        <f t="shared" si="80"/>
        <v>3400000</v>
      </c>
      <c r="Y363" s="715">
        <f t="shared" si="81"/>
        <v>34</v>
      </c>
      <c r="Z363" s="222" t="str">
        <f t="shared" si="82"/>
        <v xml:space="preserve">Thirty Four  Lakhs  </v>
      </c>
      <c r="AA363" s="222">
        <f t="shared" si="83"/>
        <v>50000</v>
      </c>
      <c r="AB363" s="715">
        <f t="shared" si="84"/>
        <v>50</v>
      </c>
      <c r="AC363" s="222" t="str">
        <f t="shared" si="85"/>
        <v xml:space="preserve">Fifty Thousand </v>
      </c>
      <c r="AD363" s="222">
        <f t="shared" si="86"/>
        <v>0</v>
      </c>
      <c r="AE363" s="281">
        <f t="shared" si="87"/>
        <v>0</v>
      </c>
      <c r="AF363" s="222" t="str">
        <f t="shared" si="88"/>
        <v/>
      </c>
      <c r="AG363" s="222">
        <f t="shared" si="89"/>
        <v>75</v>
      </c>
      <c r="AH363" s="281" t="str">
        <f t="shared" si="90"/>
        <v>Seventy Five</v>
      </c>
      <c r="AK363" s="270">
        <v>31530</v>
      </c>
      <c r="AL363" s="270">
        <v>55660</v>
      </c>
      <c r="AN363" s="273" t="e">
        <f t="shared" si="91"/>
        <v>#REF!</v>
      </c>
      <c r="AO363" s="273" t="e">
        <f t="shared" si="92"/>
        <v>#REF!</v>
      </c>
      <c r="YS363" s="38" t="e">
        <f>RIGHT(CONCATENATE(0,#REF!),7)</f>
        <v>#REF!</v>
      </c>
    </row>
    <row r="364" spans="1:669" hidden="1">
      <c r="A364" s="35">
        <v>82</v>
      </c>
      <c r="B364" s="38">
        <v>2</v>
      </c>
      <c r="C364" s="37" t="s">
        <v>77</v>
      </c>
      <c r="D364" s="37">
        <v>30</v>
      </c>
      <c r="E364" s="37" t="s">
        <v>253</v>
      </c>
      <c r="F364" s="87" t="s">
        <v>1330</v>
      </c>
      <c r="P364" s="38">
        <v>82</v>
      </c>
      <c r="Q364" s="222" t="s">
        <v>254</v>
      </c>
      <c r="S364" s="222">
        <v>123450076</v>
      </c>
      <c r="T364" s="222" t="str">
        <f t="shared" si="76"/>
        <v>Twelve  Crores  Thirty Four  Lakhs  Fifty Thousand and Seventy Six</v>
      </c>
      <c r="U364" s="222">
        <f t="shared" si="77"/>
        <v>120000000</v>
      </c>
      <c r="V364" s="222">
        <f t="shared" si="78"/>
        <v>12</v>
      </c>
      <c r="W364" s="222" t="str">
        <f t="shared" si="79"/>
        <v xml:space="preserve">Twelve  Crores  </v>
      </c>
      <c r="X364" s="222">
        <f t="shared" si="80"/>
        <v>3400000</v>
      </c>
      <c r="Y364" s="715">
        <f t="shared" si="81"/>
        <v>34</v>
      </c>
      <c r="Z364" s="222" t="str">
        <f t="shared" si="82"/>
        <v xml:space="preserve">Thirty Four  Lakhs  </v>
      </c>
      <c r="AA364" s="222">
        <f t="shared" si="83"/>
        <v>50000</v>
      </c>
      <c r="AB364" s="715">
        <f t="shared" si="84"/>
        <v>50</v>
      </c>
      <c r="AC364" s="222" t="str">
        <f t="shared" si="85"/>
        <v xml:space="preserve">Fifty Thousand </v>
      </c>
      <c r="AD364" s="222">
        <f t="shared" si="86"/>
        <v>0</v>
      </c>
      <c r="AE364" s="281">
        <f t="shared" si="87"/>
        <v>0</v>
      </c>
      <c r="AF364" s="222" t="str">
        <f t="shared" si="88"/>
        <v/>
      </c>
      <c r="AG364" s="222">
        <f t="shared" si="89"/>
        <v>76</v>
      </c>
      <c r="AH364" s="281" t="str">
        <f t="shared" si="90"/>
        <v>Seventy Six</v>
      </c>
      <c r="AK364" s="270">
        <v>32295</v>
      </c>
      <c r="AL364" s="270">
        <v>56960</v>
      </c>
      <c r="AN364" s="273" t="e">
        <f t="shared" si="91"/>
        <v>#REF!</v>
      </c>
      <c r="AO364" s="273" t="e">
        <f t="shared" si="92"/>
        <v>#REF!</v>
      </c>
      <c r="YS364" s="38" t="e">
        <f>RIGHT(CONCATENATE(0,#REF!),7)</f>
        <v>#REF!</v>
      </c>
    </row>
    <row r="365" spans="1:669" ht="21.75" hidden="1">
      <c r="A365" s="35">
        <v>83</v>
      </c>
      <c r="B365" s="38">
        <v>2</v>
      </c>
      <c r="C365" s="37" t="s">
        <v>77</v>
      </c>
      <c r="D365" s="37">
        <v>31</v>
      </c>
      <c r="E365" s="37" t="s">
        <v>255</v>
      </c>
      <c r="F365" s="89" t="s">
        <v>1331</v>
      </c>
      <c r="P365" s="38">
        <v>83</v>
      </c>
      <c r="Q365" s="222" t="s">
        <v>256</v>
      </c>
      <c r="S365" s="222">
        <v>123450077</v>
      </c>
      <c r="T365" s="222" t="str">
        <f t="shared" si="76"/>
        <v>Twelve  Crores  Thirty Four  Lakhs  Fifty Thousand and Seventy Seven</v>
      </c>
      <c r="U365" s="222">
        <f t="shared" si="77"/>
        <v>120000000</v>
      </c>
      <c r="V365" s="222">
        <f t="shared" si="78"/>
        <v>12</v>
      </c>
      <c r="W365" s="222" t="str">
        <f t="shared" si="79"/>
        <v xml:space="preserve">Twelve  Crores  </v>
      </c>
      <c r="X365" s="222">
        <f t="shared" si="80"/>
        <v>3400000</v>
      </c>
      <c r="Y365" s="715">
        <f t="shared" si="81"/>
        <v>34</v>
      </c>
      <c r="Z365" s="222" t="str">
        <f t="shared" si="82"/>
        <v xml:space="preserve">Thirty Four  Lakhs  </v>
      </c>
      <c r="AA365" s="222">
        <f t="shared" si="83"/>
        <v>50000</v>
      </c>
      <c r="AB365" s="715">
        <f t="shared" si="84"/>
        <v>50</v>
      </c>
      <c r="AC365" s="222" t="str">
        <f t="shared" si="85"/>
        <v xml:space="preserve">Fifty Thousand </v>
      </c>
      <c r="AD365" s="222">
        <f t="shared" si="86"/>
        <v>0</v>
      </c>
      <c r="AE365" s="281">
        <f t="shared" si="87"/>
        <v>0</v>
      </c>
      <c r="AF365" s="222" t="str">
        <f t="shared" si="88"/>
        <v/>
      </c>
      <c r="AG365" s="222">
        <f t="shared" si="89"/>
        <v>77</v>
      </c>
      <c r="AH365" s="281" t="str">
        <f t="shared" si="90"/>
        <v>Seventy Seven</v>
      </c>
      <c r="AK365" s="270">
        <v>33060</v>
      </c>
      <c r="AL365" s="270">
        <v>58260</v>
      </c>
      <c r="AN365" s="273" t="e">
        <f t="shared" si="91"/>
        <v>#REF!</v>
      </c>
      <c r="AO365" s="273" t="e">
        <f t="shared" si="92"/>
        <v>#REF!</v>
      </c>
      <c r="YS365" s="38" t="e">
        <f>RIGHT(CONCATENATE(0,#REF!),7)</f>
        <v>#REF!</v>
      </c>
    </row>
    <row r="366" spans="1:669" ht="32.25" hidden="1">
      <c r="A366" s="35">
        <v>84</v>
      </c>
      <c r="B366" s="38">
        <v>2</v>
      </c>
      <c r="C366" s="37" t="s">
        <v>77</v>
      </c>
      <c r="D366" s="37">
        <v>32</v>
      </c>
      <c r="E366" s="37" t="s">
        <v>257</v>
      </c>
      <c r="F366" s="89" t="s">
        <v>1332</v>
      </c>
      <c r="P366" s="38">
        <v>84</v>
      </c>
      <c r="Q366" s="222" t="s">
        <v>258</v>
      </c>
      <c r="S366" s="222">
        <v>123450078</v>
      </c>
      <c r="T366" s="222" t="str">
        <f t="shared" si="76"/>
        <v>Twelve  Crores  Thirty Four  Lakhs  Fifty Thousand and Seventy Eight</v>
      </c>
      <c r="U366" s="222">
        <f t="shared" si="77"/>
        <v>120000000</v>
      </c>
      <c r="V366" s="222">
        <f t="shared" si="78"/>
        <v>12</v>
      </c>
      <c r="W366" s="222" t="str">
        <f t="shared" si="79"/>
        <v xml:space="preserve">Twelve  Crores  </v>
      </c>
      <c r="X366" s="222">
        <f t="shared" si="80"/>
        <v>3400000</v>
      </c>
      <c r="Y366" s="715">
        <f t="shared" si="81"/>
        <v>34</v>
      </c>
      <c r="Z366" s="222" t="str">
        <f t="shared" si="82"/>
        <v xml:space="preserve">Thirty Four  Lakhs  </v>
      </c>
      <c r="AA366" s="222">
        <f t="shared" si="83"/>
        <v>50000</v>
      </c>
      <c r="AB366" s="715">
        <f t="shared" si="84"/>
        <v>50</v>
      </c>
      <c r="AC366" s="222" t="str">
        <f t="shared" si="85"/>
        <v xml:space="preserve">Fifty Thousand </v>
      </c>
      <c r="AD366" s="222">
        <f t="shared" si="86"/>
        <v>0</v>
      </c>
      <c r="AE366" s="281">
        <f t="shared" si="87"/>
        <v>0</v>
      </c>
      <c r="AF366" s="222" t="str">
        <f t="shared" si="88"/>
        <v/>
      </c>
      <c r="AG366" s="222">
        <f t="shared" si="89"/>
        <v>78</v>
      </c>
      <c r="AH366" s="281" t="str">
        <f t="shared" si="90"/>
        <v>Seventy Eight</v>
      </c>
      <c r="AK366" s="270">
        <v>33825</v>
      </c>
      <c r="AL366" s="270">
        <v>59560</v>
      </c>
      <c r="AN366" s="273" t="e">
        <f t="shared" si="91"/>
        <v>#REF!</v>
      </c>
      <c r="AO366" s="273" t="e">
        <f t="shared" si="92"/>
        <v>#REF!</v>
      </c>
      <c r="YS366" s="38" t="e">
        <f>RIGHT(CONCATENATE(0,#REF!),7)</f>
        <v>#REF!</v>
      </c>
    </row>
    <row r="367" spans="1:669" hidden="1">
      <c r="A367" s="35">
        <v>85</v>
      </c>
      <c r="B367" s="38">
        <v>2</v>
      </c>
      <c r="C367" s="37" t="s">
        <v>77</v>
      </c>
      <c r="D367" s="37">
        <v>33</v>
      </c>
      <c r="E367" s="37" t="s">
        <v>259</v>
      </c>
      <c r="F367" s="89" t="s">
        <v>1333</v>
      </c>
      <c r="P367" s="38">
        <v>85</v>
      </c>
      <c r="Q367" s="222" t="s">
        <v>260</v>
      </c>
      <c r="S367" s="222">
        <v>123450079</v>
      </c>
      <c r="T367" s="222" t="str">
        <f t="shared" si="76"/>
        <v>Twelve  Crores  Thirty Four  Lakhs  Fifty Thousand and Seventy Nine</v>
      </c>
      <c r="U367" s="222">
        <f t="shared" si="77"/>
        <v>120000000</v>
      </c>
      <c r="V367" s="222">
        <f t="shared" si="78"/>
        <v>12</v>
      </c>
      <c r="W367" s="222" t="str">
        <f t="shared" si="79"/>
        <v xml:space="preserve">Twelve  Crores  </v>
      </c>
      <c r="X367" s="222">
        <f t="shared" si="80"/>
        <v>3400000</v>
      </c>
      <c r="Y367" s="715">
        <f t="shared" si="81"/>
        <v>34</v>
      </c>
      <c r="Z367" s="222" t="str">
        <f t="shared" si="82"/>
        <v xml:space="preserve">Thirty Four  Lakhs  </v>
      </c>
      <c r="AA367" s="222">
        <f t="shared" si="83"/>
        <v>50000</v>
      </c>
      <c r="AB367" s="715">
        <f t="shared" si="84"/>
        <v>50</v>
      </c>
      <c r="AC367" s="222" t="str">
        <f t="shared" si="85"/>
        <v xml:space="preserve">Fifty Thousand </v>
      </c>
      <c r="AD367" s="222">
        <f t="shared" si="86"/>
        <v>0</v>
      </c>
      <c r="AE367" s="281">
        <f t="shared" si="87"/>
        <v>0</v>
      </c>
      <c r="AF367" s="222" t="str">
        <f t="shared" si="88"/>
        <v/>
      </c>
      <c r="AG367" s="222">
        <f t="shared" si="89"/>
        <v>79</v>
      </c>
      <c r="AH367" s="281" t="str">
        <f t="shared" si="90"/>
        <v>Seventy Nine</v>
      </c>
      <c r="AK367" s="270">
        <v>34590</v>
      </c>
      <c r="AL367" s="270">
        <v>60860</v>
      </c>
      <c r="AN367" s="273" t="e">
        <f t="shared" si="91"/>
        <v>#REF!</v>
      </c>
      <c r="AO367" s="273" t="e">
        <f t="shared" si="92"/>
        <v>#REF!</v>
      </c>
      <c r="YS367" s="38" t="e">
        <f>RIGHT(CONCATENATE(0,#REF!),7)</f>
        <v>#REF!</v>
      </c>
    </row>
    <row r="368" spans="1:669" hidden="1">
      <c r="A368" s="35">
        <v>86</v>
      </c>
      <c r="B368" s="38">
        <v>2</v>
      </c>
      <c r="C368" s="37" t="s">
        <v>77</v>
      </c>
      <c r="D368" s="37">
        <v>34</v>
      </c>
      <c r="E368" s="37" t="s">
        <v>261</v>
      </c>
      <c r="F368" s="89" t="s">
        <v>1334</v>
      </c>
      <c r="P368" s="38">
        <v>86</v>
      </c>
      <c r="Q368" s="222" t="s">
        <v>262</v>
      </c>
      <c r="S368" s="222">
        <v>123450080</v>
      </c>
      <c r="T368" s="222" t="str">
        <f t="shared" si="76"/>
        <v>Twelve  Crores  Thirty Four  Lakhs  Fifty Thousand and Eighty</v>
      </c>
      <c r="U368" s="222">
        <f t="shared" si="77"/>
        <v>120000000</v>
      </c>
      <c r="V368" s="222">
        <f t="shared" si="78"/>
        <v>12</v>
      </c>
      <c r="W368" s="222" t="str">
        <f t="shared" si="79"/>
        <v xml:space="preserve">Twelve  Crores  </v>
      </c>
      <c r="X368" s="222">
        <f t="shared" si="80"/>
        <v>3400000</v>
      </c>
      <c r="Y368" s="715">
        <f t="shared" si="81"/>
        <v>34</v>
      </c>
      <c r="Z368" s="222" t="str">
        <f t="shared" si="82"/>
        <v xml:space="preserve">Thirty Four  Lakhs  </v>
      </c>
      <c r="AA368" s="222">
        <f t="shared" si="83"/>
        <v>50000</v>
      </c>
      <c r="AB368" s="715">
        <f t="shared" si="84"/>
        <v>50</v>
      </c>
      <c r="AC368" s="222" t="str">
        <f t="shared" si="85"/>
        <v xml:space="preserve">Fifty Thousand </v>
      </c>
      <c r="AD368" s="222">
        <f t="shared" si="86"/>
        <v>0</v>
      </c>
      <c r="AE368" s="281">
        <f t="shared" si="87"/>
        <v>0</v>
      </c>
      <c r="AF368" s="222" t="str">
        <f t="shared" si="88"/>
        <v/>
      </c>
      <c r="AG368" s="222">
        <f t="shared" si="89"/>
        <v>80</v>
      </c>
      <c r="AH368" s="281" t="str">
        <f t="shared" si="90"/>
        <v>Eighty</v>
      </c>
      <c r="AK368" s="270"/>
      <c r="AL368" s="270">
        <v>62160</v>
      </c>
      <c r="AN368" s="273" t="e">
        <f t="shared" si="91"/>
        <v>#REF!</v>
      </c>
      <c r="AO368" s="273" t="e">
        <f t="shared" si="92"/>
        <v>#REF!</v>
      </c>
      <c r="YS368" s="38" t="e">
        <f>RIGHT(CONCATENATE(0,#REF!),7)</f>
        <v>#REF!</v>
      </c>
    </row>
    <row r="369" spans="1:669" hidden="1">
      <c r="A369" s="35">
        <v>87</v>
      </c>
      <c r="B369" s="38">
        <v>2</v>
      </c>
      <c r="C369" s="37" t="s">
        <v>77</v>
      </c>
      <c r="D369" s="37">
        <v>35</v>
      </c>
      <c r="E369" s="37" t="s">
        <v>263</v>
      </c>
      <c r="F369" s="89" t="s">
        <v>1335</v>
      </c>
      <c r="P369" s="38">
        <v>87</v>
      </c>
      <c r="Q369" s="222" t="s">
        <v>264</v>
      </c>
      <c r="S369" s="222">
        <v>123450081</v>
      </c>
      <c r="T369" s="222" t="str">
        <f t="shared" si="76"/>
        <v>Twelve  Crores  Thirty Four  Lakhs  Fifty Thousand and Eighty One</v>
      </c>
      <c r="U369" s="222">
        <f t="shared" si="77"/>
        <v>120000000</v>
      </c>
      <c r="V369" s="222">
        <f t="shared" si="78"/>
        <v>12</v>
      </c>
      <c r="W369" s="222" t="str">
        <f t="shared" si="79"/>
        <v xml:space="preserve">Twelve  Crores  </v>
      </c>
      <c r="X369" s="222">
        <f t="shared" si="80"/>
        <v>3400000</v>
      </c>
      <c r="Y369" s="715">
        <f t="shared" si="81"/>
        <v>34</v>
      </c>
      <c r="Z369" s="222" t="str">
        <f t="shared" si="82"/>
        <v xml:space="preserve">Thirty Four  Lakhs  </v>
      </c>
      <c r="AA369" s="222">
        <f t="shared" si="83"/>
        <v>50000</v>
      </c>
      <c r="AB369" s="715">
        <f t="shared" si="84"/>
        <v>50</v>
      </c>
      <c r="AC369" s="222" t="str">
        <f t="shared" si="85"/>
        <v xml:space="preserve">Fifty Thousand </v>
      </c>
      <c r="AD369" s="222">
        <f t="shared" si="86"/>
        <v>0</v>
      </c>
      <c r="AE369" s="281">
        <f t="shared" si="87"/>
        <v>0</v>
      </c>
      <c r="AF369" s="222" t="str">
        <f t="shared" si="88"/>
        <v/>
      </c>
      <c r="AG369" s="222">
        <f t="shared" si="89"/>
        <v>81</v>
      </c>
      <c r="AH369" s="281" t="str">
        <f t="shared" si="90"/>
        <v>Eighty One</v>
      </c>
      <c r="YS369" s="38" t="e">
        <f>RIGHT(CONCATENATE(0,#REF!),7)</f>
        <v>#REF!</v>
      </c>
    </row>
    <row r="370" spans="1:669" hidden="1">
      <c r="A370" s="35">
        <v>88</v>
      </c>
      <c r="B370" s="38">
        <v>2</v>
      </c>
      <c r="C370" s="37" t="s">
        <v>77</v>
      </c>
      <c r="D370" s="37">
        <v>36</v>
      </c>
      <c r="E370" s="37" t="s">
        <v>265</v>
      </c>
      <c r="F370" s="38" t="str">
        <f>C40</f>
        <v>Accountant</v>
      </c>
      <c r="P370" s="38">
        <v>88</v>
      </c>
      <c r="Q370" s="222" t="s">
        <v>266</v>
      </c>
      <c r="S370" s="222">
        <v>123450082</v>
      </c>
      <c r="T370" s="222" t="str">
        <f t="shared" si="76"/>
        <v>Twelve  Crores  Thirty Four  Lakhs  Fifty Thousand and Eighty Two</v>
      </c>
      <c r="U370" s="222">
        <f t="shared" si="77"/>
        <v>120000000</v>
      </c>
      <c r="V370" s="222">
        <f t="shared" si="78"/>
        <v>12</v>
      </c>
      <c r="W370" s="222" t="str">
        <f t="shared" si="79"/>
        <v xml:space="preserve">Twelve  Crores  </v>
      </c>
      <c r="X370" s="222">
        <f t="shared" si="80"/>
        <v>3400000</v>
      </c>
      <c r="Y370" s="715">
        <f t="shared" si="81"/>
        <v>34</v>
      </c>
      <c r="Z370" s="222" t="str">
        <f t="shared" si="82"/>
        <v xml:space="preserve">Thirty Four  Lakhs  </v>
      </c>
      <c r="AA370" s="222">
        <f t="shared" si="83"/>
        <v>50000</v>
      </c>
      <c r="AB370" s="715">
        <f t="shared" si="84"/>
        <v>50</v>
      </c>
      <c r="AC370" s="222" t="str">
        <f t="shared" si="85"/>
        <v xml:space="preserve">Fifty Thousand </v>
      </c>
      <c r="AD370" s="222">
        <f t="shared" si="86"/>
        <v>0</v>
      </c>
      <c r="AE370" s="281">
        <f t="shared" si="87"/>
        <v>0</v>
      </c>
      <c r="AF370" s="222" t="str">
        <f t="shared" si="88"/>
        <v/>
      </c>
      <c r="AG370" s="222">
        <f t="shared" si="89"/>
        <v>82</v>
      </c>
      <c r="AH370" s="281" t="str">
        <f t="shared" si="90"/>
        <v>Eighty Two</v>
      </c>
      <c r="YS370" s="38" t="e">
        <f>RIGHT(CONCATENATE(0,#REF!),7)</f>
        <v>#REF!</v>
      </c>
    </row>
    <row r="371" spans="1:669" hidden="1">
      <c r="A371" s="35">
        <v>89</v>
      </c>
      <c r="B371" s="38">
        <v>2</v>
      </c>
      <c r="C371" s="37" t="s">
        <v>77</v>
      </c>
      <c r="D371" s="37">
        <v>37</v>
      </c>
      <c r="E371" s="37" t="s">
        <v>267</v>
      </c>
      <c r="F371" s="712" t="s">
        <v>1859</v>
      </c>
      <c r="P371" s="38">
        <v>89</v>
      </c>
      <c r="Q371" s="222" t="s">
        <v>268</v>
      </c>
      <c r="S371" s="222">
        <v>123450083</v>
      </c>
      <c r="T371" s="222" t="str">
        <f t="shared" si="76"/>
        <v>Twelve  Crores  Thirty Four  Lakhs  Fifty Thousand and Eighty Three</v>
      </c>
      <c r="U371" s="222">
        <f t="shared" si="77"/>
        <v>120000000</v>
      </c>
      <c r="V371" s="222">
        <f t="shared" si="78"/>
        <v>12</v>
      </c>
      <c r="W371" s="222" t="str">
        <f t="shared" si="79"/>
        <v xml:space="preserve">Twelve  Crores  </v>
      </c>
      <c r="X371" s="222">
        <f t="shared" si="80"/>
        <v>3400000</v>
      </c>
      <c r="Y371" s="715">
        <f t="shared" si="81"/>
        <v>34</v>
      </c>
      <c r="Z371" s="222" t="str">
        <f t="shared" si="82"/>
        <v xml:space="preserve">Thirty Four  Lakhs  </v>
      </c>
      <c r="AA371" s="222">
        <f t="shared" si="83"/>
        <v>50000</v>
      </c>
      <c r="AB371" s="715">
        <f t="shared" si="84"/>
        <v>50</v>
      </c>
      <c r="AC371" s="222" t="str">
        <f t="shared" si="85"/>
        <v xml:space="preserve">Fifty Thousand </v>
      </c>
      <c r="AD371" s="222">
        <f t="shared" si="86"/>
        <v>0</v>
      </c>
      <c r="AE371" s="281">
        <f t="shared" si="87"/>
        <v>0</v>
      </c>
      <c r="AF371" s="222" t="str">
        <f t="shared" si="88"/>
        <v/>
      </c>
      <c r="AG371" s="222">
        <f t="shared" si="89"/>
        <v>83</v>
      </c>
      <c r="AH371" s="281" t="str">
        <f t="shared" si="90"/>
        <v>Eighty Three</v>
      </c>
      <c r="YS371" s="38" t="e">
        <f>RIGHT(CONCATENATE(0,#REF!),7)</f>
        <v>#REF!</v>
      </c>
    </row>
    <row r="372" spans="1:669" hidden="1">
      <c r="A372" s="35">
        <v>90</v>
      </c>
      <c r="B372" s="38">
        <v>2</v>
      </c>
      <c r="C372" s="37" t="s">
        <v>77</v>
      </c>
      <c r="D372" s="37">
        <v>38</v>
      </c>
      <c r="E372" s="37" t="s">
        <v>269</v>
      </c>
      <c r="F372" s="714" t="s">
        <v>1466</v>
      </c>
      <c r="P372" s="38">
        <v>90</v>
      </c>
      <c r="Q372" s="222" t="s">
        <v>270</v>
      </c>
      <c r="S372" s="222">
        <v>123450084</v>
      </c>
      <c r="T372" s="222" t="str">
        <f t="shared" si="76"/>
        <v>Twelve  Crores  Thirty Four  Lakhs  Fifty Thousand and Eighty Four</v>
      </c>
      <c r="U372" s="222">
        <f t="shared" si="77"/>
        <v>120000000</v>
      </c>
      <c r="V372" s="222">
        <f t="shared" si="78"/>
        <v>12</v>
      </c>
      <c r="W372" s="222" t="str">
        <f t="shared" si="79"/>
        <v xml:space="preserve">Twelve  Crores  </v>
      </c>
      <c r="X372" s="222">
        <f t="shared" si="80"/>
        <v>3400000</v>
      </c>
      <c r="Y372" s="715">
        <f t="shared" si="81"/>
        <v>34</v>
      </c>
      <c r="Z372" s="222" t="str">
        <f t="shared" si="82"/>
        <v xml:space="preserve">Thirty Four  Lakhs  </v>
      </c>
      <c r="AA372" s="222">
        <f t="shared" si="83"/>
        <v>50000</v>
      </c>
      <c r="AB372" s="715">
        <f t="shared" si="84"/>
        <v>50</v>
      </c>
      <c r="AC372" s="222" t="str">
        <f t="shared" si="85"/>
        <v xml:space="preserve">Fifty Thousand </v>
      </c>
      <c r="AD372" s="222">
        <f t="shared" si="86"/>
        <v>0</v>
      </c>
      <c r="AE372" s="281">
        <f t="shared" si="87"/>
        <v>0</v>
      </c>
      <c r="AF372" s="222" t="str">
        <f t="shared" si="88"/>
        <v/>
      </c>
      <c r="AG372" s="222">
        <f t="shared" si="89"/>
        <v>84</v>
      </c>
      <c r="AH372" s="281" t="str">
        <f t="shared" si="90"/>
        <v>Eighty Four</v>
      </c>
      <c r="YS372" s="38" t="e">
        <f>RIGHT(CONCATENATE(0,#REF!),7)</f>
        <v>#REF!</v>
      </c>
    </row>
    <row r="373" spans="1:669" hidden="1">
      <c r="A373" s="35">
        <v>91</v>
      </c>
      <c r="B373" s="38">
        <v>2</v>
      </c>
      <c r="C373" s="37" t="s">
        <v>77</v>
      </c>
      <c r="D373" s="37">
        <v>39</v>
      </c>
      <c r="E373" s="37" t="s">
        <v>271</v>
      </c>
      <c r="F373" s="714" t="s">
        <v>1336</v>
      </c>
      <c r="P373" s="38">
        <v>91</v>
      </c>
      <c r="Q373" s="222" t="s">
        <v>272</v>
      </c>
      <c r="S373" s="222">
        <v>10150000</v>
      </c>
      <c r="T373" s="222" t="str">
        <f t="shared" si="76"/>
        <v xml:space="preserve">One  Crore One  Lakh and Fifty Thousand  </v>
      </c>
      <c r="U373" s="222">
        <f t="shared" si="77"/>
        <v>10000000</v>
      </c>
      <c r="V373" s="222">
        <f t="shared" si="78"/>
        <v>1</v>
      </c>
      <c r="W373" s="222" t="str">
        <f t="shared" si="79"/>
        <v xml:space="preserve">One  Crore </v>
      </c>
      <c r="X373" s="222">
        <f t="shared" si="80"/>
        <v>100000</v>
      </c>
      <c r="Y373" s="715">
        <f t="shared" si="81"/>
        <v>1</v>
      </c>
      <c r="Z373" s="222" t="str">
        <f t="shared" si="82"/>
        <v xml:space="preserve">One  Lakh </v>
      </c>
      <c r="AA373" s="222">
        <f t="shared" si="83"/>
        <v>50000</v>
      </c>
      <c r="AB373" s="715">
        <f t="shared" si="84"/>
        <v>50</v>
      </c>
      <c r="AC373" s="222" t="str">
        <f t="shared" si="85"/>
        <v xml:space="preserve">Fifty Thousand </v>
      </c>
      <c r="AD373" s="222">
        <f t="shared" si="86"/>
        <v>0</v>
      </c>
      <c r="AE373" s="281">
        <f t="shared" si="87"/>
        <v>0</v>
      </c>
      <c r="AF373" s="222" t="str">
        <f t="shared" si="88"/>
        <v/>
      </c>
      <c r="AG373" s="222">
        <f t="shared" si="89"/>
        <v>0</v>
      </c>
      <c r="AH373" s="281" t="str">
        <f t="shared" si="90"/>
        <v/>
      </c>
      <c r="YS373" s="38" t="e">
        <f>RIGHT(CONCATENATE(0,#REF!),7)</f>
        <v>#REF!</v>
      </c>
    </row>
    <row r="374" spans="1:669" hidden="1">
      <c r="A374" s="35">
        <v>92</v>
      </c>
      <c r="B374" s="38">
        <v>2</v>
      </c>
      <c r="C374" s="37" t="s">
        <v>77</v>
      </c>
      <c r="D374" s="37">
        <v>40</v>
      </c>
      <c r="E374" s="37" t="s">
        <v>273</v>
      </c>
      <c r="F374" s="90" t="s">
        <v>1467</v>
      </c>
      <c r="P374" s="38">
        <v>92</v>
      </c>
      <c r="Q374" s="222" t="s">
        <v>274</v>
      </c>
      <c r="YS374" s="38" t="e">
        <f>RIGHT(CONCATENATE(0,#REF!),7)</f>
        <v>#REF!</v>
      </c>
    </row>
    <row r="375" spans="1:669" hidden="1">
      <c r="A375" s="35">
        <v>93</v>
      </c>
      <c r="B375" s="38">
        <v>2</v>
      </c>
      <c r="C375" s="37" t="s">
        <v>77</v>
      </c>
      <c r="D375" s="37">
        <v>41</v>
      </c>
      <c r="E375" s="37" t="s">
        <v>275</v>
      </c>
      <c r="F375" s="90" t="s">
        <v>1465</v>
      </c>
      <c r="P375" s="38">
        <v>93</v>
      </c>
      <c r="Q375" s="222" t="s">
        <v>276</v>
      </c>
      <c r="YS375" s="38" t="e">
        <f>RIGHT(CONCATENATE(0,#REF!),7)</f>
        <v>#REF!</v>
      </c>
    </row>
    <row r="376" spans="1:669" hidden="1">
      <c r="A376" s="35">
        <v>94</v>
      </c>
      <c r="B376" s="38">
        <v>2</v>
      </c>
      <c r="C376" s="37" t="s">
        <v>77</v>
      </c>
      <c r="D376" s="37">
        <v>42</v>
      </c>
      <c r="E376" s="37" t="s">
        <v>277</v>
      </c>
      <c r="F376" s="90" t="s">
        <v>1337</v>
      </c>
      <c r="P376" s="38">
        <v>94</v>
      </c>
      <c r="Q376" s="222" t="s">
        <v>278</v>
      </c>
      <c r="YS376" s="38" t="e">
        <f>RIGHT(CONCATENATE(0,#REF!),7)</f>
        <v>#REF!</v>
      </c>
    </row>
    <row r="377" spans="1:669" hidden="1">
      <c r="A377" s="35">
        <v>95</v>
      </c>
      <c r="B377" s="38">
        <v>2</v>
      </c>
      <c r="C377" s="37" t="s">
        <v>77</v>
      </c>
      <c r="D377" s="37">
        <v>43</v>
      </c>
      <c r="E377" s="37" t="s">
        <v>279</v>
      </c>
      <c r="F377" s="90" t="s">
        <v>1475</v>
      </c>
      <c r="P377" s="38">
        <v>95</v>
      </c>
      <c r="Q377" s="222" t="s">
        <v>280</v>
      </c>
      <c r="YS377" s="38" t="e">
        <f>RIGHT(CONCATENATE(0,#REF!),7)</f>
        <v>#REF!</v>
      </c>
    </row>
    <row r="378" spans="1:669" hidden="1">
      <c r="A378" s="35">
        <v>96</v>
      </c>
      <c r="B378" s="38">
        <v>2</v>
      </c>
      <c r="C378" s="37" t="s">
        <v>77</v>
      </c>
      <c r="D378" s="37">
        <v>44</v>
      </c>
      <c r="E378" s="37" t="s">
        <v>281</v>
      </c>
      <c r="F378" s="90" t="s">
        <v>1476</v>
      </c>
      <c r="P378" s="38">
        <v>96</v>
      </c>
      <c r="Q378" s="222" t="s">
        <v>282</v>
      </c>
      <c r="YS378" s="38" t="e">
        <f>RIGHT(CONCATENATE(0,#REF!),7)</f>
        <v>#REF!</v>
      </c>
    </row>
    <row r="379" spans="1:669" hidden="1">
      <c r="A379" s="35">
        <v>97</v>
      </c>
      <c r="B379" s="38">
        <v>2</v>
      </c>
      <c r="C379" s="37" t="s">
        <v>77</v>
      </c>
      <c r="D379" s="37">
        <v>45</v>
      </c>
      <c r="E379" s="37" t="s">
        <v>283</v>
      </c>
      <c r="F379" s="90" t="s">
        <v>1477</v>
      </c>
      <c r="P379" s="38">
        <v>97</v>
      </c>
      <c r="Q379" s="222" t="s">
        <v>284</v>
      </c>
      <c r="YS379" s="38" t="e">
        <f>RIGHT(CONCATENATE(0,#REF!),7)</f>
        <v>#REF!</v>
      </c>
    </row>
    <row r="380" spans="1:669" hidden="1">
      <c r="A380" s="35">
        <v>98</v>
      </c>
      <c r="B380" s="38">
        <v>2</v>
      </c>
      <c r="C380" s="37" t="s">
        <v>77</v>
      </c>
      <c r="D380" s="37">
        <v>46</v>
      </c>
      <c r="E380" s="37" t="s">
        <v>285</v>
      </c>
      <c r="F380" s="90" t="s">
        <v>1478</v>
      </c>
      <c r="P380" s="38">
        <v>98</v>
      </c>
      <c r="Q380" s="222" t="s">
        <v>286</v>
      </c>
      <c r="YS380" s="38" t="e">
        <f>RIGHT(CONCATENATE(0,#REF!),7)</f>
        <v>#REF!</v>
      </c>
    </row>
    <row r="381" spans="1:669" hidden="1">
      <c r="A381" s="35">
        <v>99</v>
      </c>
      <c r="B381" s="38">
        <v>2</v>
      </c>
      <c r="C381" s="37" t="s">
        <v>77</v>
      </c>
      <c r="D381" s="37">
        <v>47</v>
      </c>
      <c r="E381" s="37" t="s">
        <v>287</v>
      </c>
      <c r="F381" s="713" t="s">
        <v>1824</v>
      </c>
      <c r="P381" s="38">
        <v>99</v>
      </c>
      <c r="Q381" s="222" t="s">
        <v>288</v>
      </c>
      <c r="YS381" s="38" t="e">
        <f>RIGHT(CONCATENATE(0,#REF!),7)</f>
        <v>#REF!</v>
      </c>
    </row>
    <row r="382" spans="1:669" hidden="1">
      <c r="A382" s="35">
        <v>100</v>
      </c>
      <c r="B382" s="38">
        <v>2</v>
      </c>
      <c r="C382" s="37" t="s">
        <v>77</v>
      </c>
      <c r="D382" s="37">
        <v>48</v>
      </c>
      <c r="E382" s="37" t="s">
        <v>289</v>
      </c>
      <c r="F382" s="713" t="str">
        <f>C41</f>
        <v>Chief Executive Officer</v>
      </c>
      <c r="YS382" s="38" t="e">
        <f>RIGHT(CONCATENATE(0,#REF!),7)</f>
        <v>#REF!</v>
      </c>
    </row>
    <row r="383" spans="1:669" hidden="1">
      <c r="A383" s="35">
        <v>101</v>
      </c>
      <c r="B383" s="38">
        <v>2</v>
      </c>
      <c r="C383" s="37" t="s">
        <v>77</v>
      </c>
      <c r="D383" s="37">
        <v>49</v>
      </c>
      <c r="E383" s="37" t="s">
        <v>290</v>
      </c>
      <c r="YS383" s="38" t="e">
        <f>RIGHT(CONCATENATE(0,#REF!),7)</f>
        <v>#REF!</v>
      </c>
    </row>
    <row r="384" spans="1:669" hidden="1">
      <c r="A384" s="35">
        <v>102</v>
      </c>
      <c r="B384" s="38">
        <v>2</v>
      </c>
      <c r="C384" s="37" t="s">
        <v>77</v>
      </c>
      <c r="D384" s="37">
        <v>50</v>
      </c>
      <c r="E384" s="37" t="s">
        <v>292</v>
      </c>
      <c r="YS384" s="38" t="e">
        <f>RIGHT(CONCATENATE(0,#REF!),7)</f>
        <v>#REF!</v>
      </c>
    </row>
    <row r="385" spans="1:669" hidden="1">
      <c r="A385" s="35">
        <v>103</v>
      </c>
      <c r="B385" s="38">
        <v>2</v>
      </c>
      <c r="C385" s="37" t="s">
        <v>77</v>
      </c>
      <c r="D385" s="37">
        <v>51</v>
      </c>
      <c r="E385" s="37" t="s">
        <v>294</v>
      </c>
      <c r="YS385" s="38" t="e">
        <f>RIGHT(CONCATENATE(0,#REF!),7)</f>
        <v>#REF!</v>
      </c>
    </row>
    <row r="386" spans="1:669" hidden="1">
      <c r="A386" s="35">
        <v>104</v>
      </c>
      <c r="B386" s="38">
        <v>2</v>
      </c>
      <c r="C386" s="37" t="s">
        <v>77</v>
      </c>
      <c r="D386" s="37">
        <v>52</v>
      </c>
      <c r="E386" s="37" t="s">
        <v>297</v>
      </c>
      <c r="YS386" s="38" t="e">
        <f>RIGHT(CONCATENATE(0,#REF!),7)</f>
        <v>#REF!</v>
      </c>
    </row>
    <row r="387" spans="1:669" hidden="1">
      <c r="A387" s="35">
        <v>105</v>
      </c>
      <c r="B387" s="38">
        <v>2</v>
      </c>
      <c r="C387" s="37" t="s">
        <v>77</v>
      </c>
      <c r="D387" s="37">
        <v>53</v>
      </c>
      <c r="E387" s="37" t="s">
        <v>298</v>
      </c>
      <c r="YS387" s="38" t="e">
        <f>RIGHT(CONCATENATE(0,#REF!),7)</f>
        <v>#REF!</v>
      </c>
    </row>
    <row r="388" spans="1:669" hidden="1">
      <c r="A388" s="35">
        <v>106</v>
      </c>
      <c r="B388" s="38">
        <v>2</v>
      </c>
      <c r="C388" s="37" t="s">
        <v>77</v>
      </c>
      <c r="D388" s="37">
        <v>54</v>
      </c>
      <c r="E388" s="37" t="s">
        <v>299</v>
      </c>
      <c r="YS388" s="38" t="e">
        <f>RIGHT(CONCATENATE(0,#REF!),7)</f>
        <v>#REF!</v>
      </c>
    </row>
    <row r="389" spans="1:669" hidden="1">
      <c r="A389" s="35">
        <v>107</v>
      </c>
      <c r="B389" s="38">
        <v>2</v>
      </c>
      <c r="C389" s="37" t="s">
        <v>77</v>
      </c>
      <c r="D389" s="37">
        <v>55</v>
      </c>
      <c r="E389" s="37" t="s">
        <v>300</v>
      </c>
      <c r="YS389" s="38" t="e">
        <f>RIGHT(CONCATENATE(0,#REF!),7)</f>
        <v>#REF!</v>
      </c>
    </row>
    <row r="390" spans="1:669" hidden="1">
      <c r="A390" s="35">
        <v>108</v>
      </c>
      <c r="B390" s="38">
        <v>2</v>
      </c>
      <c r="C390" s="37" t="s">
        <v>77</v>
      </c>
      <c r="D390" s="37">
        <v>56</v>
      </c>
      <c r="E390" s="37" t="s">
        <v>301</v>
      </c>
      <c r="YS390" s="38" t="e">
        <f>RIGHT(CONCATENATE(0,#REF!),7)</f>
        <v>#REF!</v>
      </c>
    </row>
    <row r="391" spans="1:669" hidden="1">
      <c r="A391" s="35">
        <v>109</v>
      </c>
      <c r="B391" s="38">
        <v>2</v>
      </c>
      <c r="C391" s="37" t="s">
        <v>77</v>
      </c>
      <c r="D391" s="37">
        <v>57</v>
      </c>
      <c r="E391" s="37" t="s">
        <v>302</v>
      </c>
      <c r="YS391" s="38" t="e">
        <f>RIGHT(CONCATENATE(0,#REF!),7)</f>
        <v>#REF!</v>
      </c>
    </row>
    <row r="392" spans="1:669" hidden="1">
      <c r="A392" s="35">
        <v>110</v>
      </c>
      <c r="B392" s="38">
        <v>2</v>
      </c>
      <c r="C392" s="37" t="s">
        <v>77</v>
      </c>
      <c r="D392" s="37">
        <v>58</v>
      </c>
      <c r="E392" s="37" t="s">
        <v>303</v>
      </c>
      <c r="YS392" s="38" t="e">
        <f>RIGHT(CONCATENATE(0,#REF!),7)</f>
        <v>#REF!</v>
      </c>
    </row>
    <row r="393" spans="1:669" hidden="1">
      <c r="A393" s="35">
        <v>111</v>
      </c>
      <c r="B393" s="38">
        <v>2</v>
      </c>
      <c r="C393" s="37" t="s">
        <v>77</v>
      </c>
      <c r="D393" s="37">
        <v>59</v>
      </c>
      <c r="E393" s="37" t="s">
        <v>304</v>
      </c>
      <c r="YS393" s="38" t="e">
        <f>RIGHT(CONCATENATE(0,#REF!),7)</f>
        <v>#REF!</v>
      </c>
    </row>
    <row r="394" spans="1:669" hidden="1">
      <c r="A394" s="35">
        <v>112</v>
      </c>
      <c r="B394" s="38">
        <v>2</v>
      </c>
      <c r="C394" s="37" t="s">
        <v>77</v>
      </c>
      <c r="D394" s="37">
        <v>60</v>
      </c>
      <c r="E394" s="37" t="s">
        <v>306</v>
      </c>
      <c r="YS394" s="38" t="e">
        <f>RIGHT(CONCATENATE(0,#REF!),7)</f>
        <v>#REF!</v>
      </c>
    </row>
    <row r="395" spans="1:669" hidden="1">
      <c r="A395" s="35">
        <v>113</v>
      </c>
      <c r="B395" s="38">
        <v>2</v>
      </c>
      <c r="C395" s="37" t="s">
        <v>77</v>
      </c>
      <c r="D395" s="37">
        <v>61</v>
      </c>
      <c r="E395" s="37" t="s">
        <v>308</v>
      </c>
      <c r="YS395" s="38" t="e">
        <f>RIGHT(CONCATENATE(0,#REF!),7)</f>
        <v>#REF!</v>
      </c>
    </row>
    <row r="396" spans="1:669" hidden="1">
      <c r="A396" s="35">
        <v>114</v>
      </c>
      <c r="B396" s="38">
        <v>2</v>
      </c>
      <c r="C396" s="37" t="s">
        <v>77</v>
      </c>
      <c r="D396" s="37">
        <v>62</v>
      </c>
      <c r="E396" s="37" t="s">
        <v>309</v>
      </c>
      <c r="YS396" s="38" t="e">
        <f>RIGHT(CONCATENATE(0,#REF!),7)</f>
        <v>#REF!</v>
      </c>
    </row>
    <row r="397" spans="1:669" hidden="1">
      <c r="A397" s="35">
        <v>115</v>
      </c>
      <c r="B397" s="38">
        <v>2</v>
      </c>
      <c r="C397" s="37" t="s">
        <v>77</v>
      </c>
      <c r="D397" s="37">
        <v>63</v>
      </c>
      <c r="E397" s="37" t="s">
        <v>310</v>
      </c>
      <c r="YS397" s="38" t="e">
        <f>RIGHT(CONCATENATE(0,#REF!),7)</f>
        <v>#REF!</v>
      </c>
    </row>
    <row r="398" spans="1:669" hidden="1">
      <c r="A398" s="35">
        <v>116</v>
      </c>
      <c r="B398" s="38">
        <v>3</v>
      </c>
      <c r="C398" s="37" t="s">
        <v>67</v>
      </c>
      <c r="D398" s="37">
        <v>1</v>
      </c>
      <c r="E398" s="37" t="s">
        <v>311</v>
      </c>
      <c r="YS398" s="38" t="e">
        <f>RIGHT(CONCATENATE(0,#REF!),7)</f>
        <v>#REF!</v>
      </c>
    </row>
    <row r="399" spans="1:669" hidden="1">
      <c r="A399" s="35">
        <v>117</v>
      </c>
      <c r="B399" s="38">
        <v>3</v>
      </c>
      <c r="C399" s="37" t="s">
        <v>67</v>
      </c>
      <c r="D399" s="37">
        <v>2</v>
      </c>
      <c r="E399" s="37" t="s">
        <v>312</v>
      </c>
      <c r="YS399" s="38" t="e">
        <f>RIGHT(CONCATENATE(0,#REF!),7)</f>
        <v>#REF!</v>
      </c>
    </row>
    <row r="400" spans="1:669" hidden="1">
      <c r="A400" s="35">
        <v>118</v>
      </c>
      <c r="B400" s="38">
        <v>3</v>
      </c>
      <c r="C400" s="37" t="s">
        <v>67</v>
      </c>
      <c r="D400" s="37">
        <v>3</v>
      </c>
      <c r="E400" s="37" t="s">
        <v>313</v>
      </c>
      <c r="YS400" s="38" t="e">
        <f>RIGHT(CONCATENATE(0,#REF!),7)</f>
        <v>#REF!</v>
      </c>
    </row>
    <row r="401" spans="1:669" hidden="1">
      <c r="A401" s="35">
        <v>119</v>
      </c>
      <c r="B401" s="38">
        <v>3</v>
      </c>
      <c r="C401" s="37" t="s">
        <v>67</v>
      </c>
      <c r="D401" s="37">
        <v>4</v>
      </c>
      <c r="E401" s="37" t="s">
        <v>314</v>
      </c>
      <c r="YS401" s="38" t="e">
        <f>RIGHT(CONCATENATE(0,#REF!),7)</f>
        <v>#REF!</v>
      </c>
    </row>
    <row r="402" spans="1:669" hidden="1">
      <c r="A402" s="35">
        <v>120</v>
      </c>
      <c r="B402" s="38">
        <v>3</v>
      </c>
      <c r="C402" s="37" t="s">
        <v>67</v>
      </c>
      <c r="D402" s="37">
        <v>5</v>
      </c>
      <c r="E402" s="37" t="s">
        <v>315</v>
      </c>
      <c r="YS402" s="38" t="e">
        <f>RIGHT(CONCATENATE(0,#REF!),7)</f>
        <v>#REF!</v>
      </c>
    </row>
    <row r="403" spans="1:669" hidden="1">
      <c r="A403" s="35">
        <v>121</v>
      </c>
      <c r="B403" s="38">
        <v>3</v>
      </c>
      <c r="C403" s="37" t="s">
        <v>67</v>
      </c>
      <c r="D403" s="37">
        <v>6</v>
      </c>
      <c r="E403" s="37" t="s">
        <v>317</v>
      </c>
      <c r="YS403" s="38" t="e">
        <f>RIGHT(CONCATENATE(0,#REF!),7)</f>
        <v>#REF!</v>
      </c>
    </row>
    <row r="404" spans="1:669" hidden="1">
      <c r="A404" s="35">
        <v>122</v>
      </c>
      <c r="B404" s="38">
        <v>3</v>
      </c>
      <c r="C404" s="37" t="s">
        <v>67</v>
      </c>
      <c r="D404" s="37">
        <v>7</v>
      </c>
      <c r="E404" s="37" t="s">
        <v>320</v>
      </c>
      <c r="YS404" s="38" t="e">
        <f>RIGHT(CONCATENATE(0,#REF!),7)</f>
        <v>#REF!</v>
      </c>
    </row>
    <row r="405" spans="1:669" hidden="1">
      <c r="A405" s="35">
        <v>123</v>
      </c>
      <c r="B405" s="38">
        <v>3</v>
      </c>
      <c r="C405" s="37" t="s">
        <v>67</v>
      </c>
      <c r="D405" s="37">
        <v>8</v>
      </c>
      <c r="E405" s="37" t="s">
        <v>321</v>
      </c>
      <c r="YS405" s="38" t="e">
        <f>RIGHT(CONCATENATE(0,#REF!),7)</f>
        <v>#REF!</v>
      </c>
    </row>
    <row r="406" spans="1:669" hidden="1">
      <c r="A406" s="35">
        <v>124</v>
      </c>
      <c r="B406" s="38">
        <v>3</v>
      </c>
      <c r="C406" s="37" t="s">
        <v>67</v>
      </c>
      <c r="D406" s="37">
        <v>9</v>
      </c>
      <c r="E406" s="37" t="s">
        <v>322</v>
      </c>
      <c r="YS406" s="38" t="e">
        <f>RIGHT(CONCATENATE(0,#REF!),7)</f>
        <v>#REF!</v>
      </c>
    </row>
    <row r="407" spans="1:669" hidden="1">
      <c r="A407" s="35">
        <v>125</v>
      </c>
      <c r="B407" s="38">
        <v>3</v>
      </c>
      <c r="C407" s="37" t="s">
        <v>67</v>
      </c>
      <c r="D407" s="37">
        <v>10</v>
      </c>
      <c r="E407" s="37" t="s">
        <v>325</v>
      </c>
      <c r="YS407" s="38" t="e">
        <f>RIGHT(CONCATENATE(0,#REF!),7)</f>
        <v>#REF!</v>
      </c>
    </row>
    <row r="408" spans="1:669" hidden="1">
      <c r="A408" s="35">
        <v>126</v>
      </c>
      <c r="B408" s="38">
        <v>3</v>
      </c>
      <c r="C408" s="37" t="s">
        <v>67</v>
      </c>
      <c r="D408" s="37">
        <v>11</v>
      </c>
      <c r="E408" s="37" t="s">
        <v>327</v>
      </c>
      <c r="YS408" s="38" t="e">
        <f>RIGHT(CONCATENATE(0,#REF!),7)</f>
        <v>#REF!</v>
      </c>
    </row>
    <row r="409" spans="1:669" hidden="1">
      <c r="A409" s="35">
        <v>127</v>
      </c>
      <c r="B409" s="38">
        <v>3</v>
      </c>
      <c r="C409" s="37" t="s">
        <v>67</v>
      </c>
      <c r="D409" s="37">
        <v>12</v>
      </c>
      <c r="E409" s="37" t="s">
        <v>329</v>
      </c>
      <c r="YS409" s="38" t="e">
        <f>RIGHT(CONCATENATE(0,#REF!),7)</f>
        <v>#REF!</v>
      </c>
    </row>
    <row r="410" spans="1:669" hidden="1">
      <c r="A410" s="35">
        <v>128</v>
      </c>
      <c r="B410" s="38">
        <v>3</v>
      </c>
      <c r="C410" s="37" t="s">
        <v>67</v>
      </c>
      <c r="D410" s="37">
        <v>13</v>
      </c>
      <c r="E410" s="37" t="s">
        <v>331</v>
      </c>
      <c r="YS410" s="38" t="e">
        <f>RIGHT(CONCATENATE(0,#REF!),7)</f>
        <v>#REF!</v>
      </c>
    </row>
    <row r="411" spans="1:669" hidden="1">
      <c r="A411" s="35">
        <v>129</v>
      </c>
      <c r="B411" s="38">
        <v>3</v>
      </c>
      <c r="C411" s="37" t="s">
        <v>67</v>
      </c>
      <c r="D411" s="37">
        <v>14</v>
      </c>
      <c r="E411" s="37" t="s">
        <v>332</v>
      </c>
      <c r="YS411" s="38" t="e">
        <f>RIGHT(CONCATENATE(0,#REF!),7)</f>
        <v>#REF!</v>
      </c>
    </row>
    <row r="412" spans="1:669" hidden="1">
      <c r="A412" s="35">
        <v>130</v>
      </c>
      <c r="B412" s="38">
        <v>3</v>
      </c>
      <c r="C412" s="37" t="s">
        <v>67</v>
      </c>
      <c r="D412" s="37">
        <v>15</v>
      </c>
      <c r="E412" s="37" t="s">
        <v>334</v>
      </c>
      <c r="YS412" s="38" t="e">
        <f>RIGHT(CONCATENATE(0,#REF!),7)</f>
        <v>#REF!</v>
      </c>
    </row>
    <row r="413" spans="1:669" hidden="1">
      <c r="A413" s="35">
        <v>131</v>
      </c>
      <c r="B413" s="38">
        <v>3</v>
      </c>
      <c r="C413" s="37" t="s">
        <v>67</v>
      </c>
      <c r="D413" s="37">
        <v>16</v>
      </c>
      <c r="E413" s="37" t="s">
        <v>335</v>
      </c>
      <c r="YS413" s="38" t="e">
        <f>RIGHT(CONCATENATE(0,#REF!),7)</f>
        <v>#REF!</v>
      </c>
    </row>
    <row r="414" spans="1:669" hidden="1">
      <c r="A414" s="35">
        <v>132</v>
      </c>
      <c r="B414" s="38">
        <v>3</v>
      </c>
      <c r="C414" s="37" t="s">
        <v>67</v>
      </c>
      <c r="D414" s="37">
        <v>17</v>
      </c>
      <c r="E414" s="37" t="s">
        <v>336</v>
      </c>
      <c r="YS414" s="38" t="e">
        <f>RIGHT(CONCATENATE(0,#REF!),7)</f>
        <v>#REF!</v>
      </c>
    </row>
    <row r="415" spans="1:669" hidden="1">
      <c r="A415" s="35">
        <v>133</v>
      </c>
      <c r="B415" s="38">
        <v>3</v>
      </c>
      <c r="C415" s="37" t="s">
        <v>67</v>
      </c>
      <c r="D415" s="37">
        <v>18</v>
      </c>
      <c r="E415" s="37" t="s">
        <v>337</v>
      </c>
      <c r="YS415" s="38" t="e">
        <f>RIGHT(CONCATENATE(0,#REF!),7)</f>
        <v>#REF!</v>
      </c>
    </row>
    <row r="416" spans="1:669" hidden="1">
      <c r="A416" s="35">
        <v>134</v>
      </c>
      <c r="B416" s="38">
        <v>3</v>
      </c>
      <c r="C416" s="37" t="s">
        <v>67</v>
      </c>
      <c r="D416" s="37">
        <v>19</v>
      </c>
      <c r="E416" s="37" t="s">
        <v>339</v>
      </c>
      <c r="YS416" s="38" t="e">
        <f>RIGHT(CONCATENATE(0,#REF!),7)</f>
        <v>#REF!</v>
      </c>
    </row>
    <row r="417" spans="1:669" hidden="1">
      <c r="A417" s="35">
        <v>135</v>
      </c>
      <c r="B417" s="38">
        <v>3</v>
      </c>
      <c r="C417" s="37" t="s">
        <v>67</v>
      </c>
      <c r="D417" s="37">
        <v>20</v>
      </c>
      <c r="E417" s="37" t="s">
        <v>342</v>
      </c>
      <c r="YS417" s="38" t="e">
        <f>RIGHT(CONCATENATE(0,#REF!),7)</f>
        <v>#REF!</v>
      </c>
    </row>
    <row r="418" spans="1:669" hidden="1">
      <c r="A418" s="35">
        <v>136</v>
      </c>
      <c r="B418" s="38">
        <v>3</v>
      </c>
      <c r="C418" s="37" t="s">
        <v>67</v>
      </c>
      <c r="D418" s="37">
        <v>21</v>
      </c>
      <c r="E418" s="37" t="s">
        <v>343</v>
      </c>
      <c r="YS418" s="38" t="e">
        <f>RIGHT(CONCATENATE(0,#REF!),7)</f>
        <v>#REF!</v>
      </c>
    </row>
    <row r="419" spans="1:669" hidden="1">
      <c r="A419" s="35">
        <v>137</v>
      </c>
      <c r="B419" s="38">
        <v>3</v>
      </c>
      <c r="C419" s="37" t="s">
        <v>67</v>
      </c>
      <c r="D419" s="37">
        <v>22</v>
      </c>
      <c r="E419" s="37" t="s">
        <v>344</v>
      </c>
      <c r="YS419" s="38" t="e">
        <f>RIGHT(CONCATENATE(0,#REF!),7)</f>
        <v>#REF!</v>
      </c>
    </row>
    <row r="420" spans="1:669" hidden="1">
      <c r="A420" s="35">
        <v>138</v>
      </c>
      <c r="B420" s="38">
        <v>3</v>
      </c>
      <c r="C420" s="37" t="s">
        <v>67</v>
      </c>
      <c r="D420" s="37">
        <v>23</v>
      </c>
      <c r="E420" s="37" t="s">
        <v>345</v>
      </c>
      <c r="YS420" s="38" t="e">
        <f>RIGHT(CONCATENATE(0,#REF!),7)</f>
        <v>#REF!</v>
      </c>
    </row>
    <row r="421" spans="1:669" hidden="1">
      <c r="A421" s="35">
        <v>139</v>
      </c>
      <c r="B421" s="38">
        <v>3</v>
      </c>
      <c r="C421" s="37" t="s">
        <v>67</v>
      </c>
      <c r="D421" s="37">
        <v>24</v>
      </c>
      <c r="E421" s="37" t="s">
        <v>346</v>
      </c>
      <c r="YS421" s="38" t="e">
        <f>RIGHT(CONCATENATE(0,#REF!),7)</f>
        <v>#REF!</v>
      </c>
    </row>
    <row r="422" spans="1:669" hidden="1">
      <c r="A422" s="35">
        <v>140</v>
      </c>
      <c r="B422" s="38">
        <v>3</v>
      </c>
      <c r="C422" s="37" t="s">
        <v>67</v>
      </c>
      <c r="D422" s="37">
        <v>25</v>
      </c>
      <c r="E422" s="37" t="s">
        <v>347</v>
      </c>
      <c r="YS422" s="38" t="e">
        <f>RIGHT(CONCATENATE(0,#REF!),7)</f>
        <v>#REF!</v>
      </c>
    </row>
    <row r="423" spans="1:669" hidden="1">
      <c r="A423" s="35">
        <v>141</v>
      </c>
      <c r="B423" s="38">
        <v>3</v>
      </c>
      <c r="C423" s="37" t="s">
        <v>67</v>
      </c>
      <c r="D423" s="37">
        <v>26</v>
      </c>
      <c r="E423" s="37" t="s">
        <v>349</v>
      </c>
      <c r="YS423" s="38" t="e">
        <f>RIGHT(CONCATENATE(0,#REF!),7)</f>
        <v>#REF!</v>
      </c>
    </row>
    <row r="424" spans="1:669" hidden="1">
      <c r="A424" s="35">
        <v>142</v>
      </c>
      <c r="B424" s="38">
        <v>3</v>
      </c>
      <c r="C424" s="37" t="s">
        <v>67</v>
      </c>
      <c r="D424" s="37">
        <v>27</v>
      </c>
      <c r="E424" s="37" t="s">
        <v>352</v>
      </c>
      <c r="YS424" s="38" t="e">
        <f>RIGHT(CONCATENATE(0,#REF!),7)</f>
        <v>#REF!</v>
      </c>
    </row>
    <row r="425" spans="1:669" hidden="1">
      <c r="A425" s="35">
        <v>143</v>
      </c>
      <c r="B425" s="38">
        <v>3</v>
      </c>
      <c r="C425" s="37" t="s">
        <v>67</v>
      </c>
      <c r="D425" s="37">
        <v>28</v>
      </c>
      <c r="E425" s="37" t="s">
        <v>353</v>
      </c>
      <c r="YS425" s="38" t="e">
        <f>RIGHT(CONCATENATE(0,#REF!),7)</f>
        <v>#REF!</v>
      </c>
    </row>
    <row r="426" spans="1:669" hidden="1">
      <c r="A426" s="35">
        <v>144</v>
      </c>
      <c r="B426" s="38">
        <v>3</v>
      </c>
      <c r="C426" s="37" t="s">
        <v>67</v>
      </c>
      <c r="D426" s="37">
        <v>29</v>
      </c>
      <c r="E426" s="37" t="s">
        <v>354</v>
      </c>
      <c r="YS426" s="38" t="e">
        <f>RIGHT(CONCATENATE(0,#REF!),7)</f>
        <v>#REF!</v>
      </c>
    </row>
    <row r="427" spans="1:669" ht="28.9" hidden="1" customHeight="1">
      <c r="A427" s="35">
        <v>145</v>
      </c>
      <c r="B427" s="38">
        <v>3</v>
      </c>
      <c r="C427" s="37" t="s">
        <v>67</v>
      </c>
      <c r="D427" s="37">
        <v>30</v>
      </c>
      <c r="E427" s="37" t="s">
        <v>355</v>
      </c>
      <c r="YS427" s="38" t="e">
        <f>RIGHT(CONCATENATE(0,#REF!),7)</f>
        <v>#REF!</v>
      </c>
    </row>
    <row r="428" spans="1:669" hidden="1">
      <c r="A428" s="35">
        <v>146</v>
      </c>
      <c r="B428" s="38">
        <v>3</v>
      </c>
      <c r="C428" s="37" t="s">
        <v>67</v>
      </c>
      <c r="D428" s="37">
        <v>31</v>
      </c>
      <c r="E428" s="37" t="s">
        <v>356</v>
      </c>
      <c r="YS428" s="38" t="e">
        <f>RIGHT(CONCATENATE(0,#REF!),7)</f>
        <v>#REF!</v>
      </c>
    </row>
    <row r="429" spans="1:669" hidden="1">
      <c r="A429" s="35">
        <v>147</v>
      </c>
      <c r="B429" s="38">
        <v>3</v>
      </c>
      <c r="C429" s="37" t="s">
        <v>67</v>
      </c>
      <c r="D429" s="37">
        <v>32</v>
      </c>
      <c r="E429" s="37" t="s">
        <v>357</v>
      </c>
      <c r="YS429" s="38" t="e">
        <f>RIGHT(CONCATENATE(0,#REF!),7)</f>
        <v>#REF!</v>
      </c>
    </row>
    <row r="430" spans="1:669" hidden="1">
      <c r="A430" s="35">
        <v>148</v>
      </c>
      <c r="B430" s="38">
        <v>3</v>
      </c>
      <c r="C430" s="37" t="s">
        <v>67</v>
      </c>
      <c r="D430" s="37">
        <v>33</v>
      </c>
      <c r="E430" s="37" t="s">
        <v>358</v>
      </c>
      <c r="YS430" s="38" t="e">
        <f>RIGHT(CONCATENATE(0,#REF!),7)</f>
        <v>#REF!</v>
      </c>
    </row>
    <row r="431" spans="1:669" hidden="1">
      <c r="A431" s="35">
        <v>149</v>
      </c>
      <c r="B431" s="38">
        <v>3</v>
      </c>
      <c r="C431" s="37" t="s">
        <v>67</v>
      </c>
      <c r="D431" s="37">
        <v>34</v>
      </c>
      <c r="E431" s="37" t="s">
        <v>359</v>
      </c>
      <c r="YS431" s="38" t="e">
        <f>RIGHT(CONCATENATE(0,#REF!),7)</f>
        <v>#REF!</v>
      </c>
    </row>
    <row r="432" spans="1:669" hidden="1">
      <c r="A432" s="35">
        <v>150</v>
      </c>
      <c r="B432" s="38">
        <v>3</v>
      </c>
      <c r="C432" s="37" t="s">
        <v>67</v>
      </c>
      <c r="D432" s="37">
        <v>35</v>
      </c>
      <c r="E432" s="37" t="s">
        <v>360</v>
      </c>
      <c r="YS432" s="38" t="e">
        <f>RIGHT(CONCATENATE(0,#REF!),7)</f>
        <v>#REF!</v>
      </c>
    </row>
    <row r="433" spans="1:669" hidden="1">
      <c r="A433" s="35">
        <v>151</v>
      </c>
      <c r="B433" s="38">
        <v>3</v>
      </c>
      <c r="C433" s="37" t="s">
        <v>67</v>
      </c>
      <c r="D433" s="37">
        <v>36</v>
      </c>
      <c r="E433" s="37" t="s">
        <v>361</v>
      </c>
      <c r="YS433" s="38" t="e">
        <f>RIGHT(CONCATENATE(0,#REF!),7)</f>
        <v>#REF!</v>
      </c>
    </row>
    <row r="434" spans="1:669" hidden="1">
      <c r="A434" s="35">
        <v>152</v>
      </c>
      <c r="B434" s="38">
        <v>3</v>
      </c>
      <c r="C434" s="37" t="s">
        <v>67</v>
      </c>
      <c r="D434" s="37">
        <v>37</v>
      </c>
      <c r="E434" s="37" t="s">
        <v>362</v>
      </c>
      <c r="YS434" s="38" t="e">
        <f>RIGHT(CONCATENATE(0,#REF!),7)</f>
        <v>#REF!</v>
      </c>
    </row>
    <row r="435" spans="1:669" hidden="1">
      <c r="A435" s="35">
        <v>153</v>
      </c>
      <c r="B435" s="38">
        <v>3</v>
      </c>
      <c r="C435" s="37" t="s">
        <v>67</v>
      </c>
      <c r="D435" s="37">
        <v>38</v>
      </c>
      <c r="E435" s="37" t="s">
        <v>363</v>
      </c>
      <c r="YS435" s="38" t="e">
        <f>RIGHT(CONCATENATE(0,#REF!),7)</f>
        <v>#REF!</v>
      </c>
    </row>
    <row r="436" spans="1:669" hidden="1">
      <c r="A436" s="35">
        <v>154</v>
      </c>
      <c r="B436" s="38">
        <v>3</v>
      </c>
      <c r="C436" s="37" t="s">
        <v>67</v>
      </c>
      <c r="D436" s="37">
        <v>39</v>
      </c>
      <c r="E436" s="37" t="s">
        <v>364</v>
      </c>
      <c r="YS436" s="38" t="e">
        <f>RIGHT(CONCATENATE(0,#REF!),7)</f>
        <v>#REF!</v>
      </c>
    </row>
    <row r="437" spans="1:669" hidden="1">
      <c r="A437" s="35">
        <v>155</v>
      </c>
      <c r="B437" s="38">
        <v>3</v>
      </c>
      <c r="C437" s="37" t="s">
        <v>67</v>
      </c>
      <c r="D437" s="37">
        <v>40</v>
      </c>
      <c r="E437" s="37" t="s">
        <v>365</v>
      </c>
      <c r="YS437" s="38" t="e">
        <f>RIGHT(CONCATENATE(0,#REF!),7)</f>
        <v>#REF!</v>
      </c>
    </row>
    <row r="438" spans="1:669" hidden="1">
      <c r="A438" s="35">
        <v>156</v>
      </c>
      <c r="B438" s="38">
        <v>3</v>
      </c>
      <c r="C438" s="37" t="s">
        <v>67</v>
      </c>
      <c r="D438" s="37">
        <v>41</v>
      </c>
      <c r="E438" s="37" t="s">
        <v>366</v>
      </c>
      <c r="YS438" s="38" t="e">
        <f>RIGHT(CONCATENATE(0,#REF!),7)</f>
        <v>#REF!</v>
      </c>
    </row>
    <row r="439" spans="1:669" hidden="1">
      <c r="A439" s="35">
        <v>157</v>
      </c>
      <c r="B439" s="38">
        <v>3</v>
      </c>
      <c r="C439" s="37" t="s">
        <v>67</v>
      </c>
      <c r="D439" s="37">
        <v>42</v>
      </c>
      <c r="E439" s="37" t="s">
        <v>367</v>
      </c>
      <c r="YS439" s="38" t="e">
        <f>RIGHT(CONCATENATE(0,#REF!),7)</f>
        <v>#REF!</v>
      </c>
    </row>
    <row r="440" spans="1:669" hidden="1">
      <c r="A440" s="35">
        <v>158</v>
      </c>
      <c r="B440" s="38">
        <v>3</v>
      </c>
      <c r="C440" s="37" t="s">
        <v>67</v>
      </c>
      <c r="D440" s="37">
        <v>43</v>
      </c>
      <c r="E440" s="37" t="s">
        <v>368</v>
      </c>
      <c r="YS440" s="38" t="e">
        <f>RIGHT(CONCATENATE(0,#REF!),7)</f>
        <v>#REF!</v>
      </c>
    </row>
    <row r="441" spans="1:669" hidden="1">
      <c r="A441" s="35">
        <v>159</v>
      </c>
      <c r="B441" s="38">
        <v>3</v>
      </c>
      <c r="C441" s="37" t="s">
        <v>67</v>
      </c>
      <c r="D441" s="37">
        <v>44</v>
      </c>
      <c r="E441" s="37" t="s">
        <v>369</v>
      </c>
      <c r="YS441" s="38" t="e">
        <f>RIGHT(CONCATENATE(0,#REF!),7)</f>
        <v>#REF!</v>
      </c>
    </row>
    <row r="442" spans="1:669" hidden="1">
      <c r="A442" s="35">
        <v>160</v>
      </c>
      <c r="B442" s="38">
        <v>3</v>
      </c>
      <c r="C442" s="37" t="s">
        <v>67</v>
      </c>
      <c r="D442" s="37">
        <v>45</v>
      </c>
      <c r="E442" s="37" t="s">
        <v>370</v>
      </c>
      <c r="YS442" s="38" t="e">
        <f>RIGHT(CONCATENATE(0,#REF!),7)</f>
        <v>#REF!</v>
      </c>
    </row>
    <row r="443" spans="1:669" ht="15.6" hidden="1" customHeight="1">
      <c r="A443" s="35">
        <v>161</v>
      </c>
      <c r="B443" s="38">
        <v>3</v>
      </c>
      <c r="C443" s="37" t="s">
        <v>67</v>
      </c>
      <c r="D443" s="37">
        <v>46</v>
      </c>
      <c r="E443" s="37" t="s">
        <v>371</v>
      </c>
      <c r="YS443" s="38" t="e">
        <f>RIGHT(CONCATENATE(0,#REF!),7)</f>
        <v>#REF!</v>
      </c>
    </row>
    <row r="444" spans="1:669" hidden="1">
      <c r="A444" s="35">
        <v>162</v>
      </c>
      <c r="B444" s="38">
        <v>3</v>
      </c>
      <c r="C444" s="37" t="s">
        <v>67</v>
      </c>
      <c r="D444" s="37">
        <v>47</v>
      </c>
      <c r="E444" s="37" t="s">
        <v>372</v>
      </c>
      <c r="YS444" s="38" t="e">
        <f>RIGHT(CONCATENATE(0,#REF!),7)</f>
        <v>#REF!</v>
      </c>
    </row>
    <row r="445" spans="1:669" hidden="1">
      <c r="A445" s="35">
        <v>163</v>
      </c>
      <c r="B445" s="38">
        <v>3</v>
      </c>
      <c r="C445" s="37" t="s">
        <v>67</v>
      </c>
      <c r="D445" s="37">
        <v>48</v>
      </c>
      <c r="E445" s="37" t="s">
        <v>373</v>
      </c>
      <c r="YS445" s="38" t="e">
        <f>RIGHT(CONCATENATE(0,#REF!),7)</f>
        <v>#REF!</v>
      </c>
    </row>
    <row r="446" spans="1:669" hidden="1">
      <c r="A446" s="35">
        <v>164</v>
      </c>
      <c r="B446" s="38">
        <v>3</v>
      </c>
      <c r="C446" s="37" t="s">
        <v>67</v>
      </c>
      <c r="D446" s="37">
        <v>49</v>
      </c>
      <c r="E446" s="37" t="s">
        <v>374</v>
      </c>
      <c r="YS446" s="38" t="e">
        <f>RIGHT(CONCATENATE(0,#REF!),7)</f>
        <v>#REF!</v>
      </c>
    </row>
    <row r="447" spans="1:669" hidden="1">
      <c r="A447" s="35">
        <v>165</v>
      </c>
      <c r="B447" s="38">
        <v>3</v>
      </c>
      <c r="C447" s="37" t="s">
        <v>67</v>
      </c>
      <c r="D447" s="37">
        <v>50</v>
      </c>
      <c r="E447" s="37" t="s">
        <v>375</v>
      </c>
      <c r="YS447" s="38" t="e">
        <f>RIGHT(CONCATENATE(0,#REF!),7)</f>
        <v>#REF!</v>
      </c>
    </row>
    <row r="448" spans="1:669" hidden="1">
      <c r="A448" s="35">
        <v>166</v>
      </c>
      <c r="B448" s="38">
        <v>3</v>
      </c>
      <c r="C448" s="37" t="s">
        <v>67</v>
      </c>
      <c r="D448" s="37">
        <v>51</v>
      </c>
      <c r="E448" s="37" t="s">
        <v>376</v>
      </c>
      <c r="YS448" s="38" t="e">
        <f>RIGHT(CONCATENATE(0,#REF!),7)</f>
        <v>#REF!</v>
      </c>
    </row>
    <row r="449" spans="1:669" hidden="1">
      <c r="A449" s="35">
        <v>167</v>
      </c>
      <c r="B449" s="38">
        <v>3</v>
      </c>
      <c r="C449" s="37" t="s">
        <v>67</v>
      </c>
      <c r="D449" s="37">
        <v>52</v>
      </c>
      <c r="E449" s="37" t="s">
        <v>377</v>
      </c>
      <c r="YS449" s="38" t="e">
        <f>RIGHT(CONCATENATE(0,#REF!),7)</f>
        <v>#REF!</v>
      </c>
    </row>
    <row r="450" spans="1:669" hidden="1">
      <c r="A450" s="35">
        <v>168</v>
      </c>
      <c r="B450" s="38">
        <v>3</v>
      </c>
      <c r="C450" s="37" t="s">
        <v>67</v>
      </c>
      <c r="D450" s="37">
        <v>53</v>
      </c>
      <c r="E450" s="37" t="s">
        <v>378</v>
      </c>
      <c r="YS450" s="38" t="e">
        <f>RIGHT(CONCATENATE(0,#REF!),7)</f>
        <v>#REF!</v>
      </c>
    </row>
    <row r="451" spans="1:669" hidden="1">
      <c r="A451" s="35">
        <v>169</v>
      </c>
      <c r="B451" s="38">
        <v>3</v>
      </c>
      <c r="C451" s="37" t="s">
        <v>67</v>
      </c>
      <c r="D451" s="37">
        <v>54</v>
      </c>
      <c r="E451" s="37" t="s">
        <v>379</v>
      </c>
      <c r="YS451" s="38" t="e">
        <f>RIGHT(CONCATENATE(0,#REF!),7)</f>
        <v>#REF!</v>
      </c>
    </row>
    <row r="452" spans="1:669" hidden="1">
      <c r="A452" s="35">
        <v>170</v>
      </c>
      <c r="B452" s="38">
        <v>3</v>
      </c>
      <c r="C452" s="37" t="s">
        <v>67</v>
      </c>
      <c r="D452" s="37">
        <v>55</v>
      </c>
      <c r="E452" s="37" t="s">
        <v>380</v>
      </c>
      <c r="YS452" s="38" t="e">
        <f>RIGHT(CONCATENATE(0,#REF!),7)</f>
        <v>#REF!</v>
      </c>
    </row>
    <row r="453" spans="1:669" hidden="1">
      <c r="A453" s="35">
        <v>171</v>
      </c>
      <c r="B453" s="38">
        <v>3</v>
      </c>
      <c r="C453" s="37" t="s">
        <v>67</v>
      </c>
      <c r="D453" s="37">
        <v>56</v>
      </c>
      <c r="E453" s="37" t="s">
        <v>381</v>
      </c>
      <c r="YS453" s="38" t="e">
        <f>RIGHT(CONCATENATE(0,#REF!),7)</f>
        <v>#REF!</v>
      </c>
    </row>
    <row r="454" spans="1:669" hidden="1">
      <c r="A454" s="35">
        <v>172</v>
      </c>
      <c r="B454" s="38">
        <v>3</v>
      </c>
      <c r="C454" s="37" t="s">
        <v>67</v>
      </c>
      <c r="D454" s="37">
        <v>57</v>
      </c>
      <c r="E454" s="37" t="s">
        <v>382</v>
      </c>
      <c r="YS454" s="38" t="e">
        <f>RIGHT(CONCATENATE(0,#REF!),7)</f>
        <v>#REF!</v>
      </c>
    </row>
    <row r="455" spans="1:669" hidden="1">
      <c r="A455" s="35">
        <v>173</v>
      </c>
      <c r="B455" s="38">
        <v>3</v>
      </c>
      <c r="C455" s="37" t="s">
        <v>67</v>
      </c>
      <c r="D455" s="37">
        <v>58</v>
      </c>
      <c r="E455" s="37" t="s">
        <v>383</v>
      </c>
      <c r="YS455" s="38" t="e">
        <f>RIGHT(CONCATENATE(0,#REF!),7)</f>
        <v>#REF!</v>
      </c>
    </row>
    <row r="456" spans="1:669" hidden="1">
      <c r="A456" s="35">
        <v>174</v>
      </c>
      <c r="B456" s="38">
        <v>3</v>
      </c>
      <c r="C456" s="37" t="s">
        <v>67</v>
      </c>
      <c r="D456" s="37">
        <v>59</v>
      </c>
      <c r="E456" s="37" t="s">
        <v>384</v>
      </c>
      <c r="YS456" s="38" t="e">
        <f>RIGHT(CONCATENATE(0,#REF!),7)</f>
        <v>#REF!</v>
      </c>
    </row>
    <row r="457" spans="1:669" hidden="1">
      <c r="A457" s="35">
        <v>175</v>
      </c>
      <c r="B457" s="38">
        <v>3</v>
      </c>
      <c r="C457" s="37" t="s">
        <v>67</v>
      </c>
      <c r="D457" s="37">
        <v>60</v>
      </c>
      <c r="E457" s="37" t="s">
        <v>385</v>
      </c>
      <c r="YS457" s="38" t="e">
        <f>RIGHT(CONCATENATE(0,#REF!),7)</f>
        <v>#REF!</v>
      </c>
    </row>
    <row r="458" spans="1:669" hidden="1">
      <c r="A458" s="35">
        <v>176</v>
      </c>
      <c r="B458" s="38">
        <v>3</v>
      </c>
      <c r="C458" s="37" t="s">
        <v>67</v>
      </c>
      <c r="D458" s="37">
        <v>61</v>
      </c>
      <c r="E458" s="37" t="s">
        <v>72</v>
      </c>
      <c r="YS458" s="38" t="e">
        <f>RIGHT(CONCATENATE(0,#REF!),7)</f>
        <v>#REF!</v>
      </c>
    </row>
    <row r="459" spans="1:669" hidden="1">
      <c r="A459" s="35">
        <v>177</v>
      </c>
      <c r="B459" s="38">
        <v>3</v>
      </c>
      <c r="C459" s="37" t="s">
        <v>67</v>
      </c>
      <c r="D459" s="37">
        <v>62</v>
      </c>
      <c r="E459" s="37" t="s">
        <v>386</v>
      </c>
      <c r="YS459" s="38" t="e">
        <f>RIGHT(CONCATENATE(0,#REF!),7)</f>
        <v>#REF!</v>
      </c>
    </row>
    <row r="460" spans="1:669" hidden="1">
      <c r="A460" s="35">
        <v>178</v>
      </c>
      <c r="B460" s="38">
        <v>3</v>
      </c>
      <c r="C460" s="37" t="s">
        <v>67</v>
      </c>
      <c r="D460" s="37">
        <v>63</v>
      </c>
      <c r="E460" s="37" t="s">
        <v>387</v>
      </c>
      <c r="YS460" s="38" t="e">
        <f>RIGHT(CONCATENATE(0,#REF!),7)</f>
        <v>#REF!</v>
      </c>
    </row>
    <row r="461" spans="1:669" hidden="1">
      <c r="A461" s="35">
        <v>179</v>
      </c>
      <c r="B461" s="38">
        <v>3</v>
      </c>
      <c r="C461" s="37" t="s">
        <v>67</v>
      </c>
      <c r="D461" s="37">
        <v>64</v>
      </c>
      <c r="E461" s="37" t="s">
        <v>388</v>
      </c>
      <c r="YS461" s="38" t="e">
        <f>RIGHT(CONCATENATE(0,#REF!),7)</f>
        <v>#REF!</v>
      </c>
    </row>
    <row r="462" spans="1:669" hidden="1">
      <c r="A462" s="35">
        <v>180</v>
      </c>
      <c r="B462" s="38">
        <v>3</v>
      </c>
      <c r="C462" s="37" t="s">
        <v>67</v>
      </c>
      <c r="D462" s="37">
        <v>65</v>
      </c>
      <c r="E462" s="37" t="s">
        <v>389</v>
      </c>
      <c r="YS462" s="38" t="e">
        <f>RIGHT(CONCATENATE(0,#REF!),7)</f>
        <v>#REF!</v>
      </c>
    </row>
    <row r="463" spans="1:669" hidden="1">
      <c r="A463" s="35">
        <v>181</v>
      </c>
      <c r="B463" s="38">
        <v>3</v>
      </c>
      <c r="C463" s="37" t="s">
        <v>67</v>
      </c>
      <c r="D463" s="37">
        <v>66</v>
      </c>
      <c r="E463" s="37" t="s">
        <v>390</v>
      </c>
      <c r="YS463" s="38" t="e">
        <f>RIGHT(CONCATENATE(0,#REF!),7)</f>
        <v>#REF!</v>
      </c>
    </row>
    <row r="464" spans="1:669" hidden="1">
      <c r="A464" s="35">
        <v>182</v>
      </c>
      <c r="B464" s="38">
        <v>4</v>
      </c>
      <c r="C464" s="37" t="s">
        <v>82</v>
      </c>
      <c r="D464" s="37">
        <v>1</v>
      </c>
      <c r="E464" s="37" t="s">
        <v>391</v>
      </c>
      <c r="YS464" s="38" t="e">
        <f>RIGHT(CONCATENATE(0,#REF!),7)</f>
        <v>#REF!</v>
      </c>
    </row>
    <row r="465" spans="1:669" hidden="1">
      <c r="A465" s="35">
        <v>183</v>
      </c>
      <c r="B465" s="38">
        <v>4</v>
      </c>
      <c r="C465" s="37" t="s">
        <v>82</v>
      </c>
      <c r="D465" s="37">
        <v>2</v>
      </c>
      <c r="E465" s="37" t="s">
        <v>392</v>
      </c>
      <c r="YS465" s="38" t="e">
        <f>RIGHT(CONCATENATE(0,#REF!),7)</f>
        <v>#REF!</v>
      </c>
    </row>
    <row r="466" spans="1:669" hidden="1">
      <c r="A466" s="35">
        <v>184</v>
      </c>
      <c r="B466" s="38">
        <v>4</v>
      </c>
      <c r="C466" s="37" t="s">
        <v>82</v>
      </c>
      <c r="D466" s="37">
        <v>3</v>
      </c>
      <c r="E466" s="37" t="s">
        <v>393</v>
      </c>
      <c r="YS466" s="38" t="e">
        <f>RIGHT(CONCATENATE(0,#REF!),7)</f>
        <v>#REF!</v>
      </c>
    </row>
    <row r="467" spans="1:669" hidden="1">
      <c r="A467" s="35">
        <v>185</v>
      </c>
      <c r="B467" s="38">
        <v>4</v>
      </c>
      <c r="C467" s="37" t="s">
        <v>82</v>
      </c>
      <c r="D467" s="37">
        <v>4</v>
      </c>
      <c r="E467" s="37" t="s">
        <v>394</v>
      </c>
      <c r="YS467" s="38" t="e">
        <f>RIGHT(CONCATENATE(0,#REF!),7)</f>
        <v>#REF!</v>
      </c>
    </row>
    <row r="468" spans="1:669" hidden="1">
      <c r="A468" s="35">
        <v>186</v>
      </c>
      <c r="B468" s="38">
        <v>4</v>
      </c>
      <c r="C468" s="37" t="s">
        <v>82</v>
      </c>
      <c r="D468" s="37">
        <v>5</v>
      </c>
      <c r="E468" s="37" t="s">
        <v>395</v>
      </c>
      <c r="YS468" s="38" t="e">
        <f>RIGHT(CONCATENATE(0,#REF!),7)</f>
        <v>#REF!</v>
      </c>
    </row>
    <row r="469" spans="1:669" hidden="1">
      <c r="A469" s="35">
        <v>187</v>
      </c>
      <c r="B469" s="38">
        <v>4</v>
      </c>
      <c r="C469" s="37" t="s">
        <v>82</v>
      </c>
      <c r="D469" s="37">
        <v>6</v>
      </c>
      <c r="E469" s="37" t="s">
        <v>396</v>
      </c>
      <c r="YS469" s="38" t="e">
        <f>RIGHT(CONCATENATE(0,#REF!),7)</f>
        <v>#REF!</v>
      </c>
    </row>
    <row r="470" spans="1:669" hidden="1">
      <c r="A470" s="35">
        <v>188</v>
      </c>
      <c r="B470" s="38">
        <v>4</v>
      </c>
      <c r="C470" s="37" t="s">
        <v>82</v>
      </c>
      <c r="D470" s="37">
        <v>7</v>
      </c>
      <c r="E470" s="37" t="s">
        <v>397</v>
      </c>
      <c r="YS470" s="38" t="e">
        <f>RIGHT(CONCATENATE(0,#REF!),7)</f>
        <v>#REF!</v>
      </c>
    </row>
    <row r="471" spans="1:669" hidden="1">
      <c r="A471" s="35">
        <v>189</v>
      </c>
      <c r="B471" s="38">
        <v>4</v>
      </c>
      <c r="C471" s="37" t="s">
        <v>82</v>
      </c>
      <c r="D471" s="37">
        <v>8</v>
      </c>
      <c r="E471" s="37" t="s">
        <v>398</v>
      </c>
      <c r="YS471" s="38" t="e">
        <f>RIGHT(CONCATENATE(0,#REF!),7)</f>
        <v>#REF!</v>
      </c>
    </row>
    <row r="472" spans="1:669" hidden="1">
      <c r="A472" s="35">
        <v>190</v>
      </c>
      <c r="B472" s="38">
        <v>4</v>
      </c>
      <c r="C472" s="37" t="s">
        <v>82</v>
      </c>
      <c r="D472" s="37">
        <v>9</v>
      </c>
      <c r="E472" s="37" t="s">
        <v>399</v>
      </c>
      <c r="YS472" s="38" t="e">
        <f>RIGHT(CONCATENATE(0,#REF!),7)</f>
        <v>#REF!</v>
      </c>
    </row>
    <row r="473" spans="1:669" hidden="1">
      <c r="A473" s="35">
        <v>191</v>
      </c>
      <c r="B473" s="38">
        <v>4</v>
      </c>
      <c r="C473" s="37" t="s">
        <v>82</v>
      </c>
      <c r="D473" s="37">
        <v>10</v>
      </c>
      <c r="E473" s="37" t="s">
        <v>400</v>
      </c>
      <c r="YS473" s="38" t="e">
        <f>RIGHT(CONCATENATE(0,#REF!),7)</f>
        <v>#REF!</v>
      </c>
    </row>
    <row r="474" spans="1:669" hidden="1">
      <c r="A474" s="35">
        <v>192</v>
      </c>
      <c r="B474" s="38">
        <v>4</v>
      </c>
      <c r="C474" s="37" t="s">
        <v>82</v>
      </c>
      <c r="D474" s="37">
        <v>11</v>
      </c>
      <c r="E474" s="37" t="s">
        <v>401</v>
      </c>
      <c r="YS474" s="38" t="e">
        <f>RIGHT(CONCATENATE(0,#REF!),7)</f>
        <v>#REF!</v>
      </c>
    </row>
    <row r="475" spans="1:669" hidden="1">
      <c r="A475" s="35">
        <v>193</v>
      </c>
      <c r="B475" s="38">
        <v>4</v>
      </c>
      <c r="C475" s="37" t="s">
        <v>82</v>
      </c>
      <c r="D475" s="37">
        <v>12</v>
      </c>
      <c r="E475" s="37" t="s">
        <v>325</v>
      </c>
      <c r="YS475" s="38" t="e">
        <f>RIGHT(CONCATENATE(0,#REF!),7)</f>
        <v>#REF!</v>
      </c>
    </row>
    <row r="476" spans="1:669" hidden="1">
      <c r="A476" s="35">
        <v>194</v>
      </c>
      <c r="B476" s="38">
        <v>4</v>
      </c>
      <c r="C476" s="37" t="s">
        <v>82</v>
      </c>
      <c r="D476" s="37">
        <v>13</v>
      </c>
      <c r="E476" s="37" t="s">
        <v>402</v>
      </c>
      <c r="YS476" s="38" t="e">
        <f>RIGHT(CONCATENATE(0,#REF!),7)</f>
        <v>#REF!</v>
      </c>
    </row>
    <row r="477" spans="1:669" hidden="1">
      <c r="A477" s="35">
        <v>195</v>
      </c>
      <c r="B477" s="38">
        <v>4</v>
      </c>
      <c r="C477" s="37" t="s">
        <v>82</v>
      </c>
      <c r="D477" s="37">
        <v>14</v>
      </c>
      <c r="E477" s="37" t="s">
        <v>403</v>
      </c>
      <c r="YS477" s="38" t="e">
        <f>RIGHT(CONCATENATE(0,#REF!),7)</f>
        <v>#REF!</v>
      </c>
    </row>
    <row r="478" spans="1:669" hidden="1">
      <c r="A478" s="35">
        <v>196</v>
      </c>
      <c r="B478" s="38">
        <v>4</v>
      </c>
      <c r="C478" s="37" t="s">
        <v>82</v>
      </c>
      <c r="D478" s="37">
        <v>15</v>
      </c>
      <c r="E478" s="37" t="s">
        <v>404</v>
      </c>
      <c r="YS478" s="38" t="e">
        <f>RIGHT(CONCATENATE(0,#REF!),7)</f>
        <v>#REF!</v>
      </c>
    </row>
    <row r="479" spans="1:669" hidden="1">
      <c r="A479" s="35">
        <v>197</v>
      </c>
      <c r="B479" s="38">
        <v>4</v>
      </c>
      <c r="C479" s="37" t="s">
        <v>82</v>
      </c>
      <c r="D479" s="37">
        <v>16</v>
      </c>
      <c r="E479" s="37" t="s">
        <v>405</v>
      </c>
      <c r="YS479" s="38" t="e">
        <f>RIGHT(CONCATENATE(0,#REF!),7)</f>
        <v>#REF!</v>
      </c>
    </row>
    <row r="480" spans="1:669" hidden="1">
      <c r="A480" s="35">
        <v>198</v>
      </c>
      <c r="B480" s="38">
        <v>4</v>
      </c>
      <c r="C480" s="37" t="s">
        <v>82</v>
      </c>
      <c r="D480" s="37">
        <v>17</v>
      </c>
      <c r="E480" s="37" t="s">
        <v>406</v>
      </c>
      <c r="YS480" s="38" t="e">
        <f>RIGHT(CONCATENATE(0,#REF!),7)</f>
        <v>#REF!</v>
      </c>
    </row>
    <row r="481" spans="1:669" hidden="1">
      <c r="A481" s="35">
        <v>199</v>
      </c>
      <c r="B481" s="38">
        <v>4</v>
      </c>
      <c r="C481" s="37" t="s">
        <v>82</v>
      </c>
      <c r="D481" s="37">
        <v>18</v>
      </c>
      <c r="E481" s="37" t="s">
        <v>407</v>
      </c>
      <c r="YS481" s="38" t="e">
        <f>RIGHT(CONCATENATE(0,#REF!),7)</f>
        <v>#REF!</v>
      </c>
    </row>
    <row r="482" spans="1:669" hidden="1">
      <c r="A482" s="35">
        <v>200</v>
      </c>
      <c r="B482" s="38">
        <v>4</v>
      </c>
      <c r="C482" s="37" t="s">
        <v>82</v>
      </c>
      <c r="D482" s="37">
        <v>19</v>
      </c>
      <c r="E482" s="37" t="s">
        <v>408</v>
      </c>
      <c r="YS482" s="38" t="e">
        <f>RIGHT(CONCATENATE(0,#REF!),7)</f>
        <v>#REF!</v>
      </c>
    </row>
    <row r="483" spans="1:669" hidden="1">
      <c r="A483" s="35">
        <v>201</v>
      </c>
      <c r="B483" s="38">
        <v>4</v>
      </c>
      <c r="C483" s="37" t="s">
        <v>82</v>
      </c>
      <c r="D483" s="37">
        <v>20</v>
      </c>
      <c r="E483" s="37" t="s">
        <v>409</v>
      </c>
      <c r="YS483" s="38" t="e">
        <f>RIGHT(CONCATENATE(0,#REF!),7)</f>
        <v>#REF!</v>
      </c>
    </row>
    <row r="484" spans="1:669" hidden="1">
      <c r="A484" s="35">
        <v>202</v>
      </c>
      <c r="B484" s="38">
        <v>4</v>
      </c>
      <c r="C484" s="37" t="s">
        <v>82</v>
      </c>
      <c r="D484" s="37">
        <v>21</v>
      </c>
      <c r="E484" s="37" t="s">
        <v>410</v>
      </c>
      <c r="YS484" s="38" t="e">
        <f>RIGHT(CONCATENATE(0,#REF!),7)</f>
        <v>#REF!</v>
      </c>
    </row>
    <row r="485" spans="1:669" hidden="1">
      <c r="A485" s="35">
        <v>203</v>
      </c>
      <c r="B485" s="38">
        <v>4</v>
      </c>
      <c r="C485" s="37" t="s">
        <v>82</v>
      </c>
      <c r="D485" s="37">
        <v>22</v>
      </c>
      <c r="E485" s="37" t="s">
        <v>411</v>
      </c>
      <c r="YS485" s="38" t="e">
        <f>RIGHT(CONCATENATE(0,#REF!),7)</f>
        <v>#REF!</v>
      </c>
    </row>
    <row r="486" spans="1:669" hidden="1">
      <c r="A486" s="35">
        <v>204</v>
      </c>
      <c r="B486" s="38">
        <v>4</v>
      </c>
      <c r="C486" s="37" t="s">
        <v>82</v>
      </c>
      <c r="D486" s="37">
        <v>23</v>
      </c>
      <c r="E486" s="37" t="s">
        <v>412</v>
      </c>
      <c r="YS486" s="38" t="e">
        <f>RIGHT(CONCATENATE(0,#REF!),7)</f>
        <v>#REF!</v>
      </c>
    </row>
    <row r="487" spans="1:669" hidden="1">
      <c r="A487" s="35">
        <v>205</v>
      </c>
      <c r="B487" s="38">
        <v>4</v>
      </c>
      <c r="C487" s="37" t="s">
        <v>82</v>
      </c>
      <c r="D487" s="37">
        <v>24</v>
      </c>
      <c r="E487" s="37" t="s">
        <v>413</v>
      </c>
      <c r="YS487" s="38" t="e">
        <f>RIGHT(CONCATENATE(0,#REF!),7)</f>
        <v>#REF!</v>
      </c>
    </row>
    <row r="488" spans="1:669" hidden="1">
      <c r="A488" s="35">
        <v>206</v>
      </c>
      <c r="B488" s="38">
        <v>4</v>
      </c>
      <c r="C488" s="37" t="s">
        <v>82</v>
      </c>
      <c r="D488" s="37">
        <v>25</v>
      </c>
      <c r="E488" s="37" t="s">
        <v>414</v>
      </c>
      <c r="YS488" s="38" t="e">
        <f>RIGHT(CONCATENATE(0,#REF!),7)</f>
        <v>#REF!</v>
      </c>
    </row>
    <row r="489" spans="1:669" hidden="1">
      <c r="A489" s="35">
        <v>207</v>
      </c>
      <c r="B489" s="38">
        <v>4</v>
      </c>
      <c r="C489" s="37" t="s">
        <v>82</v>
      </c>
      <c r="D489" s="37">
        <v>26</v>
      </c>
      <c r="E489" s="37" t="s">
        <v>415</v>
      </c>
      <c r="YS489" s="38" t="e">
        <f>RIGHT(CONCATENATE(0,#REF!),7)</f>
        <v>#REF!</v>
      </c>
    </row>
    <row r="490" spans="1:669" hidden="1">
      <c r="A490" s="35">
        <v>208</v>
      </c>
      <c r="B490" s="38">
        <v>4</v>
      </c>
      <c r="C490" s="37" t="s">
        <v>82</v>
      </c>
      <c r="D490" s="37">
        <v>27</v>
      </c>
      <c r="E490" s="37" t="s">
        <v>416</v>
      </c>
      <c r="YS490" s="38" t="e">
        <f>RIGHT(CONCATENATE(0,#REF!),7)</f>
        <v>#REF!</v>
      </c>
    </row>
    <row r="491" spans="1:669" hidden="1">
      <c r="A491" s="35">
        <v>209</v>
      </c>
      <c r="B491" s="38">
        <v>4</v>
      </c>
      <c r="C491" s="37" t="s">
        <v>82</v>
      </c>
      <c r="D491" s="37">
        <v>28</v>
      </c>
      <c r="E491" s="37" t="s">
        <v>417</v>
      </c>
      <c r="YS491" s="38" t="e">
        <f>RIGHT(CONCATENATE(0,#REF!),7)</f>
        <v>#REF!</v>
      </c>
    </row>
    <row r="492" spans="1:669" hidden="1">
      <c r="A492" s="35">
        <v>210</v>
      </c>
      <c r="B492" s="38">
        <v>4</v>
      </c>
      <c r="C492" s="37" t="s">
        <v>82</v>
      </c>
      <c r="D492" s="37">
        <v>29</v>
      </c>
      <c r="E492" s="37" t="s">
        <v>418</v>
      </c>
      <c r="YS492" s="38" t="e">
        <f>RIGHT(CONCATENATE(0,#REF!),7)</f>
        <v>#REF!</v>
      </c>
    </row>
    <row r="493" spans="1:669" hidden="1">
      <c r="A493" s="35">
        <v>211</v>
      </c>
      <c r="B493" s="38">
        <v>4</v>
      </c>
      <c r="C493" s="37" t="s">
        <v>82</v>
      </c>
      <c r="D493" s="37">
        <v>30</v>
      </c>
      <c r="E493" s="37" t="s">
        <v>419</v>
      </c>
      <c r="YS493" s="38" t="e">
        <f>RIGHT(CONCATENATE(0,#REF!),7)</f>
        <v>#REF!</v>
      </c>
    </row>
    <row r="494" spans="1:669" hidden="1">
      <c r="A494" s="35">
        <v>212</v>
      </c>
      <c r="B494" s="38">
        <v>4</v>
      </c>
      <c r="C494" s="37" t="s">
        <v>82</v>
      </c>
      <c r="D494" s="37">
        <v>31</v>
      </c>
      <c r="E494" s="37" t="s">
        <v>420</v>
      </c>
      <c r="YS494" s="38" t="e">
        <f>RIGHT(CONCATENATE(0,#REF!),7)</f>
        <v>#REF!</v>
      </c>
    </row>
    <row r="495" spans="1:669" hidden="1">
      <c r="A495" s="35">
        <v>213</v>
      </c>
      <c r="B495" s="38">
        <v>4</v>
      </c>
      <c r="C495" s="37" t="s">
        <v>82</v>
      </c>
      <c r="D495" s="37">
        <v>32</v>
      </c>
      <c r="E495" s="37" t="s">
        <v>421</v>
      </c>
      <c r="YS495" s="38" t="e">
        <f>RIGHT(CONCATENATE(0,#REF!),7)</f>
        <v>#REF!</v>
      </c>
    </row>
    <row r="496" spans="1:669" hidden="1">
      <c r="A496" s="35">
        <v>214</v>
      </c>
      <c r="B496" s="38">
        <v>4</v>
      </c>
      <c r="C496" s="37" t="s">
        <v>82</v>
      </c>
      <c r="D496" s="37">
        <v>33</v>
      </c>
      <c r="E496" s="37" t="s">
        <v>422</v>
      </c>
      <c r="YS496" s="38" t="e">
        <f>RIGHT(CONCATENATE(0,#REF!),7)</f>
        <v>#REF!</v>
      </c>
    </row>
    <row r="497" spans="1:669" hidden="1">
      <c r="A497" s="35">
        <v>215</v>
      </c>
      <c r="B497" s="38">
        <v>4</v>
      </c>
      <c r="C497" s="37" t="s">
        <v>82</v>
      </c>
      <c r="D497" s="37">
        <v>34</v>
      </c>
      <c r="E497" s="37" t="s">
        <v>423</v>
      </c>
      <c r="YS497" s="38" t="e">
        <f>RIGHT(CONCATENATE(0,#REF!),7)</f>
        <v>#REF!</v>
      </c>
    </row>
    <row r="498" spans="1:669" hidden="1">
      <c r="A498" s="35">
        <v>216</v>
      </c>
      <c r="B498" s="38">
        <v>4</v>
      </c>
      <c r="C498" s="37" t="s">
        <v>82</v>
      </c>
      <c r="D498" s="37">
        <v>35</v>
      </c>
      <c r="E498" s="37" t="s">
        <v>424</v>
      </c>
      <c r="YS498" s="38" t="e">
        <f>RIGHT(CONCATENATE(0,#REF!),7)</f>
        <v>#REF!</v>
      </c>
    </row>
    <row r="499" spans="1:669" hidden="1">
      <c r="A499" s="35">
        <v>217</v>
      </c>
      <c r="B499" s="38">
        <v>4</v>
      </c>
      <c r="C499" s="37" t="s">
        <v>82</v>
      </c>
      <c r="D499" s="37">
        <v>36</v>
      </c>
      <c r="E499" s="37" t="s">
        <v>425</v>
      </c>
      <c r="YS499" s="38" t="e">
        <f>RIGHT(CONCATENATE(0,#REF!),7)</f>
        <v>#REF!</v>
      </c>
    </row>
    <row r="500" spans="1:669" hidden="1">
      <c r="A500" s="35">
        <v>218</v>
      </c>
      <c r="B500" s="38">
        <v>4</v>
      </c>
      <c r="C500" s="37" t="s">
        <v>82</v>
      </c>
      <c r="D500" s="37">
        <v>37</v>
      </c>
      <c r="E500" s="37" t="s">
        <v>426</v>
      </c>
      <c r="YS500" s="38" t="e">
        <f>RIGHT(CONCATENATE(0,#REF!),7)</f>
        <v>#REF!</v>
      </c>
    </row>
    <row r="501" spans="1:669" hidden="1">
      <c r="A501" s="35">
        <v>219</v>
      </c>
      <c r="B501" s="38">
        <v>4</v>
      </c>
      <c r="C501" s="37" t="s">
        <v>82</v>
      </c>
      <c r="D501" s="37">
        <v>38</v>
      </c>
      <c r="E501" s="37" t="s">
        <v>427</v>
      </c>
      <c r="YS501" s="38" t="e">
        <f>RIGHT(CONCATENATE(0,#REF!),7)</f>
        <v>#REF!</v>
      </c>
    </row>
    <row r="502" spans="1:669" hidden="1">
      <c r="A502" s="35">
        <v>220</v>
      </c>
      <c r="B502" s="38">
        <v>4</v>
      </c>
      <c r="C502" s="37" t="s">
        <v>82</v>
      </c>
      <c r="D502" s="37">
        <v>39</v>
      </c>
      <c r="E502" s="37" t="s">
        <v>428</v>
      </c>
      <c r="YS502" s="38" t="e">
        <f>RIGHT(CONCATENATE(0,#REF!),7)</f>
        <v>#REF!</v>
      </c>
    </row>
    <row r="503" spans="1:669" hidden="1">
      <c r="A503" s="35">
        <v>221</v>
      </c>
      <c r="B503" s="38">
        <v>4</v>
      </c>
      <c r="C503" s="37" t="s">
        <v>82</v>
      </c>
      <c r="D503" s="37">
        <v>40</v>
      </c>
      <c r="E503" s="37" t="s">
        <v>429</v>
      </c>
      <c r="YS503" s="38" t="e">
        <f>RIGHT(CONCATENATE(0,#REF!),7)</f>
        <v>#REF!</v>
      </c>
    </row>
    <row r="504" spans="1:669" hidden="1">
      <c r="A504" s="35">
        <v>222</v>
      </c>
      <c r="B504" s="38">
        <v>4</v>
      </c>
      <c r="C504" s="37" t="s">
        <v>82</v>
      </c>
      <c r="D504" s="37">
        <v>41</v>
      </c>
      <c r="E504" s="37" t="s">
        <v>430</v>
      </c>
      <c r="YS504" s="38" t="e">
        <f>RIGHT(CONCATENATE(0,#REF!),7)</f>
        <v>#REF!</v>
      </c>
    </row>
    <row r="505" spans="1:669" hidden="1">
      <c r="A505" s="35">
        <v>223</v>
      </c>
      <c r="B505" s="38">
        <v>4</v>
      </c>
      <c r="C505" s="37" t="s">
        <v>82</v>
      </c>
      <c r="D505" s="37">
        <v>42</v>
      </c>
      <c r="E505" s="37" t="s">
        <v>431</v>
      </c>
      <c r="YS505" s="38" t="e">
        <f>RIGHT(CONCATENATE(0,#REF!),7)</f>
        <v>#REF!</v>
      </c>
    </row>
    <row r="506" spans="1:669" hidden="1">
      <c r="A506" s="35">
        <v>224</v>
      </c>
      <c r="B506" s="38">
        <v>4</v>
      </c>
      <c r="C506" s="37" t="s">
        <v>82</v>
      </c>
      <c r="D506" s="37">
        <v>43</v>
      </c>
      <c r="E506" s="37" t="s">
        <v>432</v>
      </c>
      <c r="YS506" s="38" t="e">
        <f>RIGHT(CONCATENATE(0,#REF!),7)</f>
        <v>#REF!</v>
      </c>
    </row>
    <row r="507" spans="1:669" hidden="1">
      <c r="A507" s="35">
        <v>225</v>
      </c>
      <c r="B507" s="38">
        <v>4</v>
      </c>
      <c r="C507" s="37" t="s">
        <v>82</v>
      </c>
      <c r="D507" s="37">
        <v>44</v>
      </c>
      <c r="E507" s="37" t="s">
        <v>368</v>
      </c>
      <c r="YS507" s="38" t="e">
        <f>RIGHT(CONCATENATE(0,#REF!),7)</f>
        <v>#REF!</v>
      </c>
    </row>
    <row r="508" spans="1:669" hidden="1">
      <c r="A508" s="35">
        <v>226</v>
      </c>
      <c r="B508" s="38">
        <v>4</v>
      </c>
      <c r="C508" s="37" t="s">
        <v>82</v>
      </c>
      <c r="D508" s="37">
        <v>45</v>
      </c>
      <c r="E508" s="37" t="s">
        <v>433</v>
      </c>
      <c r="YS508" s="38" t="e">
        <f>RIGHT(CONCATENATE(0,#REF!),7)</f>
        <v>#REF!</v>
      </c>
    </row>
    <row r="509" spans="1:669" hidden="1">
      <c r="A509" s="35">
        <v>227</v>
      </c>
      <c r="B509" s="38">
        <v>4</v>
      </c>
      <c r="C509" s="37" t="s">
        <v>82</v>
      </c>
      <c r="D509" s="37">
        <v>46</v>
      </c>
      <c r="E509" s="37" t="s">
        <v>434</v>
      </c>
      <c r="YS509" s="38" t="e">
        <f>RIGHT(CONCATENATE(0,#REF!),7)</f>
        <v>#REF!</v>
      </c>
    </row>
    <row r="510" spans="1:669" hidden="1">
      <c r="A510" s="35">
        <v>228</v>
      </c>
      <c r="B510" s="38">
        <v>4</v>
      </c>
      <c r="C510" s="37" t="s">
        <v>82</v>
      </c>
      <c r="D510" s="37">
        <v>47</v>
      </c>
      <c r="E510" s="37" t="s">
        <v>435</v>
      </c>
      <c r="YS510" s="38" t="e">
        <f>RIGHT(CONCATENATE(0,#REF!),7)</f>
        <v>#REF!</v>
      </c>
    </row>
    <row r="511" spans="1:669" hidden="1">
      <c r="A511" s="35">
        <v>229</v>
      </c>
      <c r="B511" s="38">
        <v>4</v>
      </c>
      <c r="C511" s="37" t="s">
        <v>82</v>
      </c>
      <c r="D511" s="37">
        <v>48</v>
      </c>
      <c r="E511" s="37" t="s">
        <v>436</v>
      </c>
      <c r="YS511" s="38" t="e">
        <f>RIGHT(CONCATENATE(0,#REF!),7)</f>
        <v>#REF!</v>
      </c>
    </row>
    <row r="512" spans="1:669" hidden="1">
      <c r="A512" s="35">
        <v>230</v>
      </c>
      <c r="B512" s="38">
        <v>4</v>
      </c>
      <c r="C512" s="37" t="s">
        <v>82</v>
      </c>
      <c r="D512" s="37">
        <v>49</v>
      </c>
      <c r="E512" s="37" t="s">
        <v>437</v>
      </c>
      <c r="YS512" s="38" t="e">
        <f>RIGHT(CONCATENATE(0,#REF!),7)</f>
        <v>#REF!</v>
      </c>
    </row>
    <row r="513" spans="1:669" hidden="1">
      <c r="A513" s="35">
        <v>231</v>
      </c>
      <c r="B513" s="38">
        <v>4</v>
      </c>
      <c r="C513" s="37" t="s">
        <v>82</v>
      </c>
      <c r="D513" s="37">
        <v>50</v>
      </c>
      <c r="E513" s="37" t="s">
        <v>438</v>
      </c>
      <c r="YS513" s="38" t="e">
        <f>RIGHT(CONCATENATE(0,#REF!),7)</f>
        <v>#REF!</v>
      </c>
    </row>
    <row r="514" spans="1:669" hidden="1">
      <c r="A514" s="35">
        <v>232</v>
      </c>
      <c r="B514" s="38">
        <v>4</v>
      </c>
      <c r="C514" s="37" t="s">
        <v>82</v>
      </c>
      <c r="D514" s="37">
        <v>51</v>
      </c>
      <c r="E514" s="37" t="s">
        <v>439</v>
      </c>
      <c r="YS514" s="38" t="e">
        <f>RIGHT(CONCATENATE(0,#REF!),7)</f>
        <v>#REF!</v>
      </c>
    </row>
    <row r="515" spans="1:669" hidden="1">
      <c r="A515" s="35">
        <v>233</v>
      </c>
      <c r="B515" s="38">
        <v>4</v>
      </c>
      <c r="C515" s="37" t="s">
        <v>82</v>
      </c>
      <c r="D515" s="37">
        <v>52</v>
      </c>
      <c r="E515" s="37" t="s">
        <v>440</v>
      </c>
      <c r="YS515" s="38" t="e">
        <f>RIGHT(CONCATENATE(0,#REF!),7)</f>
        <v>#REF!</v>
      </c>
    </row>
    <row r="516" spans="1:669" hidden="1">
      <c r="A516" s="35">
        <v>234</v>
      </c>
      <c r="B516" s="38">
        <v>4</v>
      </c>
      <c r="C516" s="37" t="s">
        <v>82</v>
      </c>
      <c r="D516" s="37">
        <v>53</v>
      </c>
      <c r="E516" s="37" t="s">
        <v>441</v>
      </c>
      <c r="YS516" s="38" t="e">
        <f>RIGHT(CONCATENATE(0,#REF!),7)</f>
        <v>#REF!</v>
      </c>
    </row>
    <row r="517" spans="1:669" hidden="1">
      <c r="A517" s="35">
        <v>235</v>
      </c>
      <c r="B517" s="38">
        <v>4</v>
      </c>
      <c r="C517" s="37" t="s">
        <v>82</v>
      </c>
      <c r="D517" s="37">
        <v>54</v>
      </c>
      <c r="E517" s="37" t="s">
        <v>442</v>
      </c>
      <c r="YS517" s="38" t="e">
        <f>RIGHT(CONCATENATE(0,#REF!),7)</f>
        <v>#REF!</v>
      </c>
    </row>
    <row r="518" spans="1:669" hidden="1">
      <c r="A518" s="35">
        <v>236</v>
      </c>
      <c r="B518" s="38">
        <v>4</v>
      </c>
      <c r="C518" s="37" t="s">
        <v>82</v>
      </c>
      <c r="D518" s="37">
        <v>55</v>
      </c>
      <c r="E518" s="37" t="s">
        <v>443</v>
      </c>
      <c r="YS518" s="38" t="e">
        <f>RIGHT(CONCATENATE(0,#REF!),7)</f>
        <v>#REF!</v>
      </c>
    </row>
    <row r="519" spans="1:669" hidden="1">
      <c r="A519" s="35">
        <v>237</v>
      </c>
      <c r="B519" s="38">
        <v>4</v>
      </c>
      <c r="C519" s="37" t="s">
        <v>82</v>
      </c>
      <c r="D519" s="37">
        <v>56</v>
      </c>
      <c r="E519" s="37" t="s">
        <v>444</v>
      </c>
      <c r="YS519" s="38" t="e">
        <f>RIGHT(CONCATENATE(0,#REF!),7)</f>
        <v>#REF!</v>
      </c>
    </row>
    <row r="520" spans="1:669" hidden="1">
      <c r="A520" s="35">
        <v>238</v>
      </c>
      <c r="B520" s="38">
        <v>4</v>
      </c>
      <c r="C520" s="37" t="s">
        <v>82</v>
      </c>
      <c r="D520" s="37">
        <v>57</v>
      </c>
      <c r="E520" s="37" t="s">
        <v>445</v>
      </c>
      <c r="YS520" s="38" t="e">
        <f>RIGHT(CONCATENATE(0,#REF!),7)</f>
        <v>#REF!</v>
      </c>
    </row>
    <row r="521" spans="1:669" hidden="1">
      <c r="A521" s="35">
        <v>239</v>
      </c>
      <c r="B521" s="38">
        <v>4</v>
      </c>
      <c r="C521" s="37" t="s">
        <v>82</v>
      </c>
      <c r="D521" s="37">
        <v>58</v>
      </c>
      <c r="E521" s="37" t="s">
        <v>446</v>
      </c>
      <c r="YS521" s="38" t="e">
        <f>RIGHT(CONCATENATE(0,#REF!),7)</f>
        <v>#REF!</v>
      </c>
    </row>
    <row r="522" spans="1:669" hidden="1">
      <c r="A522" s="35">
        <v>240</v>
      </c>
      <c r="B522" s="38">
        <v>4</v>
      </c>
      <c r="C522" s="37" t="s">
        <v>82</v>
      </c>
      <c r="D522" s="37">
        <v>59</v>
      </c>
      <c r="E522" s="37" t="s">
        <v>447</v>
      </c>
      <c r="YS522" s="38" t="e">
        <f>RIGHT(CONCATENATE(0,#REF!),7)</f>
        <v>#REF!</v>
      </c>
    </row>
    <row r="523" spans="1:669" hidden="1">
      <c r="A523" s="35">
        <v>241</v>
      </c>
      <c r="B523" s="38">
        <v>5</v>
      </c>
      <c r="C523" s="37" t="s">
        <v>85</v>
      </c>
      <c r="D523" s="37">
        <v>1</v>
      </c>
      <c r="E523" s="37" t="s">
        <v>448</v>
      </c>
      <c r="YS523" s="38" t="e">
        <f>RIGHT(CONCATENATE(0,#REF!),7)</f>
        <v>#REF!</v>
      </c>
    </row>
    <row r="524" spans="1:669" hidden="1">
      <c r="A524" s="35">
        <v>242</v>
      </c>
      <c r="B524" s="38">
        <v>5</v>
      </c>
      <c r="C524" s="37" t="s">
        <v>85</v>
      </c>
      <c r="D524" s="37">
        <v>2</v>
      </c>
      <c r="E524" s="37" t="s">
        <v>449</v>
      </c>
      <c r="YS524" s="38" t="e">
        <f>RIGHT(CONCATENATE(0,#REF!),7)</f>
        <v>#REF!</v>
      </c>
    </row>
    <row r="525" spans="1:669" hidden="1">
      <c r="A525" s="35">
        <v>243</v>
      </c>
      <c r="B525" s="38">
        <v>5</v>
      </c>
      <c r="C525" s="37" t="s">
        <v>85</v>
      </c>
      <c r="D525" s="37">
        <v>3</v>
      </c>
      <c r="E525" s="37" t="s">
        <v>450</v>
      </c>
      <c r="YS525" s="38" t="e">
        <f>RIGHT(CONCATENATE(0,#REF!),7)</f>
        <v>#REF!</v>
      </c>
    </row>
    <row r="526" spans="1:669" hidden="1">
      <c r="A526" s="35">
        <v>244</v>
      </c>
      <c r="B526" s="38">
        <v>5</v>
      </c>
      <c r="C526" s="37" t="s">
        <v>85</v>
      </c>
      <c r="D526" s="37">
        <v>4</v>
      </c>
      <c r="E526" s="37" t="s">
        <v>451</v>
      </c>
      <c r="YS526" s="38" t="e">
        <f>RIGHT(CONCATENATE(0,#REF!),7)</f>
        <v>#REF!</v>
      </c>
    </row>
    <row r="527" spans="1:669" hidden="1">
      <c r="A527" s="35">
        <v>245</v>
      </c>
      <c r="B527" s="38">
        <v>5</v>
      </c>
      <c r="C527" s="37" t="s">
        <v>85</v>
      </c>
      <c r="D527" s="37">
        <v>5</v>
      </c>
      <c r="E527" s="37" t="s">
        <v>452</v>
      </c>
      <c r="YS527" s="38" t="e">
        <f>RIGHT(CONCATENATE(0,#REF!),7)</f>
        <v>#REF!</v>
      </c>
    </row>
    <row r="528" spans="1:669" hidden="1">
      <c r="A528" s="35">
        <v>246</v>
      </c>
      <c r="B528" s="38">
        <v>5</v>
      </c>
      <c r="C528" s="37" t="s">
        <v>85</v>
      </c>
      <c r="D528" s="37">
        <v>6</v>
      </c>
      <c r="E528" s="37" t="s">
        <v>453</v>
      </c>
      <c r="YS528" s="38" t="e">
        <f>RIGHT(CONCATENATE(0,#REF!),7)</f>
        <v>#REF!</v>
      </c>
    </row>
    <row r="529" spans="1:669" hidden="1">
      <c r="A529" s="35">
        <v>247</v>
      </c>
      <c r="B529" s="38">
        <v>5</v>
      </c>
      <c r="C529" s="37" t="s">
        <v>85</v>
      </c>
      <c r="D529" s="37">
        <v>7</v>
      </c>
      <c r="E529" s="37" t="s">
        <v>454</v>
      </c>
      <c r="YS529" s="38" t="e">
        <f>RIGHT(CONCATENATE(0,#REF!),7)</f>
        <v>#REF!</v>
      </c>
    </row>
    <row r="530" spans="1:669" hidden="1">
      <c r="A530" s="35">
        <v>248</v>
      </c>
      <c r="B530" s="38">
        <v>5</v>
      </c>
      <c r="C530" s="37" t="s">
        <v>85</v>
      </c>
      <c r="D530" s="37">
        <v>8</v>
      </c>
      <c r="E530" s="37" t="s">
        <v>455</v>
      </c>
      <c r="YS530" s="38" t="e">
        <f>RIGHT(CONCATENATE(0,#REF!),7)</f>
        <v>#REF!</v>
      </c>
    </row>
    <row r="531" spans="1:669" hidden="1">
      <c r="A531" s="35">
        <v>249</v>
      </c>
      <c r="B531" s="38">
        <v>5</v>
      </c>
      <c r="C531" s="37" t="s">
        <v>85</v>
      </c>
      <c r="D531" s="37">
        <v>9</v>
      </c>
      <c r="E531" s="37" t="s">
        <v>456</v>
      </c>
      <c r="YS531" s="38" t="e">
        <f>RIGHT(CONCATENATE(0,#REF!),7)</f>
        <v>#REF!</v>
      </c>
    </row>
    <row r="532" spans="1:669" hidden="1">
      <c r="A532" s="35">
        <v>250</v>
      </c>
      <c r="B532" s="38">
        <v>5</v>
      </c>
      <c r="C532" s="37" t="s">
        <v>85</v>
      </c>
      <c r="D532" s="37">
        <v>10</v>
      </c>
      <c r="E532" s="37" t="s">
        <v>457</v>
      </c>
      <c r="YS532" s="38" t="e">
        <f>RIGHT(CONCATENATE(0,#REF!),7)</f>
        <v>#REF!</v>
      </c>
    </row>
    <row r="533" spans="1:669" hidden="1">
      <c r="A533" s="35">
        <v>251</v>
      </c>
      <c r="B533" s="38">
        <v>5</v>
      </c>
      <c r="C533" s="37" t="s">
        <v>85</v>
      </c>
      <c r="D533" s="37">
        <v>11</v>
      </c>
      <c r="E533" s="37" t="s">
        <v>458</v>
      </c>
      <c r="YS533" s="38" t="e">
        <f>RIGHT(CONCATENATE(0,#REF!),7)</f>
        <v>#REF!</v>
      </c>
    </row>
    <row r="534" spans="1:669" hidden="1">
      <c r="A534" s="35">
        <v>252</v>
      </c>
      <c r="B534" s="38">
        <v>5</v>
      </c>
      <c r="C534" s="37" t="s">
        <v>85</v>
      </c>
      <c r="D534" s="37">
        <v>12</v>
      </c>
      <c r="E534" s="37" t="s">
        <v>459</v>
      </c>
      <c r="YS534" s="38" t="e">
        <f>RIGHT(CONCATENATE(0,#REF!),7)</f>
        <v>#REF!</v>
      </c>
    </row>
    <row r="535" spans="1:669" hidden="1">
      <c r="A535" s="35">
        <v>253</v>
      </c>
      <c r="B535" s="38">
        <v>5</v>
      </c>
      <c r="C535" s="37" t="s">
        <v>85</v>
      </c>
      <c r="D535" s="37">
        <v>13</v>
      </c>
      <c r="E535" s="37" t="s">
        <v>460</v>
      </c>
      <c r="YS535" s="38" t="e">
        <f>RIGHT(CONCATENATE(0,#REF!),7)</f>
        <v>#REF!</v>
      </c>
    </row>
    <row r="536" spans="1:669" hidden="1">
      <c r="A536" s="35">
        <v>254</v>
      </c>
      <c r="B536" s="38">
        <v>5</v>
      </c>
      <c r="C536" s="37" t="s">
        <v>85</v>
      </c>
      <c r="D536" s="37">
        <v>14</v>
      </c>
      <c r="E536" s="37" t="s">
        <v>461</v>
      </c>
      <c r="YS536" s="38" t="e">
        <f>RIGHT(CONCATENATE(0,#REF!),7)</f>
        <v>#REF!</v>
      </c>
    </row>
    <row r="537" spans="1:669" hidden="1">
      <c r="A537" s="35">
        <v>255</v>
      </c>
      <c r="B537" s="38">
        <v>5</v>
      </c>
      <c r="C537" s="37" t="s">
        <v>85</v>
      </c>
      <c r="D537" s="37">
        <v>15</v>
      </c>
      <c r="E537" s="37" t="s">
        <v>85</v>
      </c>
      <c r="YS537" s="38" t="e">
        <f>RIGHT(CONCATENATE(0,#REF!),7)</f>
        <v>#REF!</v>
      </c>
    </row>
    <row r="538" spans="1:669" hidden="1">
      <c r="A538" s="35">
        <v>256</v>
      </c>
      <c r="B538" s="38">
        <v>5</v>
      </c>
      <c r="C538" s="37" t="s">
        <v>85</v>
      </c>
      <c r="D538" s="37">
        <v>16</v>
      </c>
      <c r="E538" s="37" t="s">
        <v>462</v>
      </c>
      <c r="YS538" s="38" t="e">
        <f>RIGHT(CONCATENATE(0,#REF!),7)</f>
        <v>#REF!</v>
      </c>
    </row>
    <row r="539" spans="1:669" hidden="1">
      <c r="A539" s="35">
        <v>257</v>
      </c>
      <c r="B539" s="38">
        <v>5</v>
      </c>
      <c r="C539" s="37" t="s">
        <v>85</v>
      </c>
      <c r="D539" s="37">
        <v>17</v>
      </c>
      <c r="E539" s="37" t="s">
        <v>463</v>
      </c>
      <c r="YS539" s="38" t="e">
        <f>RIGHT(CONCATENATE(0,#REF!),7)</f>
        <v>#REF!</v>
      </c>
    </row>
    <row r="540" spans="1:669" hidden="1">
      <c r="A540" s="35">
        <v>258</v>
      </c>
      <c r="B540" s="38">
        <v>5</v>
      </c>
      <c r="C540" s="37" t="s">
        <v>85</v>
      </c>
      <c r="D540" s="37">
        <v>18</v>
      </c>
      <c r="E540" s="37" t="s">
        <v>464</v>
      </c>
      <c r="YS540" s="38" t="e">
        <f>RIGHT(CONCATENATE(0,#REF!),7)</f>
        <v>#REF!</v>
      </c>
    </row>
    <row r="541" spans="1:669" hidden="1">
      <c r="A541" s="35">
        <v>259</v>
      </c>
      <c r="B541" s="38">
        <v>5</v>
      </c>
      <c r="C541" s="37" t="s">
        <v>85</v>
      </c>
      <c r="D541" s="37">
        <v>19</v>
      </c>
      <c r="E541" s="37" t="s">
        <v>465</v>
      </c>
      <c r="YS541" s="38" t="e">
        <f>RIGHT(CONCATENATE(0,#REF!),7)</f>
        <v>#REF!</v>
      </c>
    </row>
    <row r="542" spans="1:669" hidden="1">
      <c r="A542" s="35">
        <v>260</v>
      </c>
      <c r="B542" s="38">
        <v>5</v>
      </c>
      <c r="C542" s="37" t="s">
        <v>85</v>
      </c>
      <c r="D542" s="37">
        <v>20</v>
      </c>
      <c r="E542" s="37" t="s">
        <v>466</v>
      </c>
      <c r="YS542" s="38" t="e">
        <f>RIGHT(CONCATENATE(0,#REF!),7)</f>
        <v>#REF!</v>
      </c>
    </row>
    <row r="543" spans="1:669" hidden="1">
      <c r="A543" s="35">
        <v>261</v>
      </c>
      <c r="B543" s="38">
        <v>5</v>
      </c>
      <c r="C543" s="37" t="s">
        <v>85</v>
      </c>
      <c r="D543" s="37">
        <v>21</v>
      </c>
      <c r="E543" s="37" t="s">
        <v>467</v>
      </c>
      <c r="YS543" s="38" t="e">
        <f>RIGHT(CONCATENATE(0,#REF!),7)</f>
        <v>#REF!</v>
      </c>
    </row>
    <row r="544" spans="1:669" hidden="1">
      <c r="A544" s="35">
        <v>262</v>
      </c>
      <c r="B544" s="38">
        <v>5</v>
      </c>
      <c r="C544" s="37" t="s">
        <v>85</v>
      </c>
      <c r="D544" s="37">
        <v>22</v>
      </c>
      <c r="E544" s="37" t="s">
        <v>468</v>
      </c>
      <c r="YS544" s="38" t="e">
        <f>RIGHT(CONCATENATE(0,#REF!),7)</f>
        <v>#REF!</v>
      </c>
    </row>
    <row r="545" spans="1:669" hidden="1">
      <c r="A545" s="35">
        <v>263</v>
      </c>
      <c r="B545" s="38">
        <v>5</v>
      </c>
      <c r="C545" s="37" t="s">
        <v>85</v>
      </c>
      <c r="D545" s="37">
        <v>23</v>
      </c>
      <c r="E545" s="37" t="s">
        <v>469</v>
      </c>
      <c r="YS545" s="38" t="e">
        <f>RIGHT(CONCATENATE(0,#REF!),7)</f>
        <v>#REF!</v>
      </c>
    </row>
    <row r="546" spans="1:669" hidden="1">
      <c r="A546" s="35">
        <v>264</v>
      </c>
      <c r="B546" s="38">
        <v>5</v>
      </c>
      <c r="C546" s="37" t="s">
        <v>85</v>
      </c>
      <c r="D546" s="37">
        <v>24</v>
      </c>
      <c r="E546" s="37" t="s">
        <v>470</v>
      </c>
      <c r="YS546" s="38" t="e">
        <f>RIGHT(CONCATENATE(0,#REF!),7)</f>
        <v>#REF!</v>
      </c>
    </row>
    <row r="547" spans="1:669" hidden="1">
      <c r="A547" s="35">
        <v>265</v>
      </c>
      <c r="B547" s="38">
        <v>5</v>
      </c>
      <c r="C547" s="37" t="s">
        <v>85</v>
      </c>
      <c r="D547" s="37">
        <v>25</v>
      </c>
      <c r="E547" s="37" t="s">
        <v>471</v>
      </c>
      <c r="YS547" s="38" t="e">
        <f>RIGHT(CONCATENATE(0,#REF!),7)</f>
        <v>#REF!</v>
      </c>
    </row>
    <row r="548" spans="1:669" hidden="1">
      <c r="A548" s="35">
        <v>266</v>
      </c>
      <c r="B548" s="38">
        <v>5</v>
      </c>
      <c r="C548" s="37" t="s">
        <v>85</v>
      </c>
      <c r="D548" s="37">
        <v>26</v>
      </c>
      <c r="E548" s="37" t="s">
        <v>472</v>
      </c>
      <c r="YS548" s="38" t="e">
        <f>RIGHT(CONCATENATE(0,#REF!),7)</f>
        <v>#REF!</v>
      </c>
    </row>
    <row r="549" spans="1:669" hidden="1">
      <c r="A549" s="35">
        <v>267</v>
      </c>
      <c r="B549" s="38">
        <v>5</v>
      </c>
      <c r="C549" s="37" t="s">
        <v>85</v>
      </c>
      <c r="D549" s="37">
        <v>27</v>
      </c>
      <c r="E549" s="37" t="s">
        <v>473</v>
      </c>
      <c r="YS549" s="38" t="e">
        <f>RIGHT(CONCATENATE(0,#REF!),7)</f>
        <v>#REF!</v>
      </c>
    </row>
    <row r="550" spans="1:669" hidden="1">
      <c r="A550" s="35">
        <v>268</v>
      </c>
      <c r="B550" s="38">
        <v>5</v>
      </c>
      <c r="C550" s="37" t="s">
        <v>85</v>
      </c>
      <c r="D550" s="37">
        <v>28</v>
      </c>
      <c r="E550" s="37" t="s">
        <v>474</v>
      </c>
      <c r="YS550" s="38" t="e">
        <f>RIGHT(CONCATENATE(0,#REF!),7)</f>
        <v>#REF!</v>
      </c>
    </row>
    <row r="551" spans="1:669" hidden="1">
      <c r="A551" s="35">
        <v>269</v>
      </c>
      <c r="B551" s="38">
        <v>5</v>
      </c>
      <c r="C551" s="37" t="s">
        <v>85</v>
      </c>
      <c r="D551" s="37">
        <v>29</v>
      </c>
      <c r="E551" s="37" t="s">
        <v>475</v>
      </c>
      <c r="YS551" s="38" t="e">
        <f>RIGHT(CONCATENATE(0,#REF!),7)</f>
        <v>#REF!</v>
      </c>
    </row>
    <row r="552" spans="1:669" hidden="1">
      <c r="A552" s="35">
        <v>270</v>
      </c>
      <c r="B552" s="38">
        <v>5</v>
      </c>
      <c r="C552" s="37" t="s">
        <v>85</v>
      </c>
      <c r="D552" s="37">
        <v>30</v>
      </c>
      <c r="E552" s="37" t="s">
        <v>476</v>
      </c>
      <c r="YS552" s="38" t="e">
        <f>RIGHT(CONCATENATE(0,#REF!),7)</f>
        <v>#REF!</v>
      </c>
    </row>
    <row r="553" spans="1:669" hidden="1">
      <c r="A553" s="35">
        <v>271</v>
      </c>
      <c r="B553" s="38">
        <v>5</v>
      </c>
      <c r="C553" s="37" t="s">
        <v>85</v>
      </c>
      <c r="D553" s="37">
        <v>31</v>
      </c>
      <c r="E553" s="37" t="s">
        <v>477</v>
      </c>
      <c r="YS553" s="38" t="e">
        <f>RIGHT(CONCATENATE(0,#REF!),7)</f>
        <v>#REF!</v>
      </c>
    </row>
    <row r="554" spans="1:669" hidden="1">
      <c r="A554" s="35">
        <v>272</v>
      </c>
      <c r="B554" s="38">
        <v>5</v>
      </c>
      <c r="C554" s="37" t="s">
        <v>85</v>
      </c>
      <c r="D554" s="37">
        <v>32</v>
      </c>
      <c r="E554" s="37" t="s">
        <v>478</v>
      </c>
      <c r="YS554" s="38" t="e">
        <f>RIGHT(CONCATENATE(0,#REF!),7)</f>
        <v>#REF!</v>
      </c>
    </row>
    <row r="555" spans="1:669" hidden="1">
      <c r="A555" s="35">
        <v>273</v>
      </c>
      <c r="B555" s="38">
        <v>5</v>
      </c>
      <c r="C555" s="37" t="s">
        <v>85</v>
      </c>
      <c r="D555" s="37">
        <v>33</v>
      </c>
      <c r="E555" s="37" t="s">
        <v>479</v>
      </c>
      <c r="YS555" s="38" t="e">
        <f>RIGHT(CONCATENATE(0,#REF!),7)</f>
        <v>#REF!</v>
      </c>
    </row>
    <row r="556" spans="1:669" hidden="1">
      <c r="A556" s="35">
        <v>274</v>
      </c>
      <c r="B556" s="38">
        <v>5</v>
      </c>
      <c r="C556" s="37" t="s">
        <v>85</v>
      </c>
      <c r="D556" s="37">
        <v>34</v>
      </c>
      <c r="E556" s="37" t="s">
        <v>480</v>
      </c>
      <c r="YS556" s="38" t="e">
        <f>RIGHT(CONCATENATE(0,#REF!),7)</f>
        <v>#REF!</v>
      </c>
    </row>
    <row r="557" spans="1:669" hidden="1">
      <c r="A557" s="35">
        <v>275</v>
      </c>
      <c r="B557" s="38">
        <v>5</v>
      </c>
      <c r="C557" s="37" t="s">
        <v>85</v>
      </c>
      <c r="D557" s="37">
        <v>35</v>
      </c>
      <c r="E557" s="37" t="s">
        <v>481</v>
      </c>
      <c r="YS557" s="38" t="e">
        <f>RIGHT(CONCATENATE(0,#REF!),7)</f>
        <v>#REF!</v>
      </c>
    </row>
    <row r="558" spans="1:669" hidden="1">
      <c r="A558" s="35">
        <v>276</v>
      </c>
      <c r="B558" s="38">
        <v>5</v>
      </c>
      <c r="C558" s="37" t="s">
        <v>85</v>
      </c>
      <c r="D558" s="37">
        <v>36</v>
      </c>
      <c r="E558" s="37" t="s">
        <v>482</v>
      </c>
      <c r="YS558" s="38" t="e">
        <f>RIGHT(CONCATENATE(0,#REF!),7)</f>
        <v>#REF!</v>
      </c>
    </row>
    <row r="559" spans="1:669" hidden="1">
      <c r="A559" s="35">
        <v>277</v>
      </c>
      <c r="B559" s="38">
        <v>5</v>
      </c>
      <c r="C559" s="37" t="s">
        <v>85</v>
      </c>
      <c r="D559" s="37">
        <v>37</v>
      </c>
      <c r="E559" s="37" t="s">
        <v>483</v>
      </c>
      <c r="YS559" s="38" t="e">
        <f>RIGHT(CONCATENATE(0,#REF!),7)</f>
        <v>#REF!</v>
      </c>
    </row>
    <row r="560" spans="1:669" hidden="1">
      <c r="A560" s="35">
        <v>278</v>
      </c>
      <c r="B560" s="38">
        <v>5</v>
      </c>
      <c r="C560" s="37" t="s">
        <v>85</v>
      </c>
      <c r="D560" s="37">
        <v>38</v>
      </c>
      <c r="E560" s="37" t="s">
        <v>484</v>
      </c>
      <c r="YS560" s="38" t="e">
        <f>RIGHT(CONCATENATE(0,#REF!),7)</f>
        <v>#REF!</v>
      </c>
    </row>
    <row r="561" spans="1:669" hidden="1">
      <c r="A561" s="35">
        <v>279</v>
      </c>
      <c r="B561" s="38">
        <v>5</v>
      </c>
      <c r="C561" s="37" t="s">
        <v>85</v>
      </c>
      <c r="D561" s="37">
        <v>39</v>
      </c>
      <c r="E561" s="37" t="s">
        <v>485</v>
      </c>
      <c r="YS561" s="38" t="e">
        <f>RIGHT(CONCATENATE(0,#REF!),7)</f>
        <v>#REF!</v>
      </c>
    </row>
    <row r="562" spans="1:669" hidden="1">
      <c r="A562" s="35">
        <v>280</v>
      </c>
      <c r="B562" s="38">
        <v>5</v>
      </c>
      <c r="C562" s="37" t="s">
        <v>85</v>
      </c>
      <c r="D562" s="37">
        <v>40</v>
      </c>
      <c r="E562" s="37" t="s">
        <v>486</v>
      </c>
      <c r="YS562" s="38" t="e">
        <f>RIGHT(CONCATENATE(0,#REF!),7)</f>
        <v>#REF!</v>
      </c>
    </row>
    <row r="563" spans="1:669" hidden="1">
      <c r="A563" s="35">
        <v>281</v>
      </c>
      <c r="B563" s="38">
        <v>5</v>
      </c>
      <c r="C563" s="37" t="s">
        <v>85</v>
      </c>
      <c r="D563" s="37">
        <v>41</v>
      </c>
      <c r="E563" s="37" t="s">
        <v>487</v>
      </c>
      <c r="YS563" s="38" t="e">
        <f>RIGHT(CONCATENATE(0,#REF!),7)</f>
        <v>#REF!</v>
      </c>
    </row>
    <row r="564" spans="1:669" hidden="1">
      <c r="A564" s="35">
        <v>282</v>
      </c>
      <c r="B564" s="38">
        <v>5</v>
      </c>
      <c r="C564" s="37" t="s">
        <v>85</v>
      </c>
      <c r="D564" s="37">
        <v>42</v>
      </c>
      <c r="E564" s="37" t="s">
        <v>488</v>
      </c>
      <c r="YS564" s="38" t="e">
        <f>RIGHT(CONCATENATE(0,#REF!),7)</f>
        <v>#REF!</v>
      </c>
    </row>
    <row r="565" spans="1:669" hidden="1">
      <c r="A565" s="35">
        <v>283</v>
      </c>
      <c r="B565" s="38">
        <v>5</v>
      </c>
      <c r="C565" s="37" t="s">
        <v>85</v>
      </c>
      <c r="D565" s="37">
        <v>43</v>
      </c>
      <c r="E565" s="37" t="s">
        <v>489</v>
      </c>
      <c r="YS565" s="38" t="e">
        <f>RIGHT(CONCATENATE(0,#REF!),7)</f>
        <v>#REF!</v>
      </c>
    </row>
    <row r="566" spans="1:669" hidden="1">
      <c r="A566" s="35">
        <v>284</v>
      </c>
      <c r="B566" s="38">
        <v>5</v>
      </c>
      <c r="C566" s="37" t="s">
        <v>85</v>
      </c>
      <c r="D566" s="37">
        <v>44</v>
      </c>
      <c r="E566" s="37" t="s">
        <v>490</v>
      </c>
      <c r="YS566" s="38" t="e">
        <f>RIGHT(CONCATENATE(0,#REF!),7)</f>
        <v>#REF!</v>
      </c>
    </row>
    <row r="567" spans="1:669" hidden="1">
      <c r="A567" s="35">
        <v>285</v>
      </c>
      <c r="B567" s="38">
        <v>5</v>
      </c>
      <c r="C567" s="37" t="s">
        <v>85</v>
      </c>
      <c r="D567" s="37">
        <v>45</v>
      </c>
      <c r="E567" s="37" t="s">
        <v>491</v>
      </c>
      <c r="YS567" s="38" t="e">
        <f>RIGHT(CONCATENATE(0,#REF!),7)</f>
        <v>#REF!</v>
      </c>
    </row>
    <row r="568" spans="1:669" hidden="1">
      <c r="A568" s="35">
        <v>286</v>
      </c>
      <c r="B568" s="38">
        <v>5</v>
      </c>
      <c r="C568" s="37" t="s">
        <v>85</v>
      </c>
      <c r="D568" s="37">
        <v>46</v>
      </c>
      <c r="E568" s="37" t="s">
        <v>492</v>
      </c>
      <c r="YS568" s="38" t="e">
        <f>RIGHT(CONCATENATE(0,#REF!),7)</f>
        <v>#REF!</v>
      </c>
    </row>
    <row r="569" spans="1:669" hidden="1">
      <c r="A569" s="35">
        <v>287</v>
      </c>
      <c r="B569" s="38">
        <v>5</v>
      </c>
      <c r="C569" s="37" t="s">
        <v>85</v>
      </c>
      <c r="D569" s="37">
        <v>47</v>
      </c>
      <c r="E569" s="37" t="s">
        <v>493</v>
      </c>
      <c r="YS569" s="38" t="e">
        <f>RIGHT(CONCATENATE(0,#REF!),7)</f>
        <v>#REF!</v>
      </c>
    </row>
    <row r="570" spans="1:669" hidden="1">
      <c r="A570" s="35">
        <v>288</v>
      </c>
      <c r="B570" s="38">
        <v>5</v>
      </c>
      <c r="C570" s="37" t="s">
        <v>85</v>
      </c>
      <c r="D570" s="37">
        <v>48</v>
      </c>
      <c r="E570" s="37" t="s">
        <v>494</v>
      </c>
      <c r="YS570" s="38" t="e">
        <f>RIGHT(CONCATENATE(0,#REF!),7)</f>
        <v>#REF!</v>
      </c>
    </row>
    <row r="571" spans="1:669" hidden="1">
      <c r="A571" s="35">
        <v>289</v>
      </c>
      <c r="B571" s="38">
        <v>5</v>
      </c>
      <c r="C571" s="37" t="s">
        <v>85</v>
      </c>
      <c r="D571" s="37">
        <v>49</v>
      </c>
      <c r="E571" s="37" t="s">
        <v>495</v>
      </c>
      <c r="YS571" s="38" t="e">
        <f>RIGHT(CONCATENATE(0,#REF!),7)</f>
        <v>#REF!</v>
      </c>
    </row>
    <row r="572" spans="1:669" hidden="1">
      <c r="A572" s="35">
        <v>290</v>
      </c>
      <c r="B572" s="38">
        <v>5</v>
      </c>
      <c r="C572" s="37" t="s">
        <v>85</v>
      </c>
      <c r="D572" s="37">
        <v>50</v>
      </c>
      <c r="E572" s="37" t="s">
        <v>496</v>
      </c>
      <c r="YS572" s="38" t="e">
        <f>RIGHT(CONCATENATE(0,#REF!),7)</f>
        <v>#REF!</v>
      </c>
    </row>
    <row r="573" spans="1:669" hidden="1">
      <c r="A573" s="35">
        <v>291</v>
      </c>
      <c r="B573" s="38">
        <v>5</v>
      </c>
      <c r="C573" s="37" t="s">
        <v>85</v>
      </c>
      <c r="D573" s="37">
        <v>51</v>
      </c>
      <c r="E573" s="37" t="s">
        <v>497</v>
      </c>
      <c r="YS573" s="38" t="e">
        <f>RIGHT(CONCATENATE(0,#REF!),7)</f>
        <v>#REF!</v>
      </c>
    </row>
    <row r="574" spans="1:669" hidden="1">
      <c r="A574" s="35">
        <v>292</v>
      </c>
      <c r="B574" s="38">
        <v>5</v>
      </c>
      <c r="C574" s="37" t="s">
        <v>85</v>
      </c>
      <c r="D574" s="37">
        <v>52</v>
      </c>
      <c r="E574" s="37" t="s">
        <v>498</v>
      </c>
      <c r="YS574" s="38" t="e">
        <f>RIGHT(CONCATENATE(0,#REF!),7)</f>
        <v>#REF!</v>
      </c>
    </row>
    <row r="575" spans="1:669" hidden="1">
      <c r="A575" s="35">
        <v>293</v>
      </c>
      <c r="B575" s="38">
        <v>5</v>
      </c>
      <c r="C575" s="37" t="s">
        <v>85</v>
      </c>
      <c r="D575" s="37">
        <v>53</v>
      </c>
      <c r="E575" s="37" t="s">
        <v>499</v>
      </c>
      <c r="YS575" s="38" t="e">
        <f>RIGHT(CONCATENATE(0,#REF!),7)</f>
        <v>#REF!</v>
      </c>
    </row>
    <row r="576" spans="1:669" hidden="1">
      <c r="A576" s="35">
        <v>294</v>
      </c>
      <c r="B576" s="38">
        <v>5</v>
      </c>
      <c r="C576" s="37" t="s">
        <v>85</v>
      </c>
      <c r="D576" s="37">
        <v>54</v>
      </c>
      <c r="E576" s="37" t="s">
        <v>500</v>
      </c>
      <c r="YS576" s="38" t="e">
        <f>RIGHT(CONCATENATE(0,#REF!),7)</f>
        <v>#REF!</v>
      </c>
    </row>
    <row r="577" spans="1:669" hidden="1">
      <c r="A577" s="35">
        <v>295</v>
      </c>
      <c r="B577" s="38">
        <v>5</v>
      </c>
      <c r="C577" s="37" t="s">
        <v>85</v>
      </c>
      <c r="D577" s="37">
        <v>55</v>
      </c>
      <c r="E577" s="37" t="s">
        <v>501</v>
      </c>
      <c r="YS577" s="38" t="e">
        <f>RIGHT(CONCATENATE(0,#REF!),7)</f>
        <v>#REF!</v>
      </c>
    </row>
    <row r="578" spans="1:669" hidden="1">
      <c r="A578" s="35">
        <v>296</v>
      </c>
      <c r="B578" s="38">
        <v>5</v>
      </c>
      <c r="C578" s="37" t="s">
        <v>85</v>
      </c>
      <c r="D578" s="37">
        <v>56</v>
      </c>
      <c r="E578" s="37" t="s">
        <v>502</v>
      </c>
      <c r="YS578" s="38" t="e">
        <f>RIGHT(CONCATENATE(0,#REF!),7)</f>
        <v>#REF!</v>
      </c>
    </row>
    <row r="579" spans="1:669" hidden="1">
      <c r="A579" s="35">
        <v>297</v>
      </c>
      <c r="B579" s="38">
        <v>5</v>
      </c>
      <c r="C579" s="37" t="s">
        <v>85</v>
      </c>
      <c r="D579" s="37">
        <v>57</v>
      </c>
      <c r="E579" s="37" t="s">
        <v>503</v>
      </c>
      <c r="YS579" s="38" t="e">
        <f>RIGHT(CONCATENATE(0,#REF!),7)</f>
        <v>#REF!</v>
      </c>
    </row>
    <row r="580" spans="1:669" hidden="1">
      <c r="A580" s="35">
        <v>298</v>
      </c>
      <c r="B580" s="38">
        <v>6</v>
      </c>
      <c r="C580" s="37" t="s">
        <v>88</v>
      </c>
      <c r="D580" s="37">
        <v>1</v>
      </c>
      <c r="E580" s="37" t="s">
        <v>504</v>
      </c>
      <c r="YS580" s="38" t="e">
        <f>RIGHT(CONCATENATE(0,#REF!),7)</f>
        <v>#REF!</v>
      </c>
    </row>
    <row r="581" spans="1:669" hidden="1">
      <c r="A581" s="35">
        <v>299</v>
      </c>
      <c r="B581" s="38">
        <v>6</v>
      </c>
      <c r="C581" s="37" t="s">
        <v>88</v>
      </c>
      <c r="D581" s="37">
        <v>2</v>
      </c>
      <c r="E581" s="37" t="s">
        <v>505</v>
      </c>
      <c r="YS581" s="38" t="e">
        <f>RIGHT(CONCATENATE(0,#REF!),7)</f>
        <v>#REF!</v>
      </c>
    </row>
    <row r="582" spans="1:669" hidden="1">
      <c r="A582" s="35">
        <v>300</v>
      </c>
      <c r="B582" s="38">
        <v>6</v>
      </c>
      <c r="C582" s="37" t="s">
        <v>88</v>
      </c>
      <c r="D582" s="37">
        <v>3</v>
      </c>
      <c r="E582" s="37" t="s">
        <v>506</v>
      </c>
      <c r="YS582" s="38" t="e">
        <f>RIGHT(CONCATENATE(0,#REF!),7)</f>
        <v>#REF!</v>
      </c>
    </row>
    <row r="583" spans="1:669" hidden="1">
      <c r="A583" s="35">
        <v>301</v>
      </c>
      <c r="B583" s="38">
        <v>6</v>
      </c>
      <c r="C583" s="37" t="s">
        <v>88</v>
      </c>
      <c r="D583" s="37">
        <v>4</v>
      </c>
      <c r="E583" s="37" t="s">
        <v>507</v>
      </c>
      <c r="YS583" s="38" t="e">
        <f>RIGHT(CONCATENATE(0,#REF!),7)</f>
        <v>#REF!</v>
      </c>
    </row>
    <row r="584" spans="1:669" hidden="1">
      <c r="A584" s="35">
        <v>302</v>
      </c>
      <c r="B584" s="38">
        <v>6</v>
      </c>
      <c r="C584" s="37" t="s">
        <v>88</v>
      </c>
      <c r="D584" s="37">
        <v>5</v>
      </c>
      <c r="E584" s="37" t="s">
        <v>508</v>
      </c>
      <c r="YS584" s="38" t="e">
        <f>RIGHT(CONCATENATE(0,#REF!),7)</f>
        <v>#REF!</v>
      </c>
    </row>
    <row r="585" spans="1:669" hidden="1">
      <c r="A585" s="35">
        <v>303</v>
      </c>
      <c r="B585" s="38">
        <v>6</v>
      </c>
      <c r="C585" s="37" t="s">
        <v>88</v>
      </c>
      <c r="D585" s="37">
        <v>6</v>
      </c>
      <c r="E585" s="37" t="s">
        <v>509</v>
      </c>
      <c r="YS585" s="38" t="e">
        <f>RIGHT(CONCATENATE(0,#REF!),7)</f>
        <v>#REF!</v>
      </c>
    </row>
    <row r="586" spans="1:669" hidden="1">
      <c r="A586" s="35">
        <v>304</v>
      </c>
      <c r="B586" s="38">
        <v>6</v>
      </c>
      <c r="C586" s="37" t="s">
        <v>88</v>
      </c>
      <c r="D586" s="37">
        <v>7</v>
      </c>
      <c r="E586" s="37" t="s">
        <v>510</v>
      </c>
      <c r="YS586" s="38" t="e">
        <f>RIGHT(CONCATENATE(0,#REF!),7)</f>
        <v>#REF!</v>
      </c>
    </row>
    <row r="587" spans="1:669" hidden="1">
      <c r="A587" s="35">
        <v>305</v>
      </c>
      <c r="B587" s="38">
        <v>6</v>
      </c>
      <c r="C587" s="37" t="s">
        <v>88</v>
      </c>
      <c r="D587" s="37">
        <v>8</v>
      </c>
      <c r="E587" s="37" t="s">
        <v>511</v>
      </c>
      <c r="YS587" s="38" t="e">
        <f>RIGHT(CONCATENATE(0,#REF!),7)</f>
        <v>#REF!</v>
      </c>
    </row>
    <row r="588" spans="1:669" hidden="1">
      <c r="A588" s="35">
        <v>306</v>
      </c>
      <c r="B588" s="38">
        <v>6</v>
      </c>
      <c r="C588" s="37" t="s">
        <v>88</v>
      </c>
      <c r="D588" s="37">
        <v>9</v>
      </c>
      <c r="E588" s="37" t="s">
        <v>512</v>
      </c>
      <c r="YS588" s="38" t="e">
        <f>RIGHT(CONCATENATE(0,#REF!),7)</f>
        <v>#REF!</v>
      </c>
    </row>
    <row r="589" spans="1:669" hidden="1">
      <c r="A589" s="35">
        <v>307</v>
      </c>
      <c r="B589" s="38">
        <v>6</v>
      </c>
      <c r="C589" s="37" t="s">
        <v>88</v>
      </c>
      <c r="D589" s="37">
        <v>10</v>
      </c>
      <c r="E589" s="37" t="s">
        <v>513</v>
      </c>
      <c r="YS589" s="38" t="e">
        <f>RIGHT(CONCATENATE(0,#REF!),7)</f>
        <v>#REF!</v>
      </c>
    </row>
    <row r="590" spans="1:669" hidden="1">
      <c r="A590" s="35">
        <v>308</v>
      </c>
      <c r="B590" s="38">
        <v>6</v>
      </c>
      <c r="C590" s="37" t="s">
        <v>88</v>
      </c>
      <c r="D590" s="37">
        <v>11</v>
      </c>
      <c r="E590" s="37" t="s">
        <v>514</v>
      </c>
      <c r="YS590" s="38" t="e">
        <f>RIGHT(CONCATENATE(0,#REF!),7)</f>
        <v>#REF!</v>
      </c>
    </row>
    <row r="591" spans="1:669" hidden="1">
      <c r="A591" s="35">
        <v>309</v>
      </c>
      <c r="B591" s="38">
        <v>6</v>
      </c>
      <c r="C591" s="37" t="s">
        <v>88</v>
      </c>
      <c r="D591" s="37">
        <v>12</v>
      </c>
      <c r="E591" s="37" t="s">
        <v>515</v>
      </c>
      <c r="YS591" s="38" t="e">
        <f>RIGHT(CONCATENATE(0,#REF!),7)</f>
        <v>#REF!</v>
      </c>
    </row>
    <row r="592" spans="1:669" hidden="1">
      <c r="A592" s="35">
        <v>310</v>
      </c>
      <c r="B592" s="38">
        <v>6</v>
      </c>
      <c r="C592" s="37" t="s">
        <v>88</v>
      </c>
      <c r="D592" s="37">
        <v>13</v>
      </c>
      <c r="E592" s="37" t="s">
        <v>516</v>
      </c>
      <c r="YS592" s="38" t="e">
        <f>RIGHT(CONCATENATE(0,#REF!),7)</f>
        <v>#REF!</v>
      </c>
    </row>
    <row r="593" spans="1:669" hidden="1">
      <c r="A593" s="35">
        <v>311</v>
      </c>
      <c r="B593" s="38">
        <v>6</v>
      </c>
      <c r="C593" s="37" t="s">
        <v>88</v>
      </c>
      <c r="D593" s="37">
        <v>14</v>
      </c>
      <c r="E593" s="37" t="s">
        <v>517</v>
      </c>
      <c r="YS593" s="38" t="e">
        <f>RIGHT(CONCATENATE(0,#REF!),7)</f>
        <v>#REF!</v>
      </c>
    </row>
    <row r="594" spans="1:669" hidden="1">
      <c r="A594" s="35">
        <v>312</v>
      </c>
      <c r="B594" s="38">
        <v>6</v>
      </c>
      <c r="C594" s="37" t="s">
        <v>88</v>
      </c>
      <c r="D594" s="37">
        <v>15</v>
      </c>
      <c r="E594" s="37" t="s">
        <v>518</v>
      </c>
      <c r="YS594" s="38" t="e">
        <f>RIGHT(CONCATENATE(0,#REF!),7)</f>
        <v>#REF!</v>
      </c>
    </row>
    <row r="595" spans="1:669" hidden="1">
      <c r="A595" s="35">
        <v>313</v>
      </c>
      <c r="B595" s="38">
        <v>6</v>
      </c>
      <c r="C595" s="37" t="s">
        <v>88</v>
      </c>
      <c r="D595" s="37">
        <v>16</v>
      </c>
      <c r="E595" s="37" t="s">
        <v>519</v>
      </c>
      <c r="YS595" s="38" t="e">
        <f>RIGHT(CONCATENATE(0,#REF!),7)</f>
        <v>#REF!</v>
      </c>
    </row>
    <row r="596" spans="1:669" hidden="1">
      <c r="A596" s="35">
        <v>314</v>
      </c>
      <c r="B596" s="38">
        <v>7</v>
      </c>
      <c r="C596" s="37" t="s">
        <v>91</v>
      </c>
      <c r="D596" s="37">
        <v>1</v>
      </c>
      <c r="E596" s="37" t="s">
        <v>520</v>
      </c>
      <c r="YS596" s="38" t="e">
        <f>RIGHT(CONCATENATE(0,#REF!),7)</f>
        <v>#REF!</v>
      </c>
    </row>
    <row r="597" spans="1:669" hidden="1">
      <c r="A597" s="35">
        <v>315</v>
      </c>
      <c r="B597" s="38">
        <v>7</v>
      </c>
      <c r="C597" s="37" t="s">
        <v>91</v>
      </c>
      <c r="D597" s="37">
        <v>2</v>
      </c>
      <c r="E597" s="37" t="s">
        <v>521</v>
      </c>
      <c r="YS597" s="38" t="e">
        <f>RIGHT(CONCATENATE(0,#REF!),7)</f>
        <v>#REF!</v>
      </c>
    </row>
    <row r="598" spans="1:669" hidden="1">
      <c r="A598" s="35">
        <v>316</v>
      </c>
      <c r="B598" s="38">
        <v>7</v>
      </c>
      <c r="C598" s="37" t="s">
        <v>91</v>
      </c>
      <c r="D598" s="37">
        <v>3</v>
      </c>
      <c r="E598" s="37" t="s">
        <v>522</v>
      </c>
      <c r="YS598" s="38" t="e">
        <f>RIGHT(CONCATENATE(0,#REF!),7)</f>
        <v>#REF!</v>
      </c>
    </row>
    <row r="599" spans="1:669" hidden="1">
      <c r="A599" s="35">
        <v>317</v>
      </c>
      <c r="B599" s="38">
        <v>7</v>
      </c>
      <c r="C599" s="37" t="s">
        <v>91</v>
      </c>
      <c r="D599" s="37">
        <v>4</v>
      </c>
      <c r="E599" s="37" t="s">
        <v>523</v>
      </c>
      <c r="YS599" s="38" t="e">
        <f>RIGHT(CONCATENATE(0,#REF!),7)</f>
        <v>#REF!</v>
      </c>
    </row>
    <row r="600" spans="1:669" hidden="1">
      <c r="A600" s="35">
        <v>318</v>
      </c>
      <c r="B600" s="38">
        <v>7</v>
      </c>
      <c r="C600" s="37" t="s">
        <v>91</v>
      </c>
      <c r="D600" s="37">
        <v>5</v>
      </c>
      <c r="E600" s="37" t="s">
        <v>524</v>
      </c>
      <c r="YS600" s="38" t="e">
        <f>RIGHT(CONCATENATE(0,#REF!),7)</f>
        <v>#REF!</v>
      </c>
    </row>
    <row r="601" spans="1:669" hidden="1">
      <c r="A601" s="35">
        <v>319</v>
      </c>
      <c r="B601" s="38">
        <v>7</v>
      </c>
      <c r="C601" s="37" t="s">
        <v>91</v>
      </c>
      <c r="D601" s="37">
        <v>6</v>
      </c>
      <c r="E601" s="37" t="s">
        <v>525</v>
      </c>
      <c r="YS601" s="38" t="e">
        <f>RIGHT(CONCATENATE(0,#REF!),7)</f>
        <v>#REF!</v>
      </c>
    </row>
    <row r="602" spans="1:669" hidden="1">
      <c r="A602" s="35">
        <v>320</v>
      </c>
      <c r="B602" s="38">
        <v>7</v>
      </c>
      <c r="C602" s="37" t="s">
        <v>91</v>
      </c>
      <c r="D602" s="37">
        <v>7</v>
      </c>
      <c r="E602" s="37" t="s">
        <v>526</v>
      </c>
      <c r="YS602" s="38" t="e">
        <f>RIGHT(CONCATENATE(0,#REF!),7)</f>
        <v>#REF!</v>
      </c>
    </row>
    <row r="603" spans="1:669" hidden="1">
      <c r="A603" s="35">
        <v>321</v>
      </c>
      <c r="B603" s="38">
        <v>7</v>
      </c>
      <c r="C603" s="37" t="s">
        <v>91</v>
      </c>
      <c r="D603" s="37">
        <v>8</v>
      </c>
      <c r="E603" s="37" t="s">
        <v>527</v>
      </c>
      <c r="YS603" s="38" t="e">
        <f>RIGHT(CONCATENATE(0,#REF!),7)</f>
        <v>#REF!</v>
      </c>
    </row>
    <row r="604" spans="1:669" hidden="1">
      <c r="A604" s="35">
        <v>322</v>
      </c>
      <c r="B604" s="38">
        <v>7</v>
      </c>
      <c r="C604" s="37" t="s">
        <v>91</v>
      </c>
      <c r="D604" s="37">
        <v>9</v>
      </c>
      <c r="E604" s="37" t="s">
        <v>528</v>
      </c>
      <c r="YS604" s="38" t="e">
        <f>RIGHT(CONCATENATE(0,#REF!),7)</f>
        <v>#REF!</v>
      </c>
    </row>
    <row r="605" spans="1:669" hidden="1">
      <c r="A605" s="35">
        <v>323</v>
      </c>
      <c r="B605" s="38">
        <v>7</v>
      </c>
      <c r="C605" s="37" t="s">
        <v>91</v>
      </c>
      <c r="D605" s="37">
        <v>10</v>
      </c>
      <c r="E605" s="37" t="s">
        <v>529</v>
      </c>
      <c r="YS605" s="38" t="e">
        <f>RIGHT(CONCATENATE(0,#REF!),7)</f>
        <v>#REF!</v>
      </c>
    </row>
    <row r="606" spans="1:669" hidden="1">
      <c r="A606" s="35">
        <v>324</v>
      </c>
      <c r="B606" s="38">
        <v>7</v>
      </c>
      <c r="C606" s="37" t="s">
        <v>91</v>
      </c>
      <c r="D606" s="37">
        <v>11</v>
      </c>
      <c r="E606" s="37" t="s">
        <v>530</v>
      </c>
      <c r="YS606" s="38" t="e">
        <f>RIGHT(CONCATENATE(0,#REF!),7)</f>
        <v>#REF!</v>
      </c>
    </row>
    <row r="607" spans="1:669" hidden="1">
      <c r="A607" s="35">
        <v>325</v>
      </c>
      <c r="B607" s="38">
        <v>7</v>
      </c>
      <c r="C607" s="37" t="s">
        <v>91</v>
      </c>
      <c r="D607" s="37">
        <v>12</v>
      </c>
      <c r="E607" s="37" t="s">
        <v>531</v>
      </c>
      <c r="YS607" s="38" t="e">
        <f>RIGHT(CONCATENATE(0,#REF!),7)</f>
        <v>#REF!</v>
      </c>
    </row>
    <row r="608" spans="1:669" hidden="1">
      <c r="A608" s="35">
        <v>326</v>
      </c>
      <c r="B608" s="38">
        <v>7</v>
      </c>
      <c r="C608" s="37" t="s">
        <v>91</v>
      </c>
      <c r="D608" s="37">
        <v>13</v>
      </c>
      <c r="E608" s="37" t="s">
        <v>532</v>
      </c>
      <c r="YS608" s="38" t="e">
        <f>RIGHT(CONCATENATE(0,#REF!),7)</f>
        <v>#REF!</v>
      </c>
    </row>
    <row r="609" spans="1:669" hidden="1">
      <c r="A609" s="35">
        <v>327</v>
      </c>
      <c r="B609" s="38">
        <v>7</v>
      </c>
      <c r="C609" s="37" t="s">
        <v>91</v>
      </c>
      <c r="D609" s="37">
        <v>14</v>
      </c>
      <c r="E609" s="37" t="s">
        <v>533</v>
      </c>
      <c r="YS609" s="38" t="e">
        <f>RIGHT(CONCATENATE(0,#REF!),7)</f>
        <v>#REF!</v>
      </c>
    </row>
    <row r="610" spans="1:669" hidden="1">
      <c r="A610" s="35">
        <v>328</v>
      </c>
      <c r="B610" s="38">
        <v>7</v>
      </c>
      <c r="C610" s="37" t="s">
        <v>91</v>
      </c>
      <c r="D610" s="37">
        <v>15</v>
      </c>
      <c r="E610" s="37" t="s">
        <v>534</v>
      </c>
      <c r="YS610" s="38" t="e">
        <f>RIGHT(CONCATENATE(0,#REF!),7)</f>
        <v>#REF!</v>
      </c>
    </row>
    <row r="611" spans="1:669" hidden="1">
      <c r="A611" s="35">
        <v>329</v>
      </c>
      <c r="B611" s="38">
        <v>7</v>
      </c>
      <c r="C611" s="37" t="s">
        <v>91</v>
      </c>
      <c r="D611" s="37">
        <v>16</v>
      </c>
      <c r="E611" s="37" t="s">
        <v>535</v>
      </c>
      <c r="YS611" s="38" t="e">
        <f>RIGHT(CONCATENATE(0,#REF!),7)</f>
        <v>#REF!</v>
      </c>
    </row>
    <row r="612" spans="1:669" hidden="1">
      <c r="A612" s="35">
        <v>330</v>
      </c>
      <c r="B612" s="38">
        <v>7</v>
      </c>
      <c r="C612" s="37" t="s">
        <v>91</v>
      </c>
      <c r="D612" s="37">
        <v>17</v>
      </c>
      <c r="E612" s="37" t="s">
        <v>536</v>
      </c>
      <c r="YS612" s="38" t="e">
        <f>RIGHT(CONCATENATE(0,#REF!),7)</f>
        <v>#REF!</v>
      </c>
    </row>
    <row r="613" spans="1:669" hidden="1">
      <c r="A613" s="35">
        <v>331</v>
      </c>
      <c r="B613" s="38">
        <v>7</v>
      </c>
      <c r="C613" s="37" t="s">
        <v>91</v>
      </c>
      <c r="D613" s="37">
        <v>18</v>
      </c>
      <c r="E613" s="37" t="s">
        <v>537</v>
      </c>
      <c r="YS613" s="38" t="e">
        <f>RIGHT(CONCATENATE(0,#REF!),7)</f>
        <v>#REF!</v>
      </c>
    </row>
    <row r="614" spans="1:669" hidden="1">
      <c r="A614" s="35">
        <v>332</v>
      </c>
      <c r="B614" s="38">
        <v>7</v>
      </c>
      <c r="C614" s="37" t="s">
        <v>91</v>
      </c>
      <c r="D614" s="37">
        <v>19</v>
      </c>
      <c r="E614" s="37" t="s">
        <v>538</v>
      </c>
      <c r="YS614" s="38" t="e">
        <f>RIGHT(CONCATENATE(0,#REF!),7)</f>
        <v>#REF!</v>
      </c>
    </row>
    <row r="615" spans="1:669" hidden="1">
      <c r="A615" s="35">
        <v>333</v>
      </c>
      <c r="B615" s="38">
        <v>7</v>
      </c>
      <c r="C615" s="37" t="s">
        <v>91</v>
      </c>
      <c r="D615" s="37">
        <v>20</v>
      </c>
      <c r="E615" s="37" t="s">
        <v>539</v>
      </c>
      <c r="YS615" s="38" t="e">
        <f>RIGHT(CONCATENATE(0,#REF!),7)</f>
        <v>#REF!</v>
      </c>
    </row>
    <row r="616" spans="1:669" hidden="1">
      <c r="A616" s="35">
        <v>334</v>
      </c>
      <c r="B616" s="38">
        <v>7</v>
      </c>
      <c r="C616" s="37" t="s">
        <v>91</v>
      </c>
      <c r="D616" s="37">
        <v>21</v>
      </c>
      <c r="E616" s="37" t="s">
        <v>540</v>
      </c>
      <c r="YS616" s="38" t="e">
        <f>RIGHT(CONCATENATE(0,#REF!),7)</f>
        <v>#REF!</v>
      </c>
    </row>
    <row r="617" spans="1:669" hidden="1">
      <c r="A617" s="35">
        <v>335</v>
      </c>
      <c r="B617" s="38">
        <v>7</v>
      </c>
      <c r="C617" s="37" t="s">
        <v>91</v>
      </c>
      <c r="D617" s="37">
        <v>22</v>
      </c>
      <c r="E617" s="37" t="s">
        <v>541</v>
      </c>
      <c r="YS617" s="38" t="e">
        <f>RIGHT(CONCATENATE(0,#REF!),7)</f>
        <v>#REF!</v>
      </c>
    </row>
    <row r="618" spans="1:669" hidden="1">
      <c r="A618" s="35">
        <v>336</v>
      </c>
      <c r="B618" s="38">
        <v>7</v>
      </c>
      <c r="C618" s="37" t="s">
        <v>91</v>
      </c>
      <c r="D618" s="37">
        <v>23</v>
      </c>
      <c r="E618" s="37" t="s">
        <v>542</v>
      </c>
      <c r="YS618" s="38" t="e">
        <f>RIGHT(CONCATENATE(0,#REF!),7)</f>
        <v>#REF!</v>
      </c>
    </row>
    <row r="619" spans="1:669" hidden="1">
      <c r="A619" s="35">
        <v>337</v>
      </c>
      <c r="B619" s="38">
        <v>7</v>
      </c>
      <c r="C619" s="37" t="s">
        <v>91</v>
      </c>
      <c r="D619" s="37">
        <v>24</v>
      </c>
      <c r="E619" s="37" t="s">
        <v>543</v>
      </c>
      <c r="YS619" s="38" t="e">
        <f>RIGHT(CONCATENATE(0,#REF!),7)</f>
        <v>#REF!</v>
      </c>
    </row>
    <row r="620" spans="1:669" hidden="1">
      <c r="A620" s="35">
        <v>338</v>
      </c>
      <c r="B620" s="38">
        <v>7</v>
      </c>
      <c r="C620" s="37" t="s">
        <v>91</v>
      </c>
      <c r="D620" s="37">
        <v>25</v>
      </c>
      <c r="E620" s="37" t="s">
        <v>544</v>
      </c>
      <c r="YS620" s="38" t="e">
        <f>RIGHT(CONCATENATE(0,#REF!),7)</f>
        <v>#REF!</v>
      </c>
    </row>
    <row r="621" spans="1:669" hidden="1">
      <c r="A621" s="35">
        <v>339</v>
      </c>
      <c r="B621" s="38">
        <v>7</v>
      </c>
      <c r="C621" s="37" t="s">
        <v>91</v>
      </c>
      <c r="D621" s="37">
        <v>26</v>
      </c>
      <c r="E621" s="37" t="s">
        <v>545</v>
      </c>
      <c r="YS621" s="38" t="e">
        <f>RIGHT(CONCATENATE(0,#REF!),7)</f>
        <v>#REF!</v>
      </c>
    </row>
    <row r="622" spans="1:669" hidden="1">
      <c r="A622" s="35">
        <v>340</v>
      </c>
      <c r="B622" s="38">
        <v>7</v>
      </c>
      <c r="C622" s="37" t="s">
        <v>91</v>
      </c>
      <c r="D622" s="37">
        <v>27</v>
      </c>
      <c r="E622" s="37" t="s">
        <v>546</v>
      </c>
      <c r="YS622" s="38" t="e">
        <f>RIGHT(CONCATENATE(0,#REF!),7)</f>
        <v>#REF!</v>
      </c>
    </row>
    <row r="623" spans="1:669" hidden="1">
      <c r="A623" s="35">
        <v>341</v>
      </c>
      <c r="B623" s="38">
        <v>7</v>
      </c>
      <c r="C623" s="37" t="s">
        <v>91</v>
      </c>
      <c r="D623" s="37">
        <v>28</v>
      </c>
      <c r="E623" s="37" t="s">
        <v>547</v>
      </c>
      <c r="YS623" s="38" t="e">
        <f>RIGHT(CONCATENATE(0,#REF!),7)</f>
        <v>#REF!</v>
      </c>
    </row>
    <row r="624" spans="1:669" hidden="1">
      <c r="A624" s="35">
        <v>342</v>
      </c>
      <c r="B624" s="38">
        <v>7</v>
      </c>
      <c r="C624" s="37" t="s">
        <v>91</v>
      </c>
      <c r="D624" s="37">
        <v>29</v>
      </c>
      <c r="E624" s="37" t="s">
        <v>548</v>
      </c>
      <c r="YS624" s="38" t="e">
        <f>RIGHT(CONCATENATE(0,#REF!),7)</f>
        <v>#REF!</v>
      </c>
    </row>
    <row r="625" spans="1:669" hidden="1">
      <c r="A625" s="35">
        <v>343</v>
      </c>
      <c r="B625" s="38">
        <v>7</v>
      </c>
      <c r="C625" s="37" t="s">
        <v>91</v>
      </c>
      <c r="D625" s="37">
        <v>30</v>
      </c>
      <c r="E625" s="37" t="s">
        <v>549</v>
      </c>
      <c r="YS625" s="38" t="e">
        <f>RIGHT(CONCATENATE(0,#REF!),7)</f>
        <v>#REF!</v>
      </c>
    </row>
    <row r="626" spans="1:669" hidden="1">
      <c r="A626" s="35">
        <v>344</v>
      </c>
      <c r="B626" s="38">
        <v>7</v>
      </c>
      <c r="C626" s="37" t="s">
        <v>91</v>
      </c>
      <c r="D626" s="37">
        <v>31</v>
      </c>
      <c r="E626" s="37" t="s">
        <v>550</v>
      </c>
      <c r="YS626" s="38" t="e">
        <f>RIGHT(CONCATENATE(0,#REF!),7)</f>
        <v>#REF!</v>
      </c>
    </row>
    <row r="627" spans="1:669" hidden="1">
      <c r="A627" s="35">
        <v>345</v>
      </c>
      <c r="B627" s="38">
        <v>7</v>
      </c>
      <c r="C627" s="37" t="s">
        <v>91</v>
      </c>
      <c r="D627" s="37">
        <v>32</v>
      </c>
      <c r="E627" s="37" t="s">
        <v>551</v>
      </c>
      <c r="YS627" s="38" t="e">
        <f>RIGHT(CONCATENATE(0,#REF!),7)</f>
        <v>#REF!</v>
      </c>
    </row>
    <row r="628" spans="1:669" hidden="1">
      <c r="A628" s="35">
        <v>346</v>
      </c>
      <c r="B628" s="38">
        <v>7</v>
      </c>
      <c r="C628" s="37" t="s">
        <v>91</v>
      </c>
      <c r="D628" s="37">
        <v>33</v>
      </c>
      <c r="E628" s="37" t="s">
        <v>552</v>
      </c>
      <c r="YS628" s="38" t="e">
        <f>RIGHT(CONCATENATE(0,#REF!),7)</f>
        <v>#REF!</v>
      </c>
    </row>
    <row r="629" spans="1:669" hidden="1">
      <c r="A629" s="35">
        <v>347</v>
      </c>
      <c r="B629" s="38">
        <v>7</v>
      </c>
      <c r="C629" s="37" t="s">
        <v>91</v>
      </c>
      <c r="D629" s="37">
        <v>34</v>
      </c>
      <c r="E629" s="37" t="s">
        <v>553</v>
      </c>
      <c r="YS629" s="38" t="e">
        <f>RIGHT(CONCATENATE(0,#REF!),7)</f>
        <v>#REF!</v>
      </c>
    </row>
    <row r="630" spans="1:669" hidden="1">
      <c r="A630" s="35">
        <v>348</v>
      </c>
      <c r="B630" s="38">
        <v>7</v>
      </c>
      <c r="C630" s="37" t="s">
        <v>91</v>
      </c>
      <c r="D630" s="37">
        <v>35</v>
      </c>
      <c r="E630" s="37" t="s">
        <v>554</v>
      </c>
      <c r="YS630" s="38" t="e">
        <f>RIGHT(CONCATENATE(0,#REF!),7)</f>
        <v>#REF!</v>
      </c>
    </row>
    <row r="631" spans="1:669" hidden="1">
      <c r="A631" s="35">
        <v>349</v>
      </c>
      <c r="B631" s="38">
        <v>7</v>
      </c>
      <c r="C631" s="37" t="s">
        <v>91</v>
      </c>
      <c r="D631" s="37">
        <v>36</v>
      </c>
      <c r="E631" s="37" t="s">
        <v>555</v>
      </c>
      <c r="YS631" s="38" t="e">
        <f>RIGHT(CONCATENATE(0,#REF!),7)</f>
        <v>#REF!</v>
      </c>
    </row>
    <row r="632" spans="1:669" hidden="1">
      <c r="A632" s="35">
        <v>350</v>
      </c>
      <c r="B632" s="38">
        <v>7</v>
      </c>
      <c r="C632" s="37" t="s">
        <v>91</v>
      </c>
      <c r="D632" s="37">
        <v>37</v>
      </c>
      <c r="E632" s="37" t="s">
        <v>556</v>
      </c>
      <c r="YS632" s="38" t="e">
        <f>RIGHT(CONCATENATE(0,#REF!),7)</f>
        <v>#REF!</v>
      </c>
    </row>
    <row r="633" spans="1:669" hidden="1">
      <c r="A633" s="35">
        <v>351</v>
      </c>
      <c r="B633" s="38">
        <v>7</v>
      </c>
      <c r="C633" s="37" t="s">
        <v>91</v>
      </c>
      <c r="D633" s="37">
        <v>38</v>
      </c>
      <c r="E633" s="37" t="s">
        <v>557</v>
      </c>
      <c r="YS633" s="38" t="e">
        <f>RIGHT(CONCATENATE(0,#REF!),7)</f>
        <v>#REF!</v>
      </c>
    </row>
    <row r="634" spans="1:669" hidden="1">
      <c r="A634" s="35">
        <v>352</v>
      </c>
      <c r="B634" s="38">
        <v>7</v>
      </c>
      <c r="C634" s="37" t="s">
        <v>91</v>
      </c>
      <c r="D634" s="37">
        <v>39</v>
      </c>
      <c r="E634" s="37" t="s">
        <v>558</v>
      </c>
      <c r="YS634" s="38" t="e">
        <f>RIGHT(CONCATENATE(0,#REF!),7)</f>
        <v>#REF!</v>
      </c>
    </row>
    <row r="635" spans="1:669" hidden="1">
      <c r="A635" s="35">
        <v>353</v>
      </c>
      <c r="B635" s="38">
        <v>7</v>
      </c>
      <c r="C635" s="37" t="s">
        <v>91</v>
      </c>
      <c r="D635" s="37">
        <v>40</v>
      </c>
      <c r="E635" s="37" t="s">
        <v>559</v>
      </c>
      <c r="YS635" s="38" t="e">
        <f>RIGHT(CONCATENATE(0,#REF!),7)</f>
        <v>#REF!</v>
      </c>
    </row>
    <row r="636" spans="1:669" hidden="1">
      <c r="A636" s="35">
        <v>354</v>
      </c>
      <c r="B636" s="38">
        <v>7</v>
      </c>
      <c r="C636" s="37" t="s">
        <v>91</v>
      </c>
      <c r="D636" s="37">
        <v>41</v>
      </c>
      <c r="E636" s="37" t="s">
        <v>560</v>
      </c>
      <c r="YS636" s="38" t="e">
        <f>RIGHT(CONCATENATE(0,#REF!),7)</f>
        <v>#REF!</v>
      </c>
    </row>
    <row r="637" spans="1:669" hidden="1">
      <c r="A637" s="35">
        <v>355</v>
      </c>
      <c r="B637" s="38">
        <v>7</v>
      </c>
      <c r="C637" s="37" t="s">
        <v>91</v>
      </c>
      <c r="D637" s="37">
        <v>42</v>
      </c>
      <c r="E637" s="37" t="s">
        <v>561</v>
      </c>
      <c r="YS637" s="38" t="e">
        <f>RIGHT(CONCATENATE(0,#REF!),7)</f>
        <v>#REF!</v>
      </c>
    </row>
    <row r="638" spans="1:669" hidden="1">
      <c r="A638" s="35">
        <v>356</v>
      </c>
      <c r="B638" s="38">
        <v>7</v>
      </c>
      <c r="C638" s="37" t="s">
        <v>91</v>
      </c>
      <c r="D638" s="37">
        <v>43</v>
      </c>
      <c r="E638" s="37" t="s">
        <v>562</v>
      </c>
      <c r="YS638" s="38" t="e">
        <f>RIGHT(CONCATENATE(0,#REF!),7)</f>
        <v>#REF!</v>
      </c>
    </row>
    <row r="639" spans="1:669" hidden="1">
      <c r="A639" s="35">
        <v>357</v>
      </c>
      <c r="B639" s="38">
        <v>7</v>
      </c>
      <c r="C639" s="37" t="s">
        <v>91</v>
      </c>
      <c r="D639" s="37">
        <v>44</v>
      </c>
      <c r="E639" s="37" t="s">
        <v>563</v>
      </c>
      <c r="YS639" s="38" t="e">
        <f>RIGHT(CONCATENATE(0,#REF!),7)</f>
        <v>#REF!</v>
      </c>
    </row>
    <row r="640" spans="1:669" hidden="1">
      <c r="A640" s="35">
        <v>358</v>
      </c>
      <c r="B640" s="38">
        <v>7</v>
      </c>
      <c r="C640" s="37" t="s">
        <v>91</v>
      </c>
      <c r="D640" s="37">
        <v>45</v>
      </c>
      <c r="E640" s="37" t="s">
        <v>564</v>
      </c>
      <c r="YS640" s="38" t="e">
        <f>RIGHT(CONCATENATE(0,#REF!),7)</f>
        <v>#REF!</v>
      </c>
    </row>
    <row r="641" spans="1:669" hidden="1">
      <c r="A641" s="35">
        <v>359</v>
      </c>
      <c r="B641" s="38">
        <v>7</v>
      </c>
      <c r="C641" s="37" t="s">
        <v>91</v>
      </c>
      <c r="D641" s="37">
        <v>46</v>
      </c>
      <c r="E641" s="37" t="s">
        <v>565</v>
      </c>
      <c r="YS641" s="38" t="e">
        <f>RIGHT(CONCATENATE(0,#REF!),7)</f>
        <v>#REF!</v>
      </c>
    </row>
    <row r="642" spans="1:669" hidden="1">
      <c r="A642" s="35">
        <v>360</v>
      </c>
      <c r="B642" s="38">
        <v>7</v>
      </c>
      <c r="C642" s="37" t="s">
        <v>91</v>
      </c>
      <c r="D642" s="37">
        <v>47</v>
      </c>
      <c r="E642" s="37" t="s">
        <v>566</v>
      </c>
      <c r="YS642" s="38" t="e">
        <f>RIGHT(CONCATENATE(0,#REF!),7)</f>
        <v>#REF!</v>
      </c>
    </row>
    <row r="643" spans="1:669" hidden="1">
      <c r="A643" s="35">
        <v>361</v>
      </c>
      <c r="B643" s="38">
        <v>7</v>
      </c>
      <c r="C643" s="37" t="s">
        <v>91</v>
      </c>
      <c r="D643" s="37">
        <v>48</v>
      </c>
      <c r="E643" s="37" t="s">
        <v>174</v>
      </c>
      <c r="YS643" s="38" t="e">
        <f>RIGHT(CONCATENATE(0,#REF!),7)</f>
        <v>#REF!</v>
      </c>
    </row>
    <row r="644" spans="1:669" hidden="1">
      <c r="A644" s="35">
        <v>362</v>
      </c>
      <c r="B644" s="38">
        <v>7</v>
      </c>
      <c r="C644" s="37" t="s">
        <v>91</v>
      </c>
      <c r="D644" s="37">
        <v>49</v>
      </c>
      <c r="E644" s="37" t="s">
        <v>567</v>
      </c>
      <c r="YS644" s="38" t="e">
        <f>RIGHT(CONCATENATE(0,#REF!),7)</f>
        <v>#REF!</v>
      </c>
    </row>
    <row r="645" spans="1:669" hidden="1">
      <c r="A645" s="35">
        <v>363</v>
      </c>
      <c r="B645" s="38">
        <v>7</v>
      </c>
      <c r="C645" s="37" t="s">
        <v>91</v>
      </c>
      <c r="D645" s="37">
        <v>50</v>
      </c>
      <c r="E645" s="37" t="s">
        <v>568</v>
      </c>
      <c r="YS645" s="38" t="e">
        <f>RIGHT(CONCATENATE(0,#REF!),7)</f>
        <v>#REF!</v>
      </c>
    </row>
    <row r="646" spans="1:669" hidden="1">
      <c r="A646" s="35">
        <v>364</v>
      </c>
      <c r="B646" s="38">
        <v>7</v>
      </c>
      <c r="C646" s="37" t="s">
        <v>91</v>
      </c>
      <c r="D646" s="37">
        <v>51</v>
      </c>
      <c r="E646" s="37" t="s">
        <v>569</v>
      </c>
      <c r="YS646" s="38" t="e">
        <f>RIGHT(CONCATENATE(0,#REF!),7)</f>
        <v>#REF!</v>
      </c>
    </row>
    <row r="647" spans="1:669" hidden="1">
      <c r="A647" s="35">
        <v>365</v>
      </c>
      <c r="B647" s="38">
        <v>7</v>
      </c>
      <c r="C647" s="37" t="s">
        <v>91</v>
      </c>
      <c r="D647" s="37">
        <v>52</v>
      </c>
      <c r="E647" s="37" t="s">
        <v>570</v>
      </c>
      <c r="YS647" s="38" t="e">
        <f>RIGHT(CONCATENATE(0,#REF!),7)</f>
        <v>#REF!</v>
      </c>
    </row>
    <row r="648" spans="1:669" hidden="1">
      <c r="A648" s="35">
        <v>366</v>
      </c>
      <c r="B648" s="38">
        <v>7</v>
      </c>
      <c r="C648" s="37" t="s">
        <v>91</v>
      </c>
      <c r="D648" s="37">
        <v>53</v>
      </c>
      <c r="E648" s="37" t="s">
        <v>571</v>
      </c>
      <c r="YS648" s="38" t="e">
        <f>RIGHT(CONCATENATE(0,#REF!),7)</f>
        <v>#REF!</v>
      </c>
    </row>
    <row r="649" spans="1:669" hidden="1">
      <c r="A649" s="35">
        <v>367</v>
      </c>
      <c r="B649" s="38">
        <v>7</v>
      </c>
      <c r="C649" s="37" t="s">
        <v>91</v>
      </c>
      <c r="D649" s="37">
        <v>54</v>
      </c>
      <c r="E649" s="37" t="s">
        <v>572</v>
      </c>
      <c r="YS649" s="38" t="e">
        <f>RIGHT(CONCATENATE(0,#REF!),7)</f>
        <v>#REF!</v>
      </c>
    </row>
    <row r="650" spans="1:669" hidden="1">
      <c r="A650" s="35">
        <v>368</v>
      </c>
      <c r="B650" s="38">
        <v>7</v>
      </c>
      <c r="C650" s="37" t="s">
        <v>91</v>
      </c>
      <c r="D650" s="37">
        <v>55</v>
      </c>
      <c r="E650" s="37" t="s">
        <v>573</v>
      </c>
      <c r="YS650" s="38" t="e">
        <f>RIGHT(CONCATENATE(0,#REF!),7)</f>
        <v>#REF!</v>
      </c>
    </row>
    <row r="651" spans="1:669" hidden="1">
      <c r="A651" s="35">
        <v>369</v>
      </c>
      <c r="B651" s="38">
        <v>7</v>
      </c>
      <c r="C651" s="37" t="s">
        <v>91</v>
      </c>
      <c r="D651" s="37">
        <v>56</v>
      </c>
      <c r="E651" s="37" t="s">
        <v>574</v>
      </c>
      <c r="YS651" s="38" t="e">
        <f>RIGHT(CONCATENATE(0,#REF!),7)</f>
        <v>#REF!</v>
      </c>
    </row>
    <row r="652" spans="1:669" hidden="1">
      <c r="A652" s="35">
        <v>370</v>
      </c>
      <c r="B652" s="38">
        <v>8</v>
      </c>
      <c r="C652" s="37" t="s">
        <v>94</v>
      </c>
      <c r="D652" s="37">
        <v>1</v>
      </c>
      <c r="E652" s="37" t="s">
        <v>575</v>
      </c>
      <c r="YS652" s="38" t="e">
        <f>RIGHT(CONCATENATE(0,#REF!),7)</f>
        <v>#REF!</v>
      </c>
    </row>
    <row r="653" spans="1:669" hidden="1">
      <c r="A653" s="35">
        <v>371</v>
      </c>
      <c r="B653" s="38">
        <v>8</v>
      </c>
      <c r="C653" s="37" t="s">
        <v>94</v>
      </c>
      <c r="D653" s="37">
        <v>2</v>
      </c>
      <c r="E653" s="37" t="s">
        <v>576</v>
      </c>
      <c r="YS653" s="38" t="e">
        <f>RIGHT(CONCATENATE(0,#REF!),7)</f>
        <v>#REF!</v>
      </c>
    </row>
    <row r="654" spans="1:669" hidden="1">
      <c r="A654" s="35">
        <v>372</v>
      </c>
      <c r="B654" s="38">
        <v>8</v>
      </c>
      <c r="C654" s="37" t="s">
        <v>94</v>
      </c>
      <c r="D654" s="37">
        <v>3</v>
      </c>
      <c r="E654" s="37" t="s">
        <v>577</v>
      </c>
      <c r="YS654" s="38" t="e">
        <f>RIGHT(CONCATENATE(0,#REF!),7)</f>
        <v>#REF!</v>
      </c>
    </row>
    <row r="655" spans="1:669" hidden="1">
      <c r="A655" s="35">
        <v>373</v>
      </c>
      <c r="B655" s="38">
        <v>8</v>
      </c>
      <c r="C655" s="37" t="s">
        <v>94</v>
      </c>
      <c r="D655" s="37">
        <v>4</v>
      </c>
      <c r="E655" s="37" t="s">
        <v>578</v>
      </c>
      <c r="YS655" s="38" t="e">
        <f>RIGHT(CONCATENATE(0,#REF!),7)</f>
        <v>#REF!</v>
      </c>
    </row>
    <row r="656" spans="1:669" hidden="1">
      <c r="A656" s="35">
        <v>374</v>
      </c>
      <c r="B656" s="38">
        <v>8</v>
      </c>
      <c r="C656" s="37" t="s">
        <v>94</v>
      </c>
      <c r="D656" s="37">
        <v>5</v>
      </c>
      <c r="E656" s="37" t="s">
        <v>579</v>
      </c>
      <c r="YS656" s="38" t="e">
        <f>RIGHT(CONCATENATE(0,#REF!),7)</f>
        <v>#REF!</v>
      </c>
    </row>
    <row r="657" spans="1:669" hidden="1">
      <c r="A657" s="35">
        <v>375</v>
      </c>
      <c r="B657" s="38">
        <v>8</v>
      </c>
      <c r="C657" s="37" t="s">
        <v>94</v>
      </c>
      <c r="D657" s="37">
        <v>6</v>
      </c>
      <c r="E657" s="37" t="s">
        <v>580</v>
      </c>
      <c r="YS657" s="38" t="e">
        <f>RIGHT(CONCATENATE(0,#REF!),7)</f>
        <v>#REF!</v>
      </c>
    </row>
    <row r="658" spans="1:669" hidden="1">
      <c r="A658" s="35">
        <v>376</v>
      </c>
      <c r="B658" s="38">
        <v>8</v>
      </c>
      <c r="C658" s="37" t="s">
        <v>94</v>
      </c>
      <c r="D658" s="37">
        <v>7</v>
      </c>
      <c r="E658" s="37" t="s">
        <v>581</v>
      </c>
      <c r="YS658" s="38" t="e">
        <f>RIGHT(CONCATENATE(0,#REF!),7)</f>
        <v>#REF!</v>
      </c>
    </row>
    <row r="659" spans="1:669" hidden="1">
      <c r="A659" s="35">
        <v>377</v>
      </c>
      <c r="B659" s="38">
        <v>8</v>
      </c>
      <c r="C659" s="37" t="s">
        <v>94</v>
      </c>
      <c r="D659" s="37">
        <v>8</v>
      </c>
      <c r="E659" s="37" t="s">
        <v>582</v>
      </c>
      <c r="YS659" s="38" t="e">
        <f>RIGHT(CONCATENATE(0,#REF!),7)</f>
        <v>#REF!</v>
      </c>
    </row>
    <row r="660" spans="1:669" hidden="1">
      <c r="A660" s="35">
        <v>378</v>
      </c>
      <c r="B660" s="38">
        <v>8</v>
      </c>
      <c r="C660" s="37" t="s">
        <v>94</v>
      </c>
      <c r="D660" s="37">
        <v>9</v>
      </c>
      <c r="E660" s="37" t="s">
        <v>583</v>
      </c>
      <c r="YS660" s="38" t="e">
        <f>RIGHT(CONCATENATE(0,#REF!),7)</f>
        <v>#REF!</v>
      </c>
    </row>
    <row r="661" spans="1:669" hidden="1">
      <c r="A661" s="35">
        <v>379</v>
      </c>
      <c r="B661" s="38">
        <v>8</v>
      </c>
      <c r="C661" s="37" t="s">
        <v>94</v>
      </c>
      <c r="D661" s="37">
        <v>10</v>
      </c>
      <c r="E661" s="37" t="s">
        <v>584</v>
      </c>
      <c r="YS661" s="38" t="e">
        <f>RIGHT(CONCATENATE(0,#REF!),7)</f>
        <v>#REF!</v>
      </c>
    </row>
    <row r="662" spans="1:669" hidden="1">
      <c r="A662" s="35">
        <v>380</v>
      </c>
      <c r="B662" s="38">
        <v>8</v>
      </c>
      <c r="C662" s="37" t="s">
        <v>94</v>
      </c>
      <c r="D662" s="37">
        <v>11</v>
      </c>
      <c r="E662" s="37" t="s">
        <v>585</v>
      </c>
      <c r="YS662" s="38" t="e">
        <f>RIGHT(CONCATENATE(0,#REF!),7)</f>
        <v>#REF!</v>
      </c>
    </row>
    <row r="663" spans="1:669" hidden="1">
      <c r="A663" s="35">
        <v>381</v>
      </c>
      <c r="B663" s="38">
        <v>8</v>
      </c>
      <c r="C663" s="37" t="s">
        <v>94</v>
      </c>
      <c r="D663" s="37">
        <v>12</v>
      </c>
      <c r="E663" s="37" t="s">
        <v>586</v>
      </c>
      <c r="YS663" s="38" t="e">
        <f>RIGHT(CONCATENATE(0,#REF!),7)</f>
        <v>#REF!</v>
      </c>
    </row>
    <row r="664" spans="1:669" hidden="1">
      <c r="A664" s="35">
        <v>382</v>
      </c>
      <c r="B664" s="38">
        <v>8</v>
      </c>
      <c r="C664" s="37" t="s">
        <v>94</v>
      </c>
      <c r="D664" s="37">
        <v>13</v>
      </c>
      <c r="E664" s="37" t="s">
        <v>587</v>
      </c>
      <c r="YS664" s="38" t="e">
        <f>RIGHT(CONCATENATE(0,#REF!),7)</f>
        <v>#REF!</v>
      </c>
    </row>
    <row r="665" spans="1:669" hidden="1">
      <c r="A665" s="35">
        <v>383</v>
      </c>
      <c r="B665" s="38">
        <v>8</v>
      </c>
      <c r="C665" s="37" t="s">
        <v>94</v>
      </c>
      <c r="D665" s="37">
        <v>14</v>
      </c>
      <c r="E665" s="37" t="s">
        <v>588</v>
      </c>
      <c r="YS665" s="38" t="e">
        <f>RIGHT(CONCATENATE(0,#REF!),7)</f>
        <v>#REF!</v>
      </c>
    </row>
    <row r="666" spans="1:669" hidden="1">
      <c r="A666" s="35">
        <v>384</v>
      </c>
      <c r="B666" s="38">
        <v>8</v>
      </c>
      <c r="C666" s="37" t="s">
        <v>94</v>
      </c>
      <c r="D666" s="37">
        <v>15</v>
      </c>
      <c r="E666" s="37" t="s">
        <v>589</v>
      </c>
      <c r="YS666" s="38" t="e">
        <f>RIGHT(CONCATENATE(0,#REF!),7)</f>
        <v>#REF!</v>
      </c>
    </row>
    <row r="667" spans="1:669" hidden="1">
      <c r="A667" s="35">
        <v>385</v>
      </c>
      <c r="B667" s="38">
        <v>8</v>
      </c>
      <c r="C667" s="37" t="s">
        <v>94</v>
      </c>
      <c r="D667" s="37">
        <v>16</v>
      </c>
      <c r="E667" s="37" t="s">
        <v>590</v>
      </c>
      <c r="YS667" s="38" t="e">
        <f>RIGHT(CONCATENATE(0,#REF!),7)</f>
        <v>#REF!</v>
      </c>
    </row>
    <row r="668" spans="1:669" hidden="1">
      <c r="A668" s="35">
        <v>386</v>
      </c>
      <c r="B668" s="38">
        <v>8</v>
      </c>
      <c r="C668" s="37" t="s">
        <v>94</v>
      </c>
      <c r="D668" s="37">
        <v>17</v>
      </c>
      <c r="E668" s="37" t="s">
        <v>591</v>
      </c>
      <c r="YS668" s="38" t="e">
        <f>RIGHT(CONCATENATE(0,#REF!),7)</f>
        <v>#REF!</v>
      </c>
    </row>
    <row r="669" spans="1:669" hidden="1">
      <c r="A669" s="35">
        <v>387</v>
      </c>
      <c r="B669" s="38">
        <v>8</v>
      </c>
      <c r="C669" s="37" t="s">
        <v>94</v>
      </c>
      <c r="D669" s="37">
        <v>18</v>
      </c>
      <c r="E669" s="37" t="s">
        <v>592</v>
      </c>
      <c r="YS669" s="38" t="e">
        <f>RIGHT(CONCATENATE(0,#REF!),7)</f>
        <v>#REF!</v>
      </c>
    </row>
    <row r="670" spans="1:669" hidden="1">
      <c r="A670" s="35">
        <v>388</v>
      </c>
      <c r="B670" s="38">
        <v>8</v>
      </c>
      <c r="C670" s="37" t="s">
        <v>94</v>
      </c>
      <c r="D670" s="37">
        <v>19</v>
      </c>
      <c r="E670" s="37" t="s">
        <v>593</v>
      </c>
      <c r="YS670" s="38" t="e">
        <f>RIGHT(CONCATENATE(0,#REF!),7)</f>
        <v>#REF!</v>
      </c>
    </row>
    <row r="671" spans="1:669" hidden="1">
      <c r="A671" s="35">
        <v>389</v>
      </c>
      <c r="B671" s="38">
        <v>8</v>
      </c>
      <c r="C671" s="37" t="s">
        <v>94</v>
      </c>
      <c r="D671" s="37">
        <v>20</v>
      </c>
      <c r="E671" s="37" t="s">
        <v>594</v>
      </c>
      <c r="YS671" s="38" t="e">
        <f>RIGHT(CONCATENATE(0,#REF!),7)</f>
        <v>#REF!</v>
      </c>
    </row>
    <row r="672" spans="1:669" hidden="1">
      <c r="A672" s="35">
        <v>390</v>
      </c>
      <c r="B672" s="38">
        <v>8</v>
      </c>
      <c r="C672" s="37" t="s">
        <v>94</v>
      </c>
      <c r="D672" s="37">
        <v>21</v>
      </c>
      <c r="E672" s="37" t="s">
        <v>595</v>
      </c>
      <c r="YS672" s="38" t="e">
        <f>RIGHT(CONCATENATE(0,#REF!),7)</f>
        <v>#REF!</v>
      </c>
    </row>
    <row r="673" spans="1:669" hidden="1">
      <c r="A673" s="35">
        <v>391</v>
      </c>
      <c r="B673" s="38">
        <v>8</v>
      </c>
      <c r="C673" s="37" t="s">
        <v>94</v>
      </c>
      <c r="D673" s="37">
        <v>22</v>
      </c>
      <c r="E673" s="37" t="s">
        <v>596</v>
      </c>
      <c r="YS673" s="38" t="e">
        <f>RIGHT(CONCATENATE(0,#REF!),7)</f>
        <v>#REF!</v>
      </c>
    </row>
    <row r="674" spans="1:669" hidden="1">
      <c r="A674" s="35">
        <v>392</v>
      </c>
      <c r="B674" s="38">
        <v>8</v>
      </c>
      <c r="C674" s="37" t="s">
        <v>94</v>
      </c>
      <c r="D674" s="37">
        <v>23</v>
      </c>
      <c r="E674" s="37" t="s">
        <v>597</v>
      </c>
      <c r="YS674" s="38" t="e">
        <f>RIGHT(CONCATENATE(0,#REF!),7)</f>
        <v>#REF!</v>
      </c>
    </row>
    <row r="675" spans="1:669" hidden="1">
      <c r="A675" s="35">
        <v>393</v>
      </c>
      <c r="B675" s="38">
        <v>8</v>
      </c>
      <c r="C675" s="37" t="s">
        <v>94</v>
      </c>
      <c r="D675" s="37">
        <v>24</v>
      </c>
      <c r="E675" s="37" t="s">
        <v>598</v>
      </c>
      <c r="YS675" s="38" t="e">
        <f>RIGHT(CONCATENATE(0,#REF!),7)</f>
        <v>#REF!</v>
      </c>
    </row>
    <row r="676" spans="1:669" hidden="1">
      <c r="A676" s="35">
        <v>394</v>
      </c>
      <c r="B676" s="38">
        <v>8</v>
      </c>
      <c r="C676" s="37" t="s">
        <v>94</v>
      </c>
      <c r="D676" s="37">
        <v>25</v>
      </c>
      <c r="E676" s="37" t="s">
        <v>599</v>
      </c>
      <c r="YS676" s="38" t="e">
        <f>RIGHT(CONCATENATE(0,#REF!),7)</f>
        <v>#REF!</v>
      </c>
    </row>
    <row r="677" spans="1:669" hidden="1">
      <c r="A677" s="35">
        <v>395</v>
      </c>
      <c r="B677" s="38">
        <v>8</v>
      </c>
      <c r="C677" s="37" t="s">
        <v>94</v>
      </c>
      <c r="D677" s="37">
        <v>26</v>
      </c>
      <c r="E677" s="37" t="s">
        <v>600</v>
      </c>
      <c r="YS677" s="38" t="e">
        <f>RIGHT(CONCATENATE(0,#REF!),7)</f>
        <v>#REF!</v>
      </c>
    </row>
    <row r="678" spans="1:669" hidden="1">
      <c r="A678" s="35">
        <v>396</v>
      </c>
      <c r="B678" s="38">
        <v>8</v>
      </c>
      <c r="C678" s="37" t="s">
        <v>94</v>
      </c>
      <c r="D678" s="37">
        <v>27</v>
      </c>
      <c r="E678" s="37" t="s">
        <v>601</v>
      </c>
      <c r="YS678" s="38" t="e">
        <f>RIGHT(CONCATENATE(0,#REF!),7)</f>
        <v>#REF!</v>
      </c>
    </row>
    <row r="679" spans="1:669" hidden="1">
      <c r="A679" s="35">
        <v>397</v>
      </c>
      <c r="B679" s="38">
        <v>8</v>
      </c>
      <c r="C679" s="37" t="s">
        <v>94</v>
      </c>
      <c r="D679" s="37">
        <v>28</v>
      </c>
      <c r="E679" s="37" t="s">
        <v>602</v>
      </c>
      <c r="YS679" s="38" t="e">
        <f>RIGHT(CONCATENATE(0,#REF!),7)</f>
        <v>#REF!</v>
      </c>
    </row>
    <row r="680" spans="1:669" hidden="1">
      <c r="A680" s="35">
        <v>398</v>
      </c>
      <c r="B680" s="38">
        <v>8</v>
      </c>
      <c r="C680" s="37" t="s">
        <v>94</v>
      </c>
      <c r="D680" s="37">
        <v>29</v>
      </c>
      <c r="E680" s="37" t="s">
        <v>603</v>
      </c>
      <c r="YS680" s="38" t="e">
        <f>RIGHT(CONCATENATE(0,#REF!),7)</f>
        <v>#REF!</v>
      </c>
    </row>
    <row r="681" spans="1:669" hidden="1">
      <c r="A681" s="35">
        <v>399</v>
      </c>
      <c r="B681" s="38">
        <v>8</v>
      </c>
      <c r="C681" s="37" t="s">
        <v>94</v>
      </c>
      <c r="D681" s="37">
        <v>30</v>
      </c>
      <c r="E681" s="37" t="s">
        <v>604</v>
      </c>
      <c r="YS681" s="38" t="e">
        <f>RIGHT(CONCATENATE(0,#REF!),7)</f>
        <v>#REF!</v>
      </c>
    </row>
    <row r="682" spans="1:669" hidden="1">
      <c r="A682" s="35">
        <v>400</v>
      </c>
      <c r="B682" s="38">
        <v>8</v>
      </c>
      <c r="C682" s="37" t="s">
        <v>94</v>
      </c>
      <c r="D682" s="37">
        <v>31</v>
      </c>
      <c r="E682" s="37" t="s">
        <v>605</v>
      </c>
      <c r="YS682" s="38" t="e">
        <f>RIGHT(CONCATENATE(0,#REF!),7)</f>
        <v>#REF!</v>
      </c>
    </row>
    <row r="683" spans="1:669" hidden="1">
      <c r="A683" s="35">
        <v>401</v>
      </c>
      <c r="B683" s="38">
        <v>8</v>
      </c>
      <c r="C683" s="37" t="s">
        <v>94</v>
      </c>
      <c r="D683" s="37">
        <v>32</v>
      </c>
      <c r="E683" s="37" t="s">
        <v>606</v>
      </c>
      <c r="YS683" s="38" t="e">
        <f>RIGHT(CONCATENATE(0,#REF!),7)</f>
        <v>#REF!</v>
      </c>
    </row>
    <row r="684" spans="1:669" hidden="1">
      <c r="A684" s="35">
        <v>402</v>
      </c>
      <c r="B684" s="38">
        <v>8</v>
      </c>
      <c r="C684" s="37" t="s">
        <v>94</v>
      </c>
      <c r="D684" s="37">
        <v>33</v>
      </c>
      <c r="E684" s="37" t="s">
        <v>607</v>
      </c>
      <c r="YS684" s="38" t="e">
        <f>RIGHT(CONCATENATE(0,#REF!),7)</f>
        <v>#REF!</v>
      </c>
    </row>
    <row r="685" spans="1:669" hidden="1">
      <c r="A685" s="35">
        <v>403</v>
      </c>
      <c r="B685" s="38">
        <v>8</v>
      </c>
      <c r="C685" s="37" t="s">
        <v>94</v>
      </c>
      <c r="D685" s="37">
        <v>34</v>
      </c>
      <c r="E685" s="37" t="s">
        <v>608</v>
      </c>
      <c r="YS685" s="38" t="e">
        <f>RIGHT(CONCATENATE(0,#REF!),7)</f>
        <v>#REF!</v>
      </c>
    </row>
    <row r="686" spans="1:669" hidden="1">
      <c r="A686" s="35">
        <v>404</v>
      </c>
      <c r="B686" s="38">
        <v>8</v>
      </c>
      <c r="C686" s="37" t="s">
        <v>94</v>
      </c>
      <c r="D686" s="37">
        <v>35</v>
      </c>
      <c r="E686" s="37" t="s">
        <v>609</v>
      </c>
      <c r="YS686" s="38" t="e">
        <f>RIGHT(CONCATENATE(0,#REF!),7)</f>
        <v>#REF!</v>
      </c>
    </row>
    <row r="687" spans="1:669" hidden="1">
      <c r="A687" s="35">
        <v>405</v>
      </c>
      <c r="B687" s="38">
        <v>8</v>
      </c>
      <c r="C687" s="37" t="s">
        <v>94</v>
      </c>
      <c r="D687" s="37">
        <v>36</v>
      </c>
      <c r="E687" s="37" t="s">
        <v>610</v>
      </c>
      <c r="YS687" s="38" t="e">
        <f>RIGHT(CONCATENATE(0,#REF!),7)</f>
        <v>#REF!</v>
      </c>
    </row>
    <row r="688" spans="1:669" hidden="1">
      <c r="A688" s="35">
        <v>406</v>
      </c>
      <c r="B688" s="38">
        <v>8</v>
      </c>
      <c r="C688" s="37" t="s">
        <v>94</v>
      </c>
      <c r="D688" s="37">
        <v>37</v>
      </c>
      <c r="E688" s="37" t="s">
        <v>611</v>
      </c>
      <c r="YS688" s="38" t="e">
        <f>RIGHT(CONCATENATE(0,#REF!),7)</f>
        <v>#REF!</v>
      </c>
    </row>
    <row r="689" spans="1:669" hidden="1">
      <c r="A689" s="35">
        <v>407</v>
      </c>
      <c r="B689" s="38">
        <v>8</v>
      </c>
      <c r="C689" s="37" t="s">
        <v>94</v>
      </c>
      <c r="D689" s="37">
        <v>38</v>
      </c>
      <c r="E689" s="37" t="s">
        <v>612</v>
      </c>
      <c r="YS689" s="38" t="e">
        <f>RIGHT(CONCATENATE(0,#REF!),7)</f>
        <v>#REF!</v>
      </c>
    </row>
    <row r="690" spans="1:669" hidden="1">
      <c r="A690" s="35">
        <v>408</v>
      </c>
      <c r="B690" s="38">
        <v>8</v>
      </c>
      <c r="C690" s="37" t="s">
        <v>94</v>
      </c>
      <c r="D690" s="37">
        <v>39</v>
      </c>
      <c r="E690" s="37" t="s">
        <v>613</v>
      </c>
      <c r="YS690" s="38" t="e">
        <f>RIGHT(CONCATENATE(0,#REF!),7)</f>
        <v>#REF!</v>
      </c>
    </row>
    <row r="691" spans="1:669" hidden="1">
      <c r="A691" s="35">
        <v>409</v>
      </c>
      <c r="B691" s="38">
        <v>8</v>
      </c>
      <c r="C691" s="37" t="s">
        <v>94</v>
      </c>
      <c r="D691" s="37">
        <v>40</v>
      </c>
      <c r="E691" s="37" t="s">
        <v>614</v>
      </c>
      <c r="YS691" s="38" t="e">
        <f>RIGHT(CONCATENATE(0,#REF!),7)</f>
        <v>#REF!</v>
      </c>
    </row>
    <row r="692" spans="1:669" hidden="1">
      <c r="A692" s="35">
        <v>410</v>
      </c>
      <c r="B692" s="38">
        <v>8</v>
      </c>
      <c r="C692" s="37" t="s">
        <v>94</v>
      </c>
      <c r="D692" s="37">
        <v>41</v>
      </c>
      <c r="E692" s="37" t="s">
        <v>615</v>
      </c>
      <c r="YS692" s="38" t="e">
        <f>RIGHT(CONCATENATE(0,#REF!),7)</f>
        <v>#REF!</v>
      </c>
    </row>
    <row r="693" spans="1:669" hidden="1">
      <c r="A693" s="35">
        <v>411</v>
      </c>
      <c r="B693" s="38">
        <v>8</v>
      </c>
      <c r="C693" s="37" t="s">
        <v>94</v>
      </c>
      <c r="D693" s="37">
        <v>42</v>
      </c>
      <c r="E693" s="37" t="s">
        <v>616</v>
      </c>
      <c r="YS693" s="38" t="e">
        <f>RIGHT(CONCATENATE(0,#REF!),7)</f>
        <v>#REF!</v>
      </c>
    </row>
    <row r="694" spans="1:669" hidden="1">
      <c r="A694" s="35">
        <v>412</v>
      </c>
      <c r="B694" s="38">
        <v>8</v>
      </c>
      <c r="C694" s="37" t="s">
        <v>94</v>
      </c>
      <c r="D694" s="37">
        <v>43</v>
      </c>
      <c r="E694" s="37" t="s">
        <v>617</v>
      </c>
      <c r="YS694" s="38" t="e">
        <f>RIGHT(CONCATENATE(0,#REF!),7)</f>
        <v>#REF!</v>
      </c>
    </row>
    <row r="695" spans="1:669" hidden="1">
      <c r="A695" s="35">
        <v>413</v>
      </c>
      <c r="B695" s="38">
        <v>8</v>
      </c>
      <c r="C695" s="37" t="s">
        <v>94</v>
      </c>
      <c r="D695" s="37">
        <v>44</v>
      </c>
      <c r="E695" s="37" t="s">
        <v>618</v>
      </c>
      <c r="YS695" s="38" t="e">
        <f>RIGHT(CONCATENATE(0,#REF!),7)</f>
        <v>#REF!</v>
      </c>
    </row>
    <row r="696" spans="1:669" hidden="1">
      <c r="A696" s="35">
        <v>414</v>
      </c>
      <c r="B696" s="38">
        <v>8</v>
      </c>
      <c r="C696" s="37" t="s">
        <v>94</v>
      </c>
      <c r="D696" s="37">
        <v>45</v>
      </c>
      <c r="E696" s="37" t="s">
        <v>619</v>
      </c>
      <c r="YS696" s="38" t="e">
        <f>RIGHT(CONCATENATE(0,#REF!),7)</f>
        <v>#REF!</v>
      </c>
    </row>
    <row r="697" spans="1:669" hidden="1">
      <c r="A697" s="35">
        <v>415</v>
      </c>
      <c r="B697" s="38">
        <v>8</v>
      </c>
      <c r="C697" s="37" t="s">
        <v>94</v>
      </c>
      <c r="D697" s="37">
        <v>46</v>
      </c>
      <c r="E697" s="37" t="s">
        <v>620</v>
      </c>
      <c r="YS697" s="38" t="e">
        <f>RIGHT(CONCATENATE(0,#REF!),7)</f>
        <v>#REF!</v>
      </c>
    </row>
    <row r="698" spans="1:669" hidden="1">
      <c r="A698" s="35">
        <v>416</v>
      </c>
      <c r="B698" s="38">
        <v>9</v>
      </c>
      <c r="C698" s="37" t="s">
        <v>97</v>
      </c>
      <c r="D698" s="37">
        <v>1</v>
      </c>
      <c r="E698" s="37" t="s">
        <v>621</v>
      </c>
      <c r="YS698" s="38" t="e">
        <f>RIGHT(CONCATENATE(0,#REF!),7)</f>
        <v>#REF!</v>
      </c>
    </row>
    <row r="699" spans="1:669" hidden="1">
      <c r="A699" s="35">
        <v>417</v>
      </c>
      <c r="B699" s="38">
        <v>9</v>
      </c>
      <c r="C699" s="37" t="s">
        <v>97</v>
      </c>
      <c r="D699" s="37">
        <v>2</v>
      </c>
      <c r="E699" s="37" t="s">
        <v>622</v>
      </c>
      <c r="YS699" s="38" t="e">
        <f>RIGHT(CONCATENATE(0,#REF!),7)</f>
        <v>#REF!</v>
      </c>
    </row>
    <row r="700" spans="1:669" hidden="1">
      <c r="A700" s="35">
        <v>418</v>
      </c>
      <c r="B700" s="38">
        <v>9</v>
      </c>
      <c r="C700" s="37" t="s">
        <v>97</v>
      </c>
      <c r="D700" s="37">
        <v>3</v>
      </c>
      <c r="E700" s="37" t="s">
        <v>623</v>
      </c>
      <c r="YS700" s="38" t="e">
        <f>RIGHT(CONCATENATE(0,#REF!),7)</f>
        <v>#REF!</v>
      </c>
    </row>
    <row r="701" spans="1:669" hidden="1">
      <c r="A701" s="35">
        <v>419</v>
      </c>
      <c r="B701" s="38">
        <v>9</v>
      </c>
      <c r="C701" s="37" t="s">
        <v>97</v>
      </c>
      <c r="D701" s="37">
        <v>4</v>
      </c>
      <c r="E701" s="37" t="s">
        <v>624</v>
      </c>
      <c r="YS701" s="38" t="e">
        <f>RIGHT(CONCATENATE(0,#REF!),7)</f>
        <v>#REF!</v>
      </c>
    </row>
    <row r="702" spans="1:669" hidden="1">
      <c r="A702" s="35">
        <v>420</v>
      </c>
      <c r="B702" s="38">
        <v>9</v>
      </c>
      <c r="C702" s="37" t="s">
        <v>97</v>
      </c>
      <c r="D702" s="37">
        <v>5</v>
      </c>
      <c r="E702" s="37" t="s">
        <v>625</v>
      </c>
      <c r="YS702" s="38" t="e">
        <f>RIGHT(CONCATENATE(0,#REF!),7)</f>
        <v>#REF!</v>
      </c>
    </row>
    <row r="703" spans="1:669" hidden="1">
      <c r="A703" s="35">
        <v>421</v>
      </c>
      <c r="B703" s="38">
        <v>9</v>
      </c>
      <c r="C703" s="37" t="s">
        <v>97</v>
      </c>
      <c r="D703" s="37">
        <v>6</v>
      </c>
      <c r="E703" s="37" t="s">
        <v>626</v>
      </c>
      <c r="YS703" s="38" t="e">
        <f>RIGHT(CONCATENATE(0,#REF!),7)</f>
        <v>#REF!</v>
      </c>
    </row>
    <row r="704" spans="1:669" hidden="1">
      <c r="A704" s="35">
        <v>422</v>
      </c>
      <c r="B704" s="38">
        <v>9</v>
      </c>
      <c r="C704" s="37" t="s">
        <v>97</v>
      </c>
      <c r="D704" s="37">
        <v>7</v>
      </c>
      <c r="E704" s="37" t="s">
        <v>627</v>
      </c>
      <c r="YS704" s="38" t="e">
        <f>RIGHT(CONCATENATE(0,#REF!),7)</f>
        <v>#REF!</v>
      </c>
    </row>
    <row r="705" spans="1:669" hidden="1">
      <c r="A705" s="35">
        <v>423</v>
      </c>
      <c r="B705" s="38">
        <v>9</v>
      </c>
      <c r="C705" s="37" t="s">
        <v>97</v>
      </c>
      <c r="D705" s="37">
        <v>8</v>
      </c>
      <c r="E705" s="37" t="s">
        <v>628</v>
      </c>
      <c r="YS705" s="38" t="e">
        <f>RIGHT(CONCATENATE(0,#REF!),7)</f>
        <v>#REF!</v>
      </c>
    </row>
    <row r="706" spans="1:669" hidden="1">
      <c r="A706" s="35">
        <v>424</v>
      </c>
      <c r="B706" s="38">
        <v>9</v>
      </c>
      <c r="C706" s="37" t="s">
        <v>97</v>
      </c>
      <c r="D706" s="37">
        <v>9</v>
      </c>
      <c r="E706" s="37" t="s">
        <v>629</v>
      </c>
      <c r="YS706" s="38" t="e">
        <f>RIGHT(CONCATENATE(0,#REF!),7)</f>
        <v>#REF!</v>
      </c>
    </row>
    <row r="707" spans="1:669" hidden="1">
      <c r="A707" s="35">
        <v>425</v>
      </c>
      <c r="B707" s="38">
        <v>9</v>
      </c>
      <c r="C707" s="37" t="s">
        <v>97</v>
      </c>
      <c r="D707" s="37">
        <v>10</v>
      </c>
      <c r="E707" s="37" t="s">
        <v>630</v>
      </c>
      <c r="YS707" s="38" t="e">
        <f>RIGHT(CONCATENATE(0,#REF!),7)</f>
        <v>#REF!</v>
      </c>
    </row>
    <row r="708" spans="1:669" hidden="1">
      <c r="A708" s="35">
        <v>426</v>
      </c>
      <c r="B708" s="38">
        <v>9</v>
      </c>
      <c r="C708" s="37" t="s">
        <v>97</v>
      </c>
      <c r="D708" s="37">
        <v>11</v>
      </c>
      <c r="E708" s="37" t="s">
        <v>631</v>
      </c>
      <c r="YS708" s="38" t="e">
        <f>RIGHT(CONCATENATE(0,#REF!),7)</f>
        <v>#REF!</v>
      </c>
    </row>
    <row r="709" spans="1:669" hidden="1">
      <c r="A709" s="35">
        <v>427</v>
      </c>
      <c r="B709" s="38">
        <v>9</v>
      </c>
      <c r="C709" s="37" t="s">
        <v>97</v>
      </c>
      <c r="D709" s="37">
        <v>12</v>
      </c>
      <c r="E709" s="37" t="s">
        <v>632</v>
      </c>
      <c r="YS709" s="38" t="e">
        <f>RIGHT(CONCATENATE(0,#REF!),7)</f>
        <v>#REF!</v>
      </c>
    </row>
    <row r="710" spans="1:669" hidden="1">
      <c r="A710" s="35">
        <v>428</v>
      </c>
      <c r="B710" s="38">
        <v>9</v>
      </c>
      <c r="C710" s="37" t="s">
        <v>97</v>
      </c>
      <c r="D710" s="37">
        <v>13</v>
      </c>
      <c r="E710" s="37" t="s">
        <v>633</v>
      </c>
      <c r="YS710" s="38" t="e">
        <f>RIGHT(CONCATENATE(0,#REF!),7)</f>
        <v>#REF!</v>
      </c>
    </row>
    <row r="711" spans="1:669" hidden="1">
      <c r="A711" s="35">
        <v>429</v>
      </c>
      <c r="B711" s="38">
        <v>9</v>
      </c>
      <c r="C711" s="37" t="s">
        <v>97</v>
      </c>
      <c r="D711" s="37">
        <v>14</v>
      </c>
      <c r="E711" s="37" t="s">
        <v>634</v>
      </c>
      <c r="YS711" s="38" t="e">
        <f>RIGHT(CONCATENATE(0,#REF!),7)</f>
        <v>#REF!</v>
      </c>
    </row>
    <row r="712" spans="1:669" hidden="1">
      <c r="A712" s="35">
        <v>430</v>
      </c>
      <c r="B712" s="38">
        <v>9</v>
      </c>
      <c r="C712" s="37" t="s">
        <v>97</v>
      </c>
      <c r="D712" s="37">
        <v>15</v>
      </c>
      <c r="E712" s="37" t="s">
        <v>635</v>
      </c>
      <c r="YS712" s="38" t="e">
        <f>RIGHT(CONCATENATE(0,#REF!),7)</f>
        <v>#REF!</v>
      </c>
    </row>
    <row r="713" spans="1:669" hidden="1">
      <c r="A713" s="35">
        <v>431</v>
      </c>
      <c r="B713" s="38">
        <v>9</v>
      </c>
      <c r="C713" s="37" t="s">
        <v>97</v>
      </c>
      <c r="D713" s="37">
        <v>16</v>
      </c>
      <c r="E713" s="37" t="s">
        <v>535</v>
      </c>
      <c r="YS713" s="38" t="e">
        <f>RIGHT(CONCATENATE(0,#REF!),7)</f>
        <v>#REF!</v>
      </c>
    </row>
    <row r="714" spans="1:669" hidden="1">
      <c r="A714" s="35">
        <v>432</v>
      </c>
      <c r="B714" s="38">
        <v>9</v>
      </c>
      <c r="C714" s="37" t="s">
        <v>97</v>
      </c>
      <c r="D714" s="37">
        <v>17</v>
      </c>
      <c r="E714" s="37" t="s">
        <v>636</v>
      </c>
      <c r="YS714" s="38" t="e">
        <f>RIGHT(CONCATENATE(0,#REF!),7)</f>
        <v>#REF!</v>
      </c>
    </row>
    <row r="715" spans="1:669" hidden="1">
      <c r="A715" s="35">
        <v>433</v>
      </c>
      <c r="B715" s="38">
        <v>9</v>
      </c>
      <c r="C715" s="37" t="s">
        <v>97</v>
      </c>
      <c r="D715" s="37">
        <v>18</v>
      </c>
      <c r="E715" s="37" t="s">
        <v>637</v>
      </c>
      <c r="YS715" s="38" t="e">
        <f>RIGHT(CONCATENATE(0,#REF!),7)</f>
        <v>#REF!</v>
      </c>
    </row>
    <row r="716" spans="1:669" hidden="1">
      <c r="A716" s="35">
        <v>434</v>
      </c>
      <c r="B716" s="38">
        <v>9</v>
      </c>
      <c r="C716" s="37" t="s">
        <v>97</v>
      </c>
      <c r="D716" s="37">
        <v>19</v>
      </c>
      <c r="E716" s="37" t="s">
        <v>638</v>
      </c>
      <c r="YS716" s="38" t="e">
        <f>RIGHT(CONCATENATE(0,#REF!),7)</f>
        <v>#REF!</v>
      </c>
    </row>
    <row r="717" spans="1:669" hidden="1">
      <c r="A717" s="35">
        <v>435</v>
      </c>
      <c r="B717" s="38">
        <v>9</v>
      </c>
      <c r="C717" s="37" t="s">
        <v>97</v>
      </c>
      <c r="D717" s="37">
        <v>20</v>
      </c>
      <c r="E717" s="37" t="s">
        <v>639</v>
      </c>
      <c r="YS717" s="38" t="e">
        <f>RIGHT(CONCATENATE(0,#REF!),7)</f>
        <v>#REF!</v>
      </c>
    </row>
    <row r="718" spans="1:669" hidden="1">
      <c r="A718" s="35">
        <v>436</v>
      </c>
      <c r="B718" s="38">
        <v>9</v>
      </c>
      <c r="C718" s="37" t="s">
        <v>97</v>
      </c>
      <c r="D718" s="37">
        <v>21</v>
      </c>
      <c r="E718" s="37" t="s">
        <v>640</v>
      </c>
      <c r="YS718" s="38" t="e">
        <f>RIGHT(CONCATENATE(0,#REF!),7)</f>
        <v>#REF!</v>
      </c>
    </row>
    <row r="719" spans="1:669" hidden="1">
      <c r="A719" s="35">
        <v>437</v>
      </c>
      <c r="B719" s="38">
        <v>9</v>
      </c>
      <c r="C719" s="37" t="s">
        <v>97</v>
      </c>
      <c r="D719" s="37">
        <v>22</v>
      </c>
      <c r="E719" s="37" t="s">
        <v>641</v>
      </c>
      <c r="YS719" s="38" t="e">
        <f>RIGHT(CONCATENATE(0,#REF!),7)</f>
        <v>#REF!</v>
      </c>
    </row>
    <row r="720" spans="1:669" hidden="1">
      <c r="A720" s="35">
        <v>438</v>
      </c>
      <c r="B720" s="38">
        <v>9</v>
      </c>
      <c r="C720" s="37" t="s">
        <v>97</v>
      </c>
      <c r="D720" s="37">
        <v>23</v>
      </c>
      <c r="E720" s="37" t="s">
        <v>642</v>
      </c>
      <c r="YS720" s="38" t="e">
        <f>RIGHT(CONCATENATE(0,#REF!),7)</f>
        <v>#REF!</v>
      </c>
    </row>
    <row r="721" spans="1:669" hidden="1">
      <c r="A721" s="35">
        <v>439</v>
      </c>
      <c r="B721" s="38">
        <v>9</v>
      </c>
      <c r="C721" s="37" t="s">
        <v>97</v>
      </c>
      <c r="D721" s="37">
        <v>24</v>
      </c>
      <c r="E721" s="37" t="s">
        <v>643</v>
      </c>
      <c r="YS721" s="38" t="e">
        <f>RIGHT(CONCATENATE(0,#REF!),7)</f>
        <v>#REF!</v>
      </c>
    </row>
    <row r="722" spans="1:669" hidden="1">
      <c r="A722" s="35">
        <v>440</v>
      </c>
      <c r="B722" s="38">
        <v>9</v>
      </c>
      <c r="C722" s="37" t="s">
        <v>97</v>
      </c>
      <c r="D722" s="37">
        <v>25</v>
      </c>
      <c r="E722" s="37" t="s">
        <v>644</v>
      </c>
      <c r="YS722" s="38" t="e">
        <f>RIGHT(CONCATENATE(0,#REF!),7)</f>
        <v>#REF!</v>
      </c>
    </row>
    <row r="723" spans="1:669" hidden="1">
      <c r="A723" s="35">
        <v>441</v>
      </c>
      <c r="B723" s="38">
        <v>9</v>
      </c>
      <c r="C723" s="37" t="s">
        <v>97</v>
      </c>
      <c r="D723" s="37">
        <v>26</v>
      </c>
      <c r="E723" s="37" t="s">
        <v>645</v>
      </c>
      <c r="YS723" s="38" t="e">
        <f>RIGHT(CONCATENATE(0,#REF!),7)</f>
        <v>#REF!</v>
      </c>
    </row>
    <row r="724" spans="1:669" hidden="1">
      <c r="A724" s="35">
        <v>442</v>
      </c>
      <c r="B724" s="38">
        <v>9</v>
      </c>
      <c r="C724" s="37" t="s">
        <v>97</v>
      </c>
      <c r="D724" s="37">
        <v>27</v>
      </c>
      <c r="E724" s="37" t="s">
        <v>646</v>
      </c>
      <c r="YS724" s="38" t="e">
        <f>RIGHT(CONCATENATE(0,#REF!),7)</f>
        <v>#REF!</v>
      </c>
    </row>
    <row r="725" spans="1:669" hidden="1">
      <c r="A725" s="35">
        <v>443</v>
      </c>
      <c r="B725" s="38">
        <v>9</v>
      </c>
      <c r="C725" s="37" t="s">
        <v>97</v>
      </c>
      <c r="D725" s="37">
        <v>28</v>
      </c>
      <c r="E725" s="37" t="s">
        <v>647</v>
      </c>
      <c r="YS725" s="38" t="e">
        <f>RIGHT(CONCATENATE(0,#REF!),7)</f>
        <v>#REF!</v>
      </c>
    </row>
    <row r="726" spans="1:669" hidden="1">
      <c r="A726" s="35">
        <v>444</v>
      </c>
      <c r="B726" s="38">
        <v>9</v>
      </c>
      <c r="C726" s="37" t="s">
        <v>97</v>
      </c>
      <c r="D726" s="37">
        <v>29</v>
      </c>
      <c r="E726" s="37" t="s">
        <v>648</v>
      </c>
      <c r="YS726" s="38" t="e">
        <f>RIGHT(CONCATENATE(0,#REF!),7)</f>
        <v>#REF!</v>
      </c>
    </row>
    <row r="727" spans="1:669" hidden="1">
      <c r="A727" s="35">
        <v>445</v>
      </c>
      <c r="B727" s="38">
        <v>9</v>
      </c>
      <c r="C727" s="37" t="s">
        <v>97</v>
      </c>
      <c r="D727" s="37">
        <v>30</v>
      </c>
      <c r="E727" s="37" t="s">
        <v>649</v>
      </c>
      <c r="YS727" s="38" t="e">
        <f>RIGHT(CONCATENATE(0,#REF!),7)</f>
        <v>#REF!</v>
      </c>
    </row>
    <row r="728" spans="1:669" hidden="1">
      <c r="A728" s="35">
        <v>446</v>
      </c>
      <c r="B728" s="38">
        <v>9</v>
      </c>
      <c r="C728" s="37" t="s">
        <v>97</v>
      </c>
      <c r="D728" s="37">
        <v>31</v>
      </c>
      <c r="E728" s="37" t="s">
        <v>650</v>
      </c>
      <c r="YS728" s="38" t="e">
        <f>RIGHT(CONCATENATE(0,#REF!),7)</f>
        <v>#REF!</v>
      </c>
    </row>
    <row r="729" spans="1:669" hidden="1">
      <c r="A729" s="35">
        <v>447</v>
      </c>
      <c r="B729" s="38">
        <v>9</v>
      </c>
      <c r="C729" s="37" t="s">
        <v>97</v>
      </c>
      <c r="D729" s="37">
        <v>32</v>
      </c>
      <c r="E729" s="37" t="s">
        <v>651</v>
      </c>
      <c r="YS729" s="38" t="e">
        <f>RIGHT(CONCATENATE(0,#REF!),7)</f>
        <v>#REF!</v>
      </c>
    </row>
    <row r="730" spans="1:669" hidden="1">
      <c r="A730" s="35">
        <v>448</v>
      </c>
      <c r="B730" s="38">
        <v>9</v>
      </c>
      <c r="C730" s="37" t="s">
        <v>97</v>
      </c>
      <c r="D730" s="37">
        <v>33</v>
      </c>
      <c r="E730" s="37" t="s">
        <v>652</v>
      </c>
      <c r="YS730" s="38" t="e">
        <f>RIGHT(CONCATENATE(0,#REF!),7)</f>
        <v>#REF!</v>
      </c>
    </row>
    <row r="731" spans="1:669" hidden="1">
      <c r="A731" s="35">
        <v>449</v>
      </c>
      <c r="B731" s="38">
        <v>9</v>
      </c>
      <c r="C731" s="37" t="s">
        <v>97</v>
      </c>
      <c r="D731" s="37">
        <v>34</v>
      </c>
      <c r="E731" s="37" t="s">
        <v>653</v>
      </c>
      <c r="YS731" s="38" t="e">
        <f>RIGHT(CONCATENATE(0,#REF!),7)</f>
        <v>#REF!</v>
      </c>
    </row>
    <row r="732" spans="1:669" hidden="1">
      <c r="A732" s="35">
        <v>450</v>
      </c>
      <c r="B732" s="38">
        <v>9</v>
      </c>
      <c r="C732" s="37" t="s">
        <v>97</v>
      </c>
      <c r="D732" s="37">
        <v>35</v>
      </c>
      <c r="E732" s="37" t="s">
        <v>424</v>
      </c>
      <c r="YS732" s="38" t="e">
        <f>RIGHT(CONCATENATE(0,#REF!),7)</f>
        <v>#REF!</v>
      </c>
    </row>
    <row r="733" spans="1:669" hidden="1">
      <c r="A733" s="35">
        <v>451</v>
      </c>
      <c r="B733" s="38">
        <v>9</v>
      </c>
      <c r="C733" s="37" t="s">
        <v>97</v>
      </c>
      <c r="D733" s="37">
        <v>36</v>
      </c>
      <c r="E733" s="37" t="s">
        <v>654</v>
      </c>
      <c r="YS733" s="38" t="e">
        <f>RIGHT(CONCATENATE(0,#REF!),7)</f>
        <v>#REF!</v>
      </c>
    </row>
    <row r="734" spans="1:669" hidden="1">
      <c r="A734" s="35">
        <v>452</v>
      </c>
      <c r="B734" s="38">
        <v>9</v>
      </c>
      <c r="C734" s="37" t="s">
        <v>97</v>
      </c>
      <c r="D734" s="37">
        <v>37</v>
      </c>
      <c r="E734" s="37" t="s">
        <v>655</v>
      </c>
      <c r="YS734" s="38" t="e">
        <f>RIGHT(CONCATENATE(0,#REF!),7)</f>
        <v>#REF!</v>
      </c>
    </row>
    <row r="735" spans="1:669" hidden="1">
      <c r="A735" s="35">
        <v>453</v>
      </c>
      <c r="B735" s="38">
        <v>9</v>
      </c>
      <c r="C735" s="37" t="s">
        <v>97</v>
      </c>
      <c r="D735" s="37">
        <v>38</v>
      </c>
      <c r="E735" s="37" t="s">
        <v>656</v>
      </c>
      <c r="YS735" s="38" t="e">
        <f>RIGHT(CONCATENATE(0,#REF!),7)</f>
        <v>#REF!</v>
      </c>
    </row>
    <row r="736" spans="1:669" hidden="1">
      <c r="A736" s="35">
        <v>454</v>
      </c>
      <c r="B736" s="38">
        <v>9</v>
      </c>
      <c r="C736" s="37" t="s">
        <v>97</v>
      </c>
      <c r="D736" s="37">
        <v>39</v>
      </c>
      <c r="E736" s="37" t="s">
        <v>657</v>
      </c>
      <c r="YS736" s="38" t="e">
        <f>RIGHT(CONCATENATE(0,#REF!),7)</f>
        <v>#REF!</v>
      </c>
    </row>
    <row r="737" spans="1:669" hidden="1">
      <c r="A737" s="35">
        <v>455</v>
      </c>
      <c r="B737" s="38">
        <v>9</v>
      </c>
      <c r="C737" s="37" t="s">
        <v>97</v>
      </c>
      <c r="D737" s="37">
        <v>40</v>
      </c>
      <c r="E737" s="37" t="s">
        <v>658</v>
      </c>
      <c r="YS737" s="38" t="e">
        <f>RIGHT(CONCATENATE(0,#REF!),7)</f>
        <v>#REF!</v>
      </c>
    </row>
    <row r="738" spans="1:669" hidden="1">
      <c r="A738" s="35">
        <v>456</v>
      </c>
      <c r="B738" s="38">
        <v>9</v>
      </c>
      <c r="C738" s="37" t="s">
        <v>97</v>
      </c>
      <c r="D738" s="37">
        <v>41</v>
      </c>
      <c r="E738" s="37" t="s">
        <v>659</v>
      </c>
      <c r="YS738" s="38" t="e">
        <f>RIGHT(CONCATENATE(0,#REF!),7)</f>
        <v>#REF!</v>
      </c>
    </row>
    <row r="739" spans="1:669" hidden="1">
      <c r="A739" s="35">
        <v>457</v>
      </c>
      <c r="B739" s="38">
        <v>9</v>
      </c>
      <c r="C739" s="37" t="s">
        <v>97</v>
      </c>
      <c r="D739" s="37">
        <v>42</v>
      </c>
      <c r="E739" s="37" t="s">
        <v>660</v>
      </c>
      <c r="YS739" s="38" t="e">
        <f>RIGHT(CONCATENATE(0,#REF!),7)</f>
        <v>#REF!</v>
      </c>
    </row>
    <row r="740" spans="1:669" hidden="1">
      <c r="A740" s="35">
        <v>458</v>
      </c>
      <c r="B740" s="38">
        <v>9</v>
      </c>
      <c r="C740" s="37" t="s">
        <v>97</v>
      </c>
      <c r="D740" s="37">
        <v>43</v>
      </c>
      <c r="E740" s="37" t="s">
        <v>661</v>
      </c>
      <c r="YS740" s="38" t="e">
        <f>RIGHT(CONCATENATE(0,#REF!),7)</f>
        <v>#REF!</v>
      </c>
    </row>
    <row r="741" spans="1:669" hidden="1">
      <c r="A741" s="35">
        <v>459</v>
      </c>
      <c r="B741" s="38">
        <v>9</v>
      </c>
      <c r="C741" s="37" t="s">
        <v>97</v>
      </c>
      <c r="D741" s="37">
        <v>44</v>
      </c>
      <c r="E741" s="37" t="s">
        <v>662</v>
      </c>
      <c r="YS741" s="38" t="e">
        <f>RIGHT(CONCATENATE(0,#REF!),7)</f>
        <v>#REF!</v>
      </c>
    </row>
    <row r="742" spans="1:669" hidden="1">
      <c r="A742" s="35">
        <v>460</v>
      </c>
      <c r="B742" s="38">
        <v>9</v>
      </c>
      <c r="C742" s="37" t="s">
        <v>97</v>
      </c>
      <c r="D742" s="37">
        <v>45</v>
      </c>
      <c r="E742" s="37" t="s">
        <v>663</v>
      </c>
      <c r="YS742" s="38" t="e">
        <f>RIGHT(CONCATENATE(0,#REF!),7)</f>
        <v>#REF!</v>
      </c>
    </row>
    <row r="743" spans="1:669" hidden="1">
      <c r="A743" s="35">
        <v>461</v>
      </c>
      <c r="B743" s="38">
        <v>9</v>
      </c>
      <c r="C743" s="37" t="s">
        <v>97</v>
      </c>
      <c r="D743" s="37">
        <v>46</v>
      </c>
      <c r="E743" s="37" t="s">
        <v>664</v>
      </c>
      <c r="YS743" s="38" t="e">
        <f>RIGHT(CONCATENATE(0,#REF!),7)</f>
        <v>#REF!</v>
      </c>
    </row>
    <row r="744" spans="1:669" hidden="1">
      <c r="A744" s="35">
        <v>462</v>
      </c>
      <c r="B744" s="38">
        <v>9</v>
      </c>
      <c r="C744" s="37" t="s">
        <v>97</v>
      </c>
      <c r="D744" s="37">
        <v>47</v>
      </c>
      <c r="E744" s="37" t="s">
        <v>665</v>
      </c>
      <c r="YS744" s="38" t="e">
        <f>RIGHT(CONCATENATE(0,#REF!),7)</f>
        <v>#REF!</v>
      </c>
    </row>
    <row r="745" spans="1:669" hidden="1">
      <c r="A745" s="35">
        <v>463</v>
      </c>
      <c r="B745" s="38">
        <v>9</v>
      </c>
      <c r="C745" s="37" t="s">
        <v>97</v>
      </c>
      <c r="D745" s="37">
        <v>48</v>
      </c>
      <c r="E745" s="37" t="s">
        <v>666</v>
      </c>
      <c r="YS745" s="38" t="e">
        <f>RIGHT(CONCATENATE(0,#REF!),7)</f>
        <v>#REF!</v>
      </c>
    </row>
    <row r="746" spans="1:669" hidden="1">
      <c r="A746" s="35">
        <v>464</v>
      </c>
      <c r="B746" s="38">
        <v>9</v>
      </c>
      <c r="C746" s="37" t="s">
        <v>97</v>
      </c>
      <c r="D746" s="37">
        <v>49</v>
      </c>
      <c r="E746" s="37" t="s">
        <v>667</v>
      </c>
      <c r="YS746" s="38" t="e">
        <f>RIGHT(CONCATENATE(0,#REF!),7)</f>
        <v>#REF!</v>
      </c>
    </row>
    <row r="747" spans="1:669" hidden="1">
      <c r="A747" s="35">
        <v>465</v>
      </c>
      <c r="B747" s="38">
        <v>9</v>
      </c>
      <c r="C747" s="37" t="s">
        <v>97</v>
      </c>
      <c r="D747" s="37">
        <v>50</v>
      </c>
      <c r="E747" s="37" t="s">
        <v>668</v>
      </c>
      <c r="YS747" s="38" t="e">
        <f>RIGHT(CONCATENATE(0,#REF!),7)</f>
        <v>#REF!</v>
      </c>
    </row>
    <row r="748" spans="1:669" hidden="1">
      <c r="A748" s="35">
        <v>466</v>
      </c>
      <c r="B748" s="38">
        <v>10</v>
      </c>
      <c r="C748" s="37" t="s">
        <v>100</v>
      </c>
      <c r="D748" s="37">
        <v>1</v>
      </c>
      <c r="E748" s="37" t="s">
        <v>669</v>
      </c>
      <c r="YS748" s="38" t="e">
        <f>RIGHT(CONCATENATE(0,#REF!),7)</f>
        <v>#REF!</v>
      </c>
    </row>
    <row r="749" spans="1:669" hidden="1">
      <c r="A749" s="35">
        <v>467</v>
      </c>
      <c r="B749" s="38">
        <v>10</v>
      </c>
      <c r="C749" s="37" t="s">
        <v>100</v>
      </c>
      <c r="D749" s="37">
        <v>2</v>
      </c>
      <c r="E749" s="37" t="s">
        <v>670</v>
      </c>
      <c r="YS749" s="38" t="e">
        <f>RIGHT(CONCATENATE(0,#REF!),7)</f>
        <v>#REF!</v>
      </c>
    </row>
    <row r="750" spans="1:669" hidden="1">
      <c r="A750" s="35">
        <v>468</v>
      </c>
      <c r="B750" s="38">
        <v>10</v>
      </c>
      <c r="C750" s="37" t="s">
        <v>100</v>
      </c>
      <c r="D750" s="37">
        <v>3</v>
      </c>
      <c r="E750" s="37" t="s">
        <v>671</v>
      </c>
      <c r="YS750" s="38" t="e">
        <f>RIGHT(CONCATENATE(0,#REF!),7)</f>
        <v>#REF!</v>
      </c>
    </row>
    <row r="751" spans="1:669" hidden="1">
      <c r="A751" s="35">
        <v>469</v>
      </c>
      <c r="B751" s="38">
        <v>10</v>
      </c>
      <c r="C751" s="37" t="s">
        <v>100</v>
      </c>
      <c r="D751" s="37">
        <v>4</v>
      </c>
      <c r="E751" s="37" t="s">
        <v>672</v>
      </c>
      <c r="YS751" s="38" t="e">
        <f>RIGHT(CONCATENATE(0,#REF!),7)</f>
        <v>#REF!</v>
      </c>
    </row>
    <row r="752" spans="1:669" hidden="1">
      <c r="A752" s="35">
        <v>470</v>
      </c>
      <c r="B752" s="38">
        <v>10</v>
      </c>
      <c r="C752" s="37" t="s">
        <v>100</v>
      </c>
      <c r="D752" s="37">
        <v>5</v>
      </c>
      <c r="E752" s="37" t="s">
        <v>673</v>
      </c>
      <c r="YS752" s="38" t="e">
        <f>RIGHT(CONCATENATE(0,#REF!),7)</f>
        <v>#REF!</v>
      </c>
    </row>
    <row r="753" spans="1:669" hidden="1">
      <c r="A753" s="35">
        <v>471</v>
      </c>
      <c r="B753" s="38">
        <v>10</v>
      </c>
      <c r="C753" s="37" t="s">
        <v>100</v>
      </c>
      <c r="D753" s="37">
        <v>6</v>
      </c>
      <c r="E753" s="37" t="s">
        <v>674</v>
      </c>
      <c r="YS753" s="38" t="e">
        <f>RIGHT(CONCATENATE(0,#REF!),7)</f>
        <v>#REF!</v>
      </c>
    </row>
    <row r="754" spans="1:669" hidden="1">
      <c r="A754" s="35">
        <v>472</v>
      </c>
      <c r="B754" s="38">
        <v>10</v>
      </c>
      <c r="C754" s="37" t="s">
        <v>100</v>
      </c>
      <c r="D754" s="37">
        <v>7</v>
      </c>
      <c r="E754" s="37" t="s">
        <v>675</v>
      </c>
      <c r="YS754" s="38" t="e">
        <f>RIGHT(CONCATENATE(0,#REF!),7)</f>
        <v>#REF!</v>
      </c>
    </row>
    <row r="755" spans="1:669" hidden="1">
      <c r="A755" s="35">
        <v>473</v>
      </c>
      <c r="B755" s="38">
        <v>10</v>
      </c>
      <c r="C755" s="37" t="s">
        <v>100</v>
      </c>
      <c r="D755" s="37">
        <v>8</v>
      </c>
      <c r="E755" s="37" t="s">
        <v>676</v>
      </c>
      <c r="YS755" s="38" t="e">
        <f>RIGHT(CONCATENATE(0,#REF!),7)</f>
        <v>#REF!</v>
      </c>
    </row>
    <row r="756" spans="1:669" hidden="1">
      <c r="A756" s="35">
        <v>474</v>
      </c>
      <c r="B756" s="38">
        <v>10</v>
      </c>
      <c r="C756" s="37" t="s">
        <v>100</v>
      </c>
      <c r="D756" s="37">
        <v>9</v>
      </c>
      <c r="E756" s="37" t="s">
        <v>677</v>
      </c>
      <c r="YS756" s="38" t="e">
        <f>RIGHT(CONCATENATE(0,#REF!),7)</f>
        <v>#REF!</v>
      </c>
    </row>
    <row r="757" spans="1:669" hidden="1">
      <c r="A757" s="35">
        <v>475</v>
      </c>
      <c r="B757" s="38">
        <v>10</v>
      </c>
      <c r="C757" s="37" t="s">
        <v>100</v>
      </c>
      <c r="D757" s="37">
        <v>10</v>
      </c>
      <c r="E757" s="37" t="s">
        <v>678</v>
      </c>
      <c r="YS757" s="38" t="e">
        <f>RIGHT(CONCATENATE(0,#REF!),7)</f>
        <v>#REF!</v>
      </c>
    </row>
    <row r="758" spans="1:669" hidden="1">
      <c r="A758" s="35">
        <v>476</v>
      </c>
      <c r="B758" s="38">
        <v>10</v>
      </c>
      <c r="C758" s="37" t="s">
        <v>100</v>
      </c>
      <c r="D758" s="37">
        <v>11</v>
      </c>
      <c r="E758" s="37" t="s">
        <v>679</v>
      </c>
      <c r="YS758" s="38" t="e">
        <f>RIGHT(CONCATENATE(0,#REF!),7)</f>
        <v>#REF!</v>
      </c>
    </row>
    <row r="759" spans="1:669" hidden="1">
      <c r="A759" s="35">
        <v>477</v>
      </c>
      <c r="B759" s="38">
        <v>10</v>
      </c>
      <c r="C759" s="37" t="s">
        <v>100</v>
      </c>
      <c r="D759" s="37">
        <v>12</v>
      </c>
      <c r="E759" s="37" t="s">
        <v>680</v>
      </c>
      <c r="YS759" s="38" t="e">
        <f>RIGHT(CONCATENATE(0,#REF!),7)</f>
        <v>#REF!</v>
      </c>
    </row>
    <row r="760" spans="1:669" hidden="1">
      <c r="A760" s="35">
        <v>478</v>
      </c>
      <c r="B760" s="38">
        <v>10</v>
      </c>
      <c r="C760" s="37" t="s">
        <v>100</v>
      </c>
      <c r="D760" s="37">
        <v>13</v>
      </c>
      <c r="E760" s="37" t="s">
        <v>681</v>
      </c>
      <c r="YS760" s="38" t="e">
        <f>RIGHT(CONCATENATE(0,#REF!),7)</f>
        <v>#REF!</v>
      </c>
    </row>
    <row r="761" spans="1:669" hidden="1">
      <c r="A761" s="35">
        <v>479</v>
      </c>
      <c r="B761" s="38">
        <v>10</v>
      </c>
      <c r="C761" s="37" t="s">
        <v>100</v>
      </c>
      <c r="D761" s="37">
        <v>14</v>
      </c>
      <c r="E761" s="37" t="s">
        <v>682</v>
      </c>
      <c r="YS761" s="38" t="e">
        <f>RIGHT(CONCATENATE(0,#REF!),7)</f>
        <v>#REF!</v>
      </c>
    </row>
    <row r="762" spans="1:669" hidden="1">
      <c r="A762" s="35">
        <v>480</v>
      </c>
      <c r="B762" s="38">
        <v>10</v>
      </c>
      <c r="C762" s="37" t="s">
        <v>100</v>
      </c>
      <c r="D762" s="37">
        <v>15</v>
      </c>
      <c r="E762" s="37" t="s">
        <v>683</v>
      </c>
      <c r="YS762" s="38" t="e">
        <f>RIGHT(CONCATENATE(0,#REF!),7)</f>
        <v>#REF!</v>
      </c>
    </row>
    <row r="763" spans="1:669" hidden="1">
      <c r="A763" s="35">
        <v>481</v>
      </c>
      <c r="B763" s="38">
        <v>10</v>
      </c>
      <c r="C763" s="37" t="s">
        <v>100</v>
      </c>
      <c r="D763" s="37">
        <v>16</v>
      </c>
      <c r="E763" s="37" t="s">
        <v>684</v>
      </c>
      <c r="YS763" s="38" t="e">
        <f>RIGHT(CONCATENATE(0,#REF!),7)</f>
        <v>#REF!</v>
      </c>
    </row>
    <row r="764" spans="1:669" hidden="1">
      <c r="A764" s="35">
        <v>482</v>
      </c>
      <c r="B764" s="38">
        <v>10</v>
      </c>
      <c r="C764" s="37" t="s">
        <v>100</v>
      </c>
      <c r="D764" s="37">
        <v>17</v>
      </c>
      <c r="E764" s="37" t="s">
        <v>685</v>
      </c>
      <c r="YS764" s="38" t="e">
        <f>RIGHT(CONCATENATE(0,#REF!),7)</f>
        <v>#REF!</v>
      </c>
    </row>
    <row r="765" spans="1:669" hidden="1">
      <c r="A765" s="35">
        <v>483</v>
      </c>
      <c r="B765" s="38">
        <v>10</v>
      </c>
      <c r="C765" s="37" t="s">
        <v>100</v>
      </c>
      <c r="D765" s="37">
        <v>18</v>
      </c>
      <c r="E765" s="37" t="s">
        <v>635</v>
      </c>
      <c r="YS765" s="38" t="e">
        <f>RIGHT(CONCATENATE(0,#REF!),7)</f>
        <v>#REF!</v>
      </c>
    </row>
    <row r="766" spans="1:669" hidden="1">
      <c r="A766" s="35">
        <v>484</v>
      </c>
      <c r="B766" s="38">
        <v>10</v>
      </c>
      <c r="C766" s="37" t="s">
        <v>100</v>
      </c>
      <c r="D766" s="37">
        <v>19</v>
      </c>
      <c r="E766" s="37" t="s">
        <v>686</v>
      </c>
      <c r="YS766" s="38" t="e">
        <f>RIGHT(CONCATENATE(0,#REF!),7)</f>
        <v>#REF!</v>
      </c>
    </row>
    <row r="767" spans="1:669" hidden="1">
      <c r="A767" s="35">
        <v>485</v>
      </c>
      <c r="B767" s="38">
        <v>10</v>
      </c>
      <c r="C767" s="37" t="s">
        <v>100</v>
      </c>
      <c r="D767" s="37">
        <v>20</v>
      </c>
      <c r="E767" s="37" t="s">
        <v>687</v>
      </c>
      <c r="YS767" s="38" t="e">
        <f>RIGHT(CONCATENATE(0,#REF!),7)</f>
        <v>#REF!</v>
      </c>
    </row>
    <row r="768" spans="1:669" hidden="1">
      <c r="A768" s="35">
        <v>486</v>
      </c>
      <c r="B768" s="38">
        <v>10</v>
      </c>
      <c r="C768" s="37" t="s">
        <v>100</v>
      </c>
      <c r="D768" s="37">
        <v>21</v>
      </c>
      <c r="E768" s="37" t="s">
        <v>688</v>
      </c>
      <c r="YS768" s="38" t="e">
        <f>RIGHT(CONCATENATE(0,#REF!),7)</f>
        <v>#REF!</v>
      </c>
    </row>
    <row r="769" spans="1:669" hidden="1">
      <c r="A769" s="35">
        <v>487</v>
      </c>
      <c r="B769" s="38">
        <v>10</v>
      </c>
      <c r="C769" s="37" t="s">
        <v>100</v>
      </c>
      <c r="D769" s="37">
        <v>22</v>
      </c>
      <c r="E769" s="37" t="s">
        <v>689</v>
      </c>
      <c r="YS769" s="38" t="e">
        <f>RIGHT(CONCATENATE(0,#REF!),7)</f>
        <v>#REF!</v>
      </c>
    </row>
    <row r="770" spans="1:669" hidden="1">
      <c r="A770" s="35">
        <v>488</v>
      </c>
      <c r="B770" s="38">
        <v>10</v>
      </c>
      <c r="C770" s="37" t="s">
        <v>100</v>
      </c>
      <c r="D770" s="37">
        <v>23</v>
      </c>
      <c r="E770" s="37" t="s">
        <v>690</v>
      </c>
      <c r="YS770" s="38" t="e">
        <f>RIGHT(CONCATENATE(0,#REF!),7)</f>
        <v>#REF!</v>
      </c>
    </row>
    <row r="771" spans="1:669" hidden="1">
      <c r="A771" s="35">
        <v>489</v>
      </c>
      <c r="B771" s="38">
        <v>10</v>
      </c>
      <c r="C771" s="37" t="s">
        <v>100</v>
      </c>
      <c r="D771" s="37">
        <v>24</v>
      </c>
      <c r="E771" s="37" t="s">
        <v>691</v>
      </c>
      <c r="YS771" s="38" t="e">
        <f>RIGHT(CONCATENATE(0,#REF!),7)</f>
        <v>#REF!</v>
      </c>
    </row>
    <row r="772" spans="1:669" hidden="1">
      <c r="A772" s="35">
        <v>490</v>
      </c>
      <c r="B772" s="38">
        <v>10</v>
      </c>
      <c r="C772" s="37" t="s">
        <v>100</v>
      </c>
      <c r="D772" s="37">
        <v>25</v>
      </c>
      <c r="E772" s="37" t="s">
        <v>692</v>
      </c>
      <c r="YS772" s="38" t="e">
        <f>RIGHT(CONCATENATE(0,#REF!),7)</f>
        <v>#REF!</v>
      </c>
    </row>
    <row r="773" spans="1:669" hidden="1">
      <c r="A773" s="35">
        <v>491</v>
      </c>
      <c r="B773" s="38">
        <v>10</v>
      </c>
      <c r="C773" s="37" t="s">
        <v>100</v>
      </c>
      <c r="D773" s="37">
        <v>26</v>
      </c>
      <c r="E773" s="37" t="s">
        <v>693</v>
      </c>
      <c r="YS773" s="38" t="e">
        <f>RIGHT(CONCATENATE(0,#REF!),7)</f>
        <v>#REF!</v>
      </c>
    </row>
    <row r="774" spans="1:669" hidden="1">
      <c r="A774" s="35">
        <v>492</v>
      </c>
      <c r="B774" s="38">
        <v>10</v>
      </c>
      <c r="C774" s="37" t="s">
        <v>100</v>
      </c>
      <c r="D774" s="37">
        <v>27</v>
      </c>
      <c r="E774" s="37" t="s">
        <v>694</v>
      </c>
      <c r="YS774" s="38" t="e">
        <f>RIGHT(CONCATENATE(0,#REF!),7)</f>
        <v>#REF!</v>
      </c>
    </row>
    <row r="775" spans="1:669" hidden="1">
      <c r="A775" s="35">
        <v>493</v>
      </c>
      <c r="B775" s="38">
        <v>10</v>
      </c>
      <c r="C775" s="37" t="s">
        <v>100</v>
      </c>
      <c r="D775" s="37">
        <v>28</v>
      </c>
      <c r="E775" s="37" t="s">
        <v>695</v>
      </c>
      <c r="YS775" s="38" t="e">
        <f>RIGHT(CONCATENATE(0,#REF!),7)</f>
        <v>#REF!</v>
      </c>
    </row>
    <row r="776" spans="1:669" hidden="1">
      <c r="A776" s="35">
        <v>494</v>
      </c>
      <c r="B776" s="38">
        <v>10</v>
      </c>
      <c r="C776" s="37" t="s">
        <v>100</v>
      </c>
      <c r="D776" s="37">
        <v>29</v>
      </c>
      <c r="E776" s="37" t="s">
        <v>696</v>
      </c>
      <c r="YS776" s="38" t="e">
        <f>RIGHT(CONCATENATE(0,#REF!),7)</f>
        <v>#REF!</v>
      </c>
    </row>
    <row r="777" spans="1:669" hidden="1">
      <c r="A777" s="35">
        <v>495</v>
      </c>
      <c r="B777" s="38">
        <v>10</v>
      </c>
      <c r="C777" s="37" t="s">
        <v>100</v>
      </c>
      <c r="D777" s="37">
        <v>30</v>
      </c>
      <c r="E777" s="37" t="s">
        <v>697</v>
      </c>
      <c r="YS777" s="38" t="e">
        <f>RIGHT(CONCATENATE(0,#REF!),7)</f>
        <v>#REF!</v>
      </c>
    </row>
    <row r="778" spans="1:669" hidden="1">
      <c r="A778" s="35">
        <v>496</v>
      </c>
      <c r="B778" s="38">
        <v>10</v>
      </c>
      <c r="C778" s="37" t="s">
        <v>100</v>
      </c>
      <c r="D778" s="37">
        <v>31</v>
      </c>
      <c r="E778" s="37" t="s">
        <v>698</v>
      </c>
      <c r="YS778" s="38" t="e">
        <f>RIGHT(CONCATENATE(0,#REF!),7)</f>
        <v>#REF!</v>
      </c>
    </row>
    <row r="779" spans="1:669" hidden="1">
      <c r="A779" s="35">
        <v>497</v>
      </c>
      <c r="B779" s="38">
        <v>10</v>
      </c>
      <c r="C779" s="37" t="s">
        <v>100</v>
      </c>
      <c r="D779" s="37">
        <v>32</v>
      </c>
      <c r="E779" s="37" t="s">
        <v>699</v>
      </c>
      <c r="YS779" s="38" t="e">
        <f>RIGHT(CONCATENATE(0,#REF!),7)</f>
        <v>#REF!</v>
      </c>
    </row>
    <row r="780" spans="1:669" hidden="1">
      <c r="A780" s="35">
        <v>498</v>
      </c>
      <c r="B780" s="38">
        <v>10</v>
      </c>
      <c r="C780" s="37" t="s">
        <v>100</v>
      </c>
      <c r="D780" s="37">
        <v>33</v>
      </c>
      <c r="E780" s="37" t="s">
        <v>700</v>
      </c>
      <c r="YS780" s="38" t="e">
        <f>RIGHT(CONCATENATE(0,#REF!),7)</f>
        <v>#REF!</v>
      </c>
    </row>
    <row r="781" spans="1:669" hidden="1">
      <c r="A781" s="35">
        <v>499</v>
      </c>
      <c r="B781" s="38">
        <v>10</v>
      </c>
      <c r="C781" s="37" t="s">
        <v>100</v>
      </c>
      <c r="D781" s="37">
        <v>34</v>
      </c>
      <c r="E781" s="37" t="s">
        <v>701</v>
      </c>
      <c r="YS781" s="38" t="e">
        <f>RIGHT(CONCATENATE(0,#REF!),7)</f>
        <v>#REF!</v>
      </c>
    </row>
    <row r="782" spans="1:669" hidden="1">
      <c r="A782" s="35">
        <v>500</v>
      </c>
      <c r="B782" s="38">
        <v>10</v>
      </c>
      <c r="C782" s="37" t="s">
        <v>100</v>
      </c>
      <c r="D782" s="37">
        <v>35</v>
      </c>
      <c r="E782" s="37" t="s">
        <v>702</v>
      </c>
      <c r="YS782" s="38" t="e">
        <f>RIGHT(CONCATENATE(0,#REF!),7)</f>
        <v>#REF!</v>
      </c>
    </row>
    <row r="783" spans="1:669" hidden="1">
      <c r="A783" s="35">
        <v>501</v>
      </c>
      <c r="B783" s="38">
        <v>10</v>
      </c>
      <c r="C783" s="37" t="s">
        <v>100</v>
      </c>
      <c r="D783" s="37">
        <v>36</v>
      </c>
      <c r="E783" s="37" t="s">
        <v>703</v>
      </c>
      <c r="YS783" s="38" t="e">
        <f>RIGHT(CONCATENATE(0,#REF!),7)</f>
        <v>#REF!</v>
      </c>
    </row>
    <row r="784" spans="1:669" hidden="1">
      <c r="A784" s="35">
        <v>502</v>
      </c>
      <c r="B784" s="38">
        <v>10</v>
      </c>
      <c r="C784" s="37" t="s">
        <v>100</v>
      </c>
      <c r="D784" s="37">
        <v>37</v>
      </c>
      <c r="E784" s="37" t="s">
        <v>704</v>
      </c>
      <c r="YS784" s="38" t="e">
        <f>RIGHT(CONCATENATE(0,#REF!),7)</f>
        <v>#REF!</v>
      </c>
    </row>
    <row r="785" spans="1:669" hidden="1">
      <c r="A785" s="35">
        <v>503</v>
      </c>
      <c r="B785" s="38">
        <v>10</v>
      </c>
      <c r="C785" s="37" t="s">
        <v>100</v>
      </c>
      <c r="D785" s="37">
        <v>38</v>
      </c>
      <c r="E785" s="37" t="s">
        <v>705</v>
      </c>
      <c r="YS785" s="38" t="e">
        <f>RIGHT(CONCATENATE(0,#REF!),7)</f>
        <v>#REF!</v>
      </c>
    </row>
    <row r="786" spans="1:669" hidden="1">
      <c r="A786" s="35">
        <v>504</v>
      </c>
      <c r="B786" s="38">
        <v>10</v>
      </c>
      <c r="C786" s="37" t="s">
        <v>100</v>
      </c>
      <c r="D786" s="37">
        <v>39</v>
      </c>
      <c r="E786" s="37" t="s">
        <v>706</v>
      </c>
      <c r="YS786" s="38" t="e">
        <f>RIGHT(CONCATENATE(0,#REF!),7)</f>
        <v>#REF!</v>
      </c>
    </row>
    <row r="787" spans="1:669" hidden="1">
      <c r="A787" s="35">
        <v>505</v>
      </c>
      <c r="B787" s="38">
        <v>10</v>
      </c>
      <c r="C787" s="37" t="s">
        <v>100</v>
      </c>
      <c r="D787" s="37">
        <v>40</v>
      </c>
      <c r="E787" s="37" t="s">
        <v>707</v>
      </c>
      <c r="YS787" s="38" t="e">
        <f>RIGHT(CONCATENATE(0,#REF!),7)</f>
        <v>#REF!</v>
      </c>
    </row>
    <row r="788" spans="1:669" hidden="1">
      <c r="A788" s="35">
        <v>506</v>
      </c>
      <c r="B788" s="38">
        <v>10</v>
      </c>
      <c r="C788" s="37" t="s">
        <v>100</v>
      </c>
      <c r="D788" s="37">
        <v>41</v>
      </c>
      <c r="E788" s="37" t="s">
        <v>708</v>
      </c>
      <c r="YS788" s="38" t="e">
        <f>RIGHT(CONCATENATE(0,#REF!),7)</f>
        <v>#REF!</v>
      </c>
    </row>
    <row r="789" spans="1:669" hidden="1">
      <c r="A789" s="35">
        <v>507</v>
      </c>
      <c r="B789" s="38">
        <v>10</v>
      </c>
      <c r="C789" s="37" t="s">
        <v>100</v>
      </c>
      <c r="D789" s="37">
        <v>42</v>
      </c>
      <c r="E789" s="37" t="s">
        <v>709</v>
      </c>
      <c r="YS789" s="38" t="e">
        <f>RIGHT(CONCATENATE(0,#REF!),7)</f>
        <v>#REF!</v>
      </c>
    </row>
    <row r="790" spans="1:669" hidden="1">
      <c r="A790" s="35">
        <v>508</v>
      </c>
      <c r="B790" s="38">
        <v>10</v>
      </c>
      <c r="C790" s="37" t="s">
        <v>100</v>
      </c>
      <c r="D790" s="37">
        <v>43</v>
      </c>
      <c r="E790" s="37" t="s">
        <v>710</v>
      </c>
      <c r="YS790" s="38" t="e">
        <f>RIGHT(CONCATENATE(0,#REF!),7)</f>
        <v>#REF!</v>
      </c>
    </row>
    <row r="791" spans="1:669" hidden="1">
      <c r="A791" s="35">
        <v>509</v>
      </c>
      <c r="B791" s="38">
        <v>10</v>
      </c>
      <c r="C791" s="37" t="s">
        <v>100</v>
      </c>
      <c r="D791" s="37">
        <v>44</v>
      </c>
      <c r="E791" s="37" t="s">
        <v>711</v>
      </c>
      <c r="YS791" s="38" t="e">
        <f>RIGHT(CONCATENATE(0,#REF!),7)</f>
        <v>#REF!</v>
      </c>
    </row>
    <row r="792" spans="1:669" hidden="1">
      <c r="A792" s="35">
        <v>510</v>
      </c>
      <c r="B792" s="38">
        <v>10</v>
      </c>
      <c r="C792" s="37" t="s">
        <v>100</v>
      </c>
      <c r="D792" s="37">
        <v>45</v>
      </c>
      <c r="E792" s="37" t="s">
        <v>712</v>
      </c>
      <c r="YS792" s="38" t="e">
        <f>RIGHT(CONCATENATE(0,#REF!),7)</f>
        <v>#REF!</v>
      </c>
    </row>
    <row r="793" spans="1:669" hidden="1">
      <c r="A793" s="35">
        <v>511</v>
      </c>
      <c r="B793" s="38">
        <v>10</v>
      </c>
      <c r="C793" s="37" t="s">
        <v>100</v>
      </c>
      <c r="D793" s="37">
        <v>46</v>
      </c>
      <c r="E793" s="37" t="s">
        <v>713</v>
      </c>
      <c r="YS793" s="38" t="e">
        <f>RIGHT(CONCATENATE(0,#REF!),7)</f>
        <v>#REF!</v>
      </c>
    </row>
    <row r="794" spans="1:669" hidden="1">
      <c r="A794" s="35">
        <v>512</v>
      </c>
      <c r="B794" s="38">
        <v>10</v>
      </c>
      <c r="C794" s="37" t="s">
        <v>100</v>
      </c>
      <c r="D794" s="37">
        <v>47</v>
      </c>
      <c r="E794" s="37" t="s">
        <v>714</v>
      </c>
      <c r="YS794" s="38" t="e">
        <f>RIGHT(CONCATENATE(0,#REF!),7)</f>
        <v>#REF!</v>
      </c>
    </row>
    <row r="795" spans="1:669" hidden="1">
      <c r="A795" s="35">
        <v>513</v>
      </c>
      <c r="B795" s="38">
        <v>10</v>
      </c>
      <c r="C795" s="37" t="s">
        <v>100</v>
      </c>
      <c r="D795" s="37">
        <v>48</v>
      </c>
      <c r="E795" s="37" t="s">
        <v>715</v>
      </c>
      <c r="YS795" s="38" t="e">
        <f>RIGHT(CONCATENATE(0,#REF!),7)</f>
        <v>#REF!</v>
      </c>
    </row>
    <row r="796" spans="1:669" hidden="1">
      <c r="A796" s="35">
        <v>514</v>
      </c>
      <c r="B796" s="38">
        <v>10</v>
      </c>
      <c r="C796" s="37" t="s">
        <v>100</v>
      </c>
      <c r="D796" s="37">
        <v>49</v>
      </c>
      <c r="E796" s="37" t="s">
        <v>716</v>
      </c>
      <c r="YS796" s="38" t="e">
        <f>RIGHT(CONCATENATE(0,#REF!),7)</f>
        <v>#REF!</v>
      </c>
    </row>
    <row r="797" spans="1:669" hidden="1">
      <c r="A797" s="35">
        <v>515</v>
      </c>
      <c r="B797" s="38">
        <v>10</v>
      </c>
      <c r="C797" s="37" t="s">
        <v>100</v>
      </c>
      <c r="D797" s="37">
        <v>50</v>
      </c>
      <c r="E797" s="37" t="s">
        <v>717</v>
      </c>
      <c r="YS797" s="38" t="e">
        <f>RIGHT(CONCATENATE(0,#REF!),7)</f>
        <v>#REF!</v>
      </c>
    </row>
    <row r="798" spans="1:669" hidden="1">
      <c r="A798" s="35">
        <v>516</v>
      </c>
      <c r="B798" s="38">
        <v>10</v>
      </c>
      <c r="C798" s="37" t="s">
        <v>100</v>
      </c>
      <c r="D798" s="37">
        <v>51</v>
      </c>
      <c r="E798" s="37" t="s">
        <v>718</v>
      </c>
      <c r="YS798" s="38" t="e">
        <f>RIGHT(CONCATENATE(0,#REF!),7)</f>
        <v>#REF!</v>
      </c>
    </row>
    <row r="799" spans="1:669" hidden="1">
      <c r="A799" s="35">
        <v>517</v>
      </c>
      <c r="B799" s="38">
        <v>10</v>
      </c>
      <c r="C799" s="37" t="s">
        <v>100</v>
      </c>
      <c r="D799" s="37">
        <v>52</v>
      </c>
      <c r="E799" s="37" t="s">
        <v>719</v>
      </c>
      <c r="YS799" s="38" t="e">
        <f>RIGHT(CONCATENATE(0,#REF!),7)</f>
        <v>#REF!</v>
      </c>
    </row>
    <row r="800" spans="1:669" hidden="1">
      <c r="A800" s="35">
        <v>518</v>
      </c>
      <c r="B800" s="38">
        <v>10</v>
      </c>
      <c r="C800" s="37" t="s">
        <v>100</v>
      </c>
      <c r="D800" s="37">
        <v>53</v>
      </c>
      <c r="E800" s="37" t="s">
        <v>720</v>
      </c>
      <c r="YS800" s="38" t="e">
        <f>RIGHT(CONCATENATE(0,#REF!),7)</f>
        <v>#REF!</v>
      </c>
    </row>
    <row r="801" spans="1:669" hidden="1">
      <c r="A801" s="35">
        <v>519</v>
      </c>
      <c r="B801" s="38">
        <v>10</v>
      </c>
      <c r="C801" s="37" t="s">
        <v>100</v>
      </c>
      <c r="D801" s="37">
        <v>54</v>
      </c>
      <c r="E801" s="37" t="s">
        <v>721</v>
      </c>
      <c r="YS801" s="38" t="e">
        <f>RIGHT(CONCATENATE(0,#REF!),7)</f>
        <v>#REF!</v>
      </c>
    </row>
    <row r="802" spans="1:669" hidden="1">
      <c r="A802" s="35">
        <v>520</v>
      </c>
      <c r="B802" s="38">
        <v>11</v>
      </c>
      <c r="C802" s="37" t="s">
        <v>103</v>
      </c>
      <c r="D802" s="37">
        <v>1</v>
      </c>
      <c r="E802" s="37" t="s">
        <v>722</v>
      </c>
      <c r="YS802" s="38" t="e">
        <f>RIGHT(CONCATENATE(0,#REF!),7)</f>
        <v>#REF!</v>
      </c>
    </row>
    <row r="803" spans="1:669" hidden="1">
      <c r="A803" s="35">
        <v>521</v>
      </c>
      <c r="B803" s="38">
        <v>11</v>
      </c>
      <c r="C803" s="37" t="s">
        <v>103</v>
      </c>
      <c r="D803" s="37">
        <v>2</v>
      </c>
      <c r="E803" s="37" t="s">
        <v>723</v>
      </c>
      <c r="YS803" s="38" t="e">
        <f>RIGHT(CONCATENATE(0,#REF!),7)</f>
        <v>#REF!</v>
      </c>
    </row>
    <row r="804" spans="1:669" hidden="1">
      <c r="A804" s="35">
        <v>522</v>
      </c>
      <c r="B804" s="38">
        <v>11</v>
      </c>
      <c r="C804" s="37" t="s">
        <v>103</v>
      </c>
      <c r="D804" s="37">
        <v>3</v>
      </c>
      <c r="E804" s="37" t="s">
        <v>724</v>
      </c>
      <c r="YS804" s="38" t="e">
        <f>RIGHT(CONCATENATE(0,#REF!),7)</f>
        <v>#REF!</v>
      </c>
    </row>
    <row r="805" spans="1:669" hidden="1">
      <c r="A805" s="35">
        <v>523</v>
      </c>
      <c r="B805" s="38">
        <v>11</v>
      </c>
      <c r="C805" s="37" t="s">
        <v>103</v>
      </c>
      <c r="D805" s="37">
        <v>4</v>
      </c>
      <c r="E805" s="37" t="s">
        <v>725</v>
      </c>
      <c r="YS805" s="38" t="e">
        <f>RIGHT(CONCATENATE(0,#REF!),7)</f>
        <v>#REF!</v>
      </c>
    </row>
    <row r="806" spans="1:669" hidden="1">
      <c r="A806" s="35">
        <v>524</v>
      </c>
      <c r="B806" s="38">
        <v>11</v>
      </c>
      <c r="C806" s="37" t="s">
        <v>103</v>
      </c>
      <c r="D806" s="37">
        <v>5</v>
      </c>
      <c r="E806" s="37" t="s">
        <v>726</v>
      </c>
      <c r="YS806" s="38" t="e">
        <f>RIGHT(CONCATENATE(0,#REF!),7)</f>
        <v>#REF!</v>
      </c>
    </row>
    <row r="807" spans="1:669" hidden="1">
      <c r="A807" s="35">
        <v>525</v>
      </c>
      <c r="B807" s="38">
        <v>11</v>
      </c>
      <c r="C807" s="37" t="s">
        <v>103</v>
      </c>
      <c r="D807" s="37">
        <v>6</v>
      </c>
      <c r="E807" s="37" t="s">
        <v>727</v>
      </c>
      <c r="YS807" s="38" t="e">
        <f>RIGHT(CONCATENATE(0,#REF!),7)</f>
        <v>#REF!</v>
      </c>
    </row>
    <row r="808" spans="1:669" hidden="1">
      <c r="A808" s="35">
        <v>526</v>
      </c>
      <c r="B808" s="38">
        <v>11</v>
      </c>
      <c r="C808" s="37" t="s">
        <v>103</v>
      </c>
      <c r="D808" s="37">
        <v>7</v>
      </c>
      <c r="E808" s="37" t="s">
        <v>673</v>
      </c>
      <c r="YS808" s="38" t="e">
        <f>RIGHT(CONCATENATE(0,#REF!),7)</f>
        <v>#REF!</v>
      </c>
    </row>
    <row r="809" spans="1:669" hidden="1">
      <c r="A809" s="35">
        <v>527</v>
      </c>
      <c r="B809" s="38">
        <v>11</v>
      </c>
      <c r="C809" s="37" t="s">
        <v>103</v>
      </c>
      <c r="D809" s="37">
        <v>8</v>
      </c>
      <c r="E809" s="37" t="s">
        <v>728</v>
      </c>
      <c r="YS809" s="38" t="e">
        <f>RIGHT(CONCATENATE(0,#REF!),7)</f>
        <v>#REF!</v>
      </c>
    </row>
    <row r="810" spans="1:669" hidden="1">
      <c r="A810" s="35">
        <v>528</v>
      </c>
      <c r="B810" s="38">
        <v>11</v>
      </c>
      <c r="C810" s="37" t="s">
        <v>103</v>
      </c>
      <c r="D810" s="37">
        <v>9</v>
      </c>
      <c r="E810" s="37" t="s">
        <v>729</v>
      </c>
      <c r="YS810" s="38" t="e">
        <f>RIGHT(CONCATENATE(0,#REF!),7)</f>
        <v>#REF!</v>
      </c>
    </row>
    <row r="811" spans="1:669" hidden="1">
      <c r="A811" s="35">
        <v>529</v>
      </c>
      <c r="B811" s="38">
        <v>11</v>
      </c>
      <c r="C811" s="37" t="s">
        <v>103</v>
      </c>
      <c r="D811" s="37">
        <v>10</v>
      </c>
      <c r="E811" s="37" t="s">
        <v>730</v>
      </c>
      <c r="YS811" s="38" t="e">
        <f>RIGHT(CONCATENATE(0,#REF!),7)</f>
        <v>#REF!</v>
      </c>
    </row>
    <row r="812" spans="1:669" hidden="1">
      <c r="A812" s="35">
        <v>530</v>
      </c>
      <c r="B812" s="38">
        <v>11</v>
      </c>
      <c r="C812" s="37" t="s">
        <v>103</v>
      </c>
      <c r="D812" s="37">
        <v>11</v>
      </c>
      <c r="E812" s="37" t="s">
        <v>731</v>
      </c>
      <c r="YS812" s="38" t="e">
        <f>RIGHT(CONCATENATE(0,#REF!),7)</f>
        <v>#REF!</v>
      </c>
    </row>
    <row r="813" spans="1:669" hidden="1">
      <c r="A813" s="35">
        <v>531</v>
      </c>
      <c r="B813" s="38">
        <v>11</v>
      </c>
      <c r="C813" s="37" t="s">
        <v>103</v>
      </c>
      <c r="D813" s="37">
        <v>12</v>
      </c>
      <c r="E813" s="37" t="s">
        <v>732</v>
      </c>
      <c r="YS813" s="38" t="e">
        <f>RIGHT(CONCATENATE(0,#REF!),7)</f>
        <v>#REF!</v>
      </c>
    </row>
    <row r="814" spans="1:669" hidden="1">
      <c r="A814" s="35">
        <v>532</v>
      </c>
      <c r="B814" s="38">
        <v>11</v>
      </c>
      <c r="C814" s="37" t="s">
        <v>103</v>
      </c>
      <c r="D814" s="37">
        <v>13</v>
      </c>
      <c r="E814" s="37" t="s">
        <v>733</v>
      </c>
      <c r="YS814" s="38" t="e">
        <f>RIGHT(CONCATENATE(0,#REF!),7)</f>
        <v>#REF!</v>
      </c>
    </row>
    <row r="815" spans="1:669" hidden="1">
      <c r="A815" s="35">
        <v>533</v>
      </c>
      <c r="B815" s="38">
        <v>11</v>
      </c>
      <c r="C815" s="37" t="s">
        <v>103</v>
      </c>
      <c r="D815" s="37">
        <v>14</v>
      </c>
      <c r="E815" s="37" t="s">
        <v>734</v>
      </c>
      <c r="YS815" s="38" t="e">
        <f>RIGHT(CONCATENATE(0,#REF!),7)</f>
        <v>#REF!</v>
      </c>
    </row>
    <row r="816" spans="1:669" hidden="1">
      <c r="A816" s="35">
        <v>534</v>
      </c>
      <c r="B816" s="38">
        <v>11</v>
      </c>
      <c r="C816" s="37" t="s">
        <v>103</v>
      </c>
      <c r="D816" s="37">
        <v>15</v>
      </c>
      <c r="E816" s="37" t="s">
        <v>735</v>
      </c>
      <c r="YS816" s="38" t="e">
        <f>RIGHT(CONCATENATE(0,#REF!),7)</f>
        <v>#REF!</v>
      </c>
    </row>
    <row r="817" spans="1:669" hidden="1">
      <c r="A817" s="35">
        <v>535</v>
      </c>
      <c r="B817" s="38">
        <v>11</v>
      </c>
      <c r="C817" s="37" t="s">
        <v>103</v>
      </c>
      <c r="D817" s="37">
        <v>16</v>
      </c>
      <c r="E817" s="37" t="s">
        <v>736</v>
      </c>
      <c r="YS817" s="38" t="e">
        <f>RIGHT(CONCATENATE(0,#REF!),7)</f>
        <v>#REF!</v>
      </c>
    </row>
    <row r="818" spans="1:669" hidden="1">
      <c r="A818" s="35">
        <v>536</v>
      </c>
      <c r="B818" s="38">
        <v>11</v>
      </c>
      <c r="C818" s="37" t="s">
        <v>103</v>
      </c>
      <c r="D818" s="37">
        <v>17</v>
      </c>
      <c r="E818" s="37" t="s">
        <v>737</v>
      </c>
      <c r="YS818" s="38" t="e">
        <f>RIGHT(CONCATENATE(0,#REF!),7)</f>
        <v>#REF!</v>
      </c>
    </row>
    <row r="819" spans="1:669" hidden="1">
      <c r="A819" s="35">
        <v>537</v>
      </c>
      <c r="B819" s="38">
        <v>11</v>
      </c>
      <c r="C819" s="37" t="s">
        <v>103</v>
      </c>
      <c r="D819" s="37">
        <v>18</v>
      </c>
      <c r="E819" s="37" t="s">
        <v>738</v>
      </c>
      <c r="YS819" s="38" t="e">
        <f>RIGHT(CONCATENATE(0,#REF!),7)</f>
        <v>#REF!</v>
      </c>
    </row>
    <row r="820" spans="1:669" hidden="1">
      <c r="A820" s="35">
        <v>538</v>
      </c>
      <c r="B820" s="38">
        <v>11</v>
      </c>
      <c r="C820" s="37" t="s">
        <v>103</v>
      </c>
      <c r="D820" s="37">
        <v>19</v>
      </c>
      <c r="E820" s="37" t="s">
        <v>739</v>
      </c>
      <c r="YS820" s="38" t="e">
        <f>RIGHT(CONCATENATE(0,#REF!),7)</f>
        <v>#REF!</v>
      </c>
    </row>
    <row r="821" spans="1:669" hidden="1">
      <c r="A821" s="35">
        <v>539</v>
      </c>
      <c r="B821" s="38">
        <v>11</v>
      </c>
      <c r="C821" s="37" t="s">
        <v>103</v>
      </c>
      <c r="D821" s="37">
        <v>20</v>
      </c>
      <c r="E821" s="37" t="s">
        <v>740</v>
      </c>
      <c r="YS821" s="38" t="e">
        <f>RIGHT(CONCATENATE(0,#REF!),7)</f>
        <v>#REF!</v>
      </c>
    </row>
    <row r="822" spans="1:669" hidden="1">
      <c r="A822" s="35">
        <v>540</v>
      </c>
      <c r="B822" s="38">
        <v>11</v>
      </c>
      <c r="C822" s="37" t="s">
        <v>103</v>
      </c>
      <c r="D822" s="37">
        <v>21</v>
      </c>
      <c r="E822" s="37" t="s">
        <v>741</v>
      </c>
      <c r="YS822" s="38" t="e">
        <f>RIGHT(CONCATENATE(0,#REF!),7)</f>
        <v>#REF!</v>
      </c>
    </row>
    <row r="823" spans="1:669" hidden="1">
      <c r="A823" s="35">
        <v>541</v>
      </c>
      <c r="B823" s="38">
        <v>11</v>
      </c>
      <c r="C823" s="37" t="s">
        <v>103</v>
      </c>
      <c r="D823" s="37">
        <v>22</v>
      </c>
      <c r="E823" s="37" t="s">
        <v>742</v>
      </c>
      <c r="YS823" s="38" t="e">
        <f>RIGHT(CONCATENATE(0,#REF!),7)</f>
        <v>#REF!</v>
      </c>
    </row>
    <row r="824" spans="1:669" hidden="1">
      <c r="A824" s="35">
        <v>542</v>
      </c>
      <c r="B824" s="38">
        <v>11</v>
      </c>
      <c r="C824" s="37" t="s">
        <v>103</v>
      </c>
      <c r="D824" s="37">
        <v>23</v>
      </c>
      <c r="E824" s="37" t="s">
        <v>743</v>
      </c>
      <c r="YS824" s="38" t="e">
        <f>RIGHT(CONCATENATE(0,#REF!),7)</f>
        <v>#REF!</v>
      </c>
    </row>
    <row r="825" spans="1:669" hidden="1">
      <c r="A825" s="35">
        <v>543</v>
      </c>
      <c r="B825" s="38">
        <v>11</v>
      </c>
      <c r="C825" s="37" t="s">
        <v>103</v>
      </c>
      <c r="D825" s="37">
        <v>24</v>
      </c>
      <c r="E825" s="37" t="s">
        <v>744</v>
      </c>
      <c r="YS825" s="38" t="e">
        <f>RIGHT(CONCATENATE(0,#REF!),7)</f>
        <v>#REF!</v>
      </c>
    </row>
    <row r="826" spans="1:669" hidden="1">
      <c r="A826" s="35">
        <v>544</v>
      </c>
      <c r="B826" s="38">
        <v>11</v>
      </c>
      <c r="C826" s="37" t="s">
        <v>103</v>
      </c>
      <c r="D826" s="37">
        <v>25</v>
      </c>
      <c r="E826" s="37" t="s">
        <v>745</v>
      </c>
      <c r="YS826" s="38" t="e">
        <f>RIGHT(CONCATENATE(0,#REF!),7)</f>
        <v>#REF!</v>
      </c>
    </row>
    <row r="827" spans="1:669" hidden="1">
      <c r="A827" s="35">
        <v>545</v>
      </c>
      <c r="B827" s="38">
        <v>11</v>
      </c>
      <c r="C827" s="37" t="s">
        <v>103</v>
      </c>
      <c r="D827" s="37">
        <v>26</v>
      </c>
      <c r="E827" s="37" t="s">
        <v>746</v>
      </c>
      <c r="YS827" s="38" t="e">
        <f>RIGHT(CONCATENATE(0,#REF!),7)</f>
        <v>#REF!</v>
      </c>
    </row>
    <row r="828" spans="1:669" hidden="1">
      <c r="A828" s="35">
        <v>546</v>
      </c>
      <c r="B828" s="38">
        <v>11</v>
      </c>
      <c r="C828" s="37" t="s">
        <v>103</v>
      </c>
      <c r="D828" s="37">
        <v>27</v>
      </c>
      <c r="E828" s="37" t="s">
        <v>747</v>
      </c>
      <c r="YS828" s="38" t="e">
        <f>RIGHT(CONCATENATE(0,#REF!),7)</f>
        <v>#REF!</v>
      </c>
    </row>
    <row r="829" spans="1:669" hidden="1">
      <c r="A829" s="35">
        <v>547</v>
      </c>
      <c r="B829" s="38">
        <v>11</v>
      </c>
      <c r="C829" s="37" t="s">
        <v>103</v>
      </c>
      <c r="D829" s="37">
        <v>28</v>
      </c>
      <c r="E829" s="37" t="s">
        <v>748</v>
      </c>
      <c r="YS829" s="38" t="e">
        <f>RIGHT(CONCATENATE(0,#REF!),7)</f>
        <v>#REF!</v>
      </c>
    </row>
    <row r="830" spans="1:669" hidden="1">
      <c r="A830" s="35">
        <v>548</v>
      </c>
      <c r="B830" s="38">
        <v>11</v>
      </c>
      <c r="C830" s="37" t="s">
        <v>103</v>
      </c>
      <c r="D830" s="37">
        <v>29</v>
      </c>
      <c r="E830" s="37" t="s">
        <v>749</v>
      </c>
      <c r="YS830" s="38" t="e">
        <f>RIGHT(CONCATENATE(0,#REF!),7)</f>
        <v>#REF!</v>
      </c>
    </row>
    <row r="831" spans="1:669" hidden="1">
      <c r="A831" s="35">
        <v>549</v>
      </c>
      <c r="B831" s="38">
        <v>11</v>
      </c>
      <c r="C831" s="37" t="s">
        <v>103</v>
      </c>
      <c r="D831" s="37">
        <v>30</v>
      </c>
      <c r="E831" s="37" t="s">
        <v>750</v>
      </c>
      <c r="YS831" s="38" t="e">
        <f>RIGHT(CONCATENATE(0,#REF!),7)</f>
        <v>#REF!</v>
      </c>
    </row>
    <row r="832" spans="1:669" hidden="1">
      <c r="A832" s="35">
        <v>550</v>
      </c>
      <c r="B832" s="38">
        <v>11</v>
      </c>
      <c r="C832" s="37" t="s">
        <v>103</v>
      </c>
      <c r="D832" s="37">
        <v>31</v>
      </c>
      <c r="E832" s="37" t="s">
        <v>751</v>
      </c>
      <c r="YS832" s="38" t="e">
        <f>RIGHT(CONCATENATE(0,#REF!),7)</f>
        <v>#REF!</v>
      </c>
    </row>
    <row r="833" spans="1:669" hidden="1">
      <c r="A833" s="35">
        <v>551</v>
      </c>
      <c r="B833" s="38">
        <v>11</v>
      </c>
      <c r="C833" s="37" t="s">
        <v>103</v>
      </c>
      <c r="D833" s="37">
        <v>32</v>
      </c>
      <c r="E833" s="37" t="s">
        <v>752</v>
      </c>
      <c r="YS833" s="38" t="e">
        <f>RIGHT(CONCATENATE(0,#REF!),7)</f>
        <v>#REF!</v>
      </c>
    </row>
    <row r="834" spans="1:669" hidden="1">
      <c r="A834" s="35">
        <v>552</v>
      </c>
      <c r="B834" s="38">
        <v>11</v>
      </c>
      <c r="C834" s="37" t="s">
        <v>103</v>
      </c>
      <c r="D834" s="37">
        <v>33</v>
      </c>
      <c r="E834" s="37" t="s">
        <v>753</v>
      </c>
      <c r="YS834" s="38" t="e">
        <f>RIGHT(CONCATENATE(0,#REF!),7)</f>
        <v>#REF!</v>
      </c>
    </row>
    <row r="835" spans="1:669" hidden="1">
      <c r="A835" s="35">
        <v>553</v>
      </c>
      <c r="B835" s="38">
        <v>11</v>
      </c>
      <c r="C835" s="37" t="s">
        <v>103</v>
      </c>
      <c r="D835" s="37">
        <v>34</v>
      </c>
      <c r="E835" s="37" t="s">
        <v>754</v>
      </c>
      <c r="YS835" s="38" t="e">
        <f>RIGHT(CONCATENATE(0,#REF!),7)</f>
        <v>#REF!</v>
      </c>
    </row>
    <row r="836" spans="1:669" hidden="1">
      <c r="A836" s="35">
        <v>554</v>
      </c>
      <c r="B836" s="38">
        <v>11</v>
      </c>
      <c r="C836" s="37" t="s">
        <v>103</v>
      </c>
      <c r="D836" s="37">
        <v>35</v>
      </c>
      <c r="E836" s="37" t="s">
        <v>755</v>
      </c>
      <c r="YS836" s="38" t="e">
        <f>RIGHT(CONCATENATE(0,#REF!),7)</f>
        <v>#REF!</v>
      </c>
    </row>
    <row r="837" spans="1:669" hidden="1">
      <c r="A837" s="35">
        <v>555</v>
      </c>
      <c r="B837" s="38">
        <v>11</v>
      </c>
      <c r="C837" s="37" t="s">
        <v>103</v>
      </c>
      <c r="D837" s="37">
        <v>36</v>
      </c>
      <c r="E837" s="37" t="s">
        <v>756</v>
      </c>
      <c r="YS837" s="38" t="e">
        <f>RIGHT(CONCATENATE(0,#REF!),7)</f>
        <v>#REF!</v>
      </c>
    </row>
    <row r="838" spans="1:669" hidden="1">
      <c r="A838" s="35">
        <v>556</v>
      </c>
      <c r="B838" s="38">
        <v>11</v>
      </c>
      <c r="C838" s="37" t="s">
        <v>103</v>
      </c>
      <c r="D838" s="37">
        <v>37</v>
      </c>
      <c r="E838" s="37" t="s">
        <v>757</v>
      </c>
      <c r="YS838" s="38" t="e">
        <f>RIGHT(CONCATENATE(0,#REF!),7)</f>
        <v>#REF!</v>
      </c>
    </row>
    <row r="839" spans="1:669" hidden="1">
      <c r="A839" s="35">
        <v>557</v>
      </c>
      <c r="B839" s="38">
        <v>11</v>
      </c>
      <c r="C839" s="37" t="s">
        <v>103</v>
      </c>
      <c r="D839" s="37">
        <v>38</v>
      </c>
      <c r="E839" s="37" t="s">
        <v>758</v>
      </c>
      <c r="YS839" s="38" t="e">
        <f>RIGHT(CONCATENATE(0,#REF!),7)</f>
        <v>#REF!</v>
      </c>
    </row>
    <row r="840" spans="1:669" hidden="1">
      <c r="A840" s="35">
        <v>558</v>
      </c>
      <c r="B840" s="38">
        <v>11</v>
      </c>
      <c r="C840" s="37" t="s">
        <v>103</v>
      </c>
      <c r="D840" s="37">
        <v>39</v>
      </c>
      <c r="E840" s="37" t="s">
        <v>759</v>
      </c>
      <c r="YS840" s="38" t="e">
        <f>RIGHT(CONCATENATE(0,#REF!),7)</f>
        <v>#REF!</v>
      </c>
    </row>
    <row r="841" spans="1:669" hidden="1">
      <c r="A841" s="35">
        <v>559</v>
      </c>
      <c r="B841" s="38">
        <v>11</v>
      </c>
      <c r="C841" s="37" t="s">
        <v>103</v>
      </c>
      <c r="D841" s="37">
        <v>40</v>
      </c>
      <c r="E841" s="37" t="s">
        <v>760</v>
      </c>
      <c r="YS841" s="38" t="e">
        <f>RIGHT(CONCATENATE(0,#REF!),7)</f>
        <v>#REF!</v>
      </c>
    </row>
    <row r="842" spans="1:669" hidden="1">
      <c r="A842" s="35">
        <v>560</v>
      </c>
      <c r="B842" s="38">
        <v>11</v>
      </c>
      <c r="C842" s="37" t="s">
        <v>103</v>
      </c>
      <c r="D842" s="37">
        <v>41</v>
      </c>
      <c r="E842" s="37" t="s">
        <v>761</v>
      </c>
      <c r="YS842" s="38" t="e">
        <f>RIGHT(CONCATENATE(0,#REF!),7)</f>
        <v>#REF!</v>
      </c>
    </row>
    <row r="843" spans="1:669" hidden="1">
      <c r="A843" s="35">
        <v>561</v>
      </c>
      <c r="B843" s="38">
        <v>11</v>
      </c>
      <c r="C843" s="37" t="s">
        <v>103</v>
      </c>
      <c r="D843" s="37">
        <v>42</v>
      </c>
      <c r="E843" s="37" t="s">
        <v>762</v>
      </c>
      <c r="YS843" s="38" t="e">
        <f>RIGHT(CONCATENATE(0,#REF!),7)</f>
        <v>#REF!</v>
      </c>
    </row>
    <row r="844" spans="1:669" hidden="1">
      <c r="A844" s="35">
        <v>562</v>
      </c>
      <c r="B844" s="38">
        <v>11</v>
      </c>
      <c r="C844" s="37" t="s">
        <v>103</v>
      </c>
      <c r="D844" s="37">
        <v>43</v>
      </c>
      <c r="E844" s="37" t="s">
        <v>763</v>
      </c>
      <c r="YS844" s="38" t="e">
        <f>RIGHT(CONCATENATE(0,#REF!),7)</f>
        <v>#REF!</v>
      </c>
    </row>
    <row r="845" spans="1:669" hidden="1">
      <c r="A845" s="35">
        <v>563</v>
      </c>
      <c r="B845" s="38">
        <v>11</v>
      </c>
      <c r="C845" s="37" t="s">
        <v>103</v>
      </c>
      <c r="D845" s="37">
        <v>44</v>
      </c>
      <c r="E845" s="37" t="s">
        <v>764</v>
      </c>
      <c r="YS845" s="38" t="e">
        <f>RIGHT(CONCATENATE(0,#REF!),7)</f>
        <v>#REF!</v>
      </c>
    </row>
    <row r="846" spans="1:669" hidden="1">
      <c r="A846" s="35">
        <v>564</v>
      </c>
      <c r="B846" s="38">
        <v>11</v>
      </c>
      <c r="C846" s="37" t="s">
        <v>103</v>
      </c>
      <c r="D846" s="37">
        <v>45</v>
      </c>
      <c r="E846" s="37" t="s">
        <v>765</v>
      </c>
      <c r="YS846" s="38" t="e">
        <f>RIGHT(CONCATENATE(0,#REF!),7)</f>
        <v>#REF!</v>
      </c>
    </row>
    <row r="847" spans="1:669" hidden="1">
      <c r="A847" s="35">
        <v>565</v>
      </c>
      <c r="B847" s="38">
        <v>11</v>
      </c>
      <c r="C847" s="37" t="s">
        <v>103</v>
      </c>
      <c r="D847" s="37">
        <v>46</v>
      </c>
      <c r="E847" s="37" t="s">
        <v>766</v>
      </c>
      <c r="YS847" s="38" t="e">
        <f>RIGHT(CONCATENATE(0,#REF!),7)</f>
        <v>#REF!</v>
      </c>
    </row>
    <row r="848" spans="1:669" hidden="1">
      <c r="A848" s="35">
        <v>566</v>
      </c>
      <c r="B848" s="38">
        <v>11</v>
      </c>
      <c r="C848" s="37" t="s">
        <v>103</v>
      </c>
      <c r="D848" s="37">
        <v>47</v>
      </c>
      <c r="E848" s="37" t="s">
        <v>767</v>
      </c>
      <c r="YS848" s="38" t="e">
        <f>RIGHT(CONCATENATE(0,#REF!),7)</f>
        <v>#REF!</v>
      </c>
    </row>
    <row r="849" spans="1:669" hidden="1">
      <c r="A849" s="35">
        <v>567</v>
      </c>
      <c r="B849" s="38">
        <v>11</v>
      </c>
      <c r="C849" s="37" t="s">
        <v>103</v>
      </c>
      <c r="D849" s="37">
        <v>48</v>
      </c>
      <c r="E849" s="37" t="s">
        <v>768</v>
      </c>
      <c r="YS849" s="38" t="e">
        <f>RIGHT(CONCATENATE(0,#REF!),7)</f>
        <v>#REF!</v>
      </c>
    </row>
    <row r="850" spans="1:669" hidden="1">
      <c r="A850" s="35">
        <v>568</v>
      </c>
      <c r="B850" s="38">
        <v>11</v>
      </c>
      <c r="C850" s="37" t="s">
        <v>103</v>
      </c>
      <c r="D850" s="37">
        <v>49</v>
      </c>
      <c r="E850" s="37" t="s">
        <v>769</v>
      </c>
      <c r="YS850" s="38" t="e">
        <f>RIGHT(CONCATENATE(0,#REF!),7)</f>
        <v>#REF!</v>
      </c>
    </row>
    <row r="851" spans="1:669" hidden="1">
      <c r="A851" s="35">
        <v>569</v>
      </c>
      <c r="B851" s="38">
        <v>11</v>
      </c>
      <c r="C851" s="37" t="s">
        <v>103</v>
      </c>
      <c r="D851" s="37">
        <v>50</v>
      </c>
      <c r="E851" s="37" t="s">
        <v>770</v>
      </c>
      <c r="YS851" s="38" t="e">
        <f>RIGHT(CONCATENATE(0,#REF!),7)</f>
        <v>#REF!</v>
      </c>
    </row>
    <row r="852" spans="1:669" hidden="1">
      <c r="A852" s="35">
        <v>570</v>
      </c>
      <c r="B852" s="38">
        <v>11</v>
      </c>
      <c r="C852" s="37" t="s">
        <v>103</v>
      </c>
      <c r="D852" s="37">
        <v>51</v>
      </c>
      <c r="E852" s="37" t="s">
        <v>771</v>
      </c>
      <c r="YS852" s="38" t="e">
        <f>RIGHT(CONCATENATE(0,#REF!),7)</f>
        <v>#REF!</v>
      </c>
    </row>
    <row r="853" spans="1:669" hidden="1">
      <c r="A853" s="35">
        <v>571</v>
      </c>
      <c r="B853" s="38">
        <v>11</v>
      </c>
      <c r="C853" s="37" t="s">
        <v>103</v>
      </c>
      <c r="D853" s="37">
        <v>52</v>
      </c>
      <c r="E853" s="37" t="s">
        <v>772</v>
      </c>
      <c r="YS853" s="38" t="e">
        <f>RIGHT(CONCATENATE(0,#REF!),7)</f>
        <v>#REF!</v>
      </c>
    </row>
    <row r="854" spans="1:669" hidden="1">
      <c r="A854" s="35">
        <v>572</v>
      </c>
      <c r="B854" s="38">
        <v>11</v>
      </c>
      <c r="C854" s="37" t="s">
        <v>103</v>
      </c>
      <c r="D854" s="37">
        <v>53</v>
      </c>
      <c r="E854" s="37" t="s">
        <v>773</v>
      </c>
      <c r="YS854" s="38" t="e">
        <f>RIGHT(CONCATENATE(0,#REF!),7)</f>
        <v>#REF!</v>
      </c>
    </row>
    <row r="855" spans="1:669" hidden="1">
      <c r="A855" s="35">
        <v>573</v>
      </c>
      <c r="B855" s="38">
        <v>11</v>
      </c>
      <c r="C855" s="37" t="s">
        <v>103</v>
      </c>
      <c r="D855" s="37">
        <v>54</v>
      </c>
      <c r="E855" s="37" t="s">
        <v>774</v>
      </c>
      <c r="YS855" s="38" t="e">
        <f>RIGHT(CONCATENATE(0,#REF!),7)</f>
        <v>#REF!</v>
      </c>
    </row>
    <row r="856" spans="1:669" hidden="1">
      <c r="A856" s="35">
        <v>574</v>
      </c>
      <c r="B856" s="38">
        <v>11</v>
      </c>
      <c r="C856" s="37" t="s">
        <v>103</v>
      </c>
      <c r="D856" s="37">
        <v>55</v>
      </c>
      <c r="E856" s="37" t="s">
        <v>775</v>
      </c>
      <c r="YS856" s="38" t="e">
        <f>RIGHT(CONCATENATE(0,#REF!),7)</f>
        <v>#REF!</v>
      </c>
    </row>
    <row r="857" spans="1:669" hidden="1">
      <c r="A857" s="35">
        <v>575</v>
      </c>
      <c r="B857" s="38">
        <v>11</v>
      </c>
      <c r="C857" s="37" t="s">
        <v>103</v>
      </c>
      <c r="D857" s="37">
        <v>56</v>
      </c>
      <c r="E857" s="37" t="s">
        <v>776</v>
      </c>
      <c r="YS857" s="38" t="e">
        <f>RIGHT(CONCATENATE(0,#REF!),7)</f>
        <v>#REF!</v>
      </c>
    </row>
    <row r="858" spans="1:669" hidden="1">
      <c r="A858" s="35">
        <v>576</v>
      </c>
      <c r="B858" s="38">
        <v>11</v>
      </c>
      <c r="C858" s="37" t="s">
        <v>103</v>
      </c>
      <c r="D858" s="37">
        <v>57</v>
      </c>
      <c r="E858" s="37" t="s">
        <v>777</v>
      </c>
      <c r="YS858" s="38" t="e">
        <f>RIGHT(CONCATENATE(0,#REF!),7)</f>
        <v>#REF!</v>
      </c>
    </row>
    <row r="859" spans="1:669" hidden="1">
      <c r="A859" s="35">
        <v>577</v>
      </c>
      <c r="B859" s="38">
        <v>11</v>
      </c>
      <c r="C859" s="37" t="s">
        <v>103</v>
      </c>
      <c r="D859" s="37">
        <v>58</v>
      </c>
      <c r="E859" s="37" t="s">
        <v>778</v>
      </c>
      <c r="YS859" s="38" t="e">
        <f>RIGHT(CONCATENATE(0,#REF!),7)</f>
        <v>#REF!</v>
      </c>
    </row>
    <row r="860" spans="1:669" hidden="1">
      <c r="A860" s="35">
        <v>578</v>
      </c>
      <c r="B860" s="38">
        <v>11</v>
      </c>
      <c r="C860" s="37" t="s">
        <v>103</v>
      </c>
      <c r="D860" s="37">
        <v>59</v>
      </c>
      <c r="E860" s="37" t="s">
        <v>779</v>
      </c>
      <c r="YS860" s="38" t="e">
        <f>RIGHT(CONCATENATE(0,#REF!),7)</f>
        <v>#REF!</v>
      </c>
    </row>
    <row r="861" spans="1:669" hidden="1">
      <c r="A861" s="35">
        <v>579</v>
      </c>
      <c r="B861" s="38">
        <v>11</v>
      </c>
      <c r="C861" s="37" t="s">
        <v>103</v>
      </c>
      <c r="D861" s="37">
        <v>60</v>
      </c>
      <c r="E861" s="37" t="s">
        <v>780</v>
      </c>
      <c r="YS861" s="38" t="e">
        <f>RIGHT(CONCATENATE(0,#REF!),7)</f>
        <v>#REF!</v>
      </c>
    </row>
    <row r="862" spans="1:669" hidden="1">
      <c r="A862" s="35">
        <v>580</v>
      </c>
      <c r="B862" s="38">
        <v>11</v>
      </c>
      <c r="C862" s="37" t="s">
        <v>103</v>
      </c>
      <c r="D862" s="37">
        <v>61</v>
      </c>
      <c r="E862" s="37" t="s">
        <v>781</v>
      </c>
      <c r="YS862" s="38" t="e">
        <f>RIGHT(CONCATENATE(0,#REF!),7)</f>
        <v>#REF!</v>
      </c>
    </row>
    <row r="863" spans="1:669" hidden="1">
      <c r="A863" s="35">
        <v>581</v>
      </c>
      <c r="B863" s="38">
        <v>11</v>
      </c>
      <c r="C863" s="37" t="s">
        <v>103</v>
      </c>
      <c r="D863" s="37">
        <v>62</v>
      </c>
      <c r="E863" s="37" t="s">
        <v>782</v>
      </c>
      <c r="YS863" s="38" t="e">
        <f>RIGHT(CONCATENATE(0,#REF!),7)</f>
        <v>#REF!</v>
      </c>
    </row>
    <row r="864" spans="1:669" hidden="1">
      <c r="A864" s="35">
        <v>582</v>
      </c>
      <c r="B864" s="38">
        <v>11</v>
      </c>
      <c r="C864" s="37" t="s">
        <v>103</v>
      </c>
      <c r="D864" s="37">
        <v>63</v>
      </c>
      <c r="E864" s="37" t="s">
        <v>783</v>
      </c>
      <c r="YS864" s="38" t="e">
        <f>RIGHT(CONCATENATE(0,#REF!),7)</f>
        <v>#REF!</v>
      </c>
    </row>
    <row r="865" spans="1:669" hidden="1">
      <c r="A865" s="35">
        <v>583</v>
      </c>
      <c r="B865" s="38">
        <v>11</v>
      </c>
      <c r="C865" s="37" t="s">
        <v>103</v>
      </c>
      <c r="D865" s="37">
        <v>64</v>
      </c>
      <c r="E865" s="37" t="s">
        <v>784</v>
      </c>
      <c r="YS865" s="38" t="e">
        <f>RIGHT(CONCATENATE(0,#REF!),7)</f>
        <v>#REF!</v>
      </c>
    </row>
    <row r="866" spans="1:669" hidden="1">
      <c r="A866" s="35">
        <v>584</v>
      </c>
      <c r="B866" s="38">
        <v>12</v>
      </c>
      <c r="C866" s="37" t="s">
        <v>106</v>
      </c>
      <c r="D866" s="37">
        <v>1</v>
      </c>
      <c r="E866" s="37" t="s">
        <v>785</v>
      </c>
      <c r="YS866" s="38" t="e">
        <f>RIGHT(CONCATENATE(0,#REF!),7)</f>
        <v>#REF!</v>
      </c>
    </row>
    <row r="867" spans="1:669" hidden="1">
      <c r="A867" s="35">
        <v>585</v>
      </c>
      <c r="B867" s="38">
        <v>12</v>
      </c>
      <c r="C867" s="37" t="s">
        <v>106</v>
      </c>
      <c r="D867" s="37">
        <v>2</v>
      </c>
      <c r="E867" s="37" t="s">
        <v>786</v>
      </c>
      <c r="YS867" s="38" t="e">
        <f>RIGHT(CONCATENATE(0,#REF!),7)</f>
        <v>#REF!</v>
      </c>
    </row>
    <row r="868" spans="1:669" hidden="1">
      <c r="A868" s="35">
        <v>586</v>
      </c>
      <c r="B868" s="38">
        <v>12</v>
      </c>
      <c r="C868" s="37" t="s">
        <v>106</v>
      </c>
      <c r="D868" s="37">
        <v>3</v>
      </c>
      <c r="E868" s="37" t="s">
        <v>787</v>
      </c>
      <c r="YS868" s="38" t="e">
        <f>RIGHT(CONCATENATE(0,#REF!),7)</f>
        <v>#REF!</v>
      </c>
    </row>
    <row r="869" spans="1:669" hidden="1">
      <c r="A869" s="35">
        <v>587</v>
      </c>
      <c r="B869" s="38">
        <v>12</v>
      </c>
      <c r="C869" s="37" t="s">
        <v>106</v>
      </c>
      <c r="D869" s="37">
        <v>4</v>
      </c>
      <c r="E869" s="37" t="s">
        <v>788</v>
      </c>
      <c r="YS869" s="38" t="e">
        <f>RIGHT(CONCATENATE(0,#REF!),7)</f>
        <v>#REF!</v>
      </c>
    </row>
    <row r="870" spans="1:669" hidden="1">
      <c r="A870" s="35">
        <v>588</v>
      </c>
      <c r="B870" s="38">
        <v>12</v>
      </c>
      <c r="C870" s="37" t="s">
        <v>106</v>
      </c>
      <c r="D870" s="37">
        <v>5</v>
      </c>
      <c r="E870" s="37" t="s">
        <v>789</v>
      </c>
      <c r="YS870" s="38" t="e">
        <f>RIGHT(CONCATENATE(0,#REF!),7)</f>
        <v>#REF!</v>
      </c>
    </row>
    <row r="871" spans="1:669" hidden="1">
      <c r="A871" s="35">
        <v>589</v>
      </c>
      <c r="B871" s="38">
        <v>12</v>
      </c>
      <c r="C871" s="37" t="s">
        <v>106</v>
      </c>
      <c r="D871" s="37">
        <v>6</v>
      </c>
      <c r="E871" s="37" t="s">
        <v>790</v>
      </c>
      <c r="YS871" s="38" t="e">
        <f>RIGHT(CONCATENATE(0,#REF!),7)</f>
        <v>#REF!</v>
      </c>
    </row>
    <row r="872" spans="1:669" hidden="1">
      <c r="A872" s="35">
        <v>590</v>
      </c>
      <c r="B872" s="38">
        <v>12</v>
      </c>
      <c r="C872" s="37" t="s">
        <v>106</v>
      </c>
      <c r="D872" s="37">
        <v>7</v>
      </c>
      <c r="E872" s="37" t="s">
        <v>791</v>
      </c>
      <c r="YS872" s="38" t="e">
        <f>RIGHT(CONCATENATE(0,#REF!),7)</f>
        <v>#REF!</v>
      </c>
    </row>
    <row r="873" spans="1:669" hidden="1">
      <c r="A873" s="35">
        <v>591</v>
      </c>
      <c r="B873" s="38">
        <v>12</v>
      </c>
      <c r="C873" s="37" t="s">
        <v>106</v>
      </c>
      <c r="D873" s="37">
        <v>8</v>
      </c>
      <c r="E873" s="37" t="s">
        <v>792</v>
      </c>
      <c r="YS873" s="38" t="e">
        <f>RIGHT(CONCATENATE(0,#REF!),7)</f>
        <v>#REF!</v>
      </c>
    </row>
    <row r="874" spans="1:669" hidden="1">
      <c r="A874" s="35">
        <v>592</v>
      </c>
      <c r="B874" s="38">
        <v>12</v>
      </c>
      <c r="C874" s="37" t="s">
        <v>106</v>
      </c>
      <c r="D874" s="37">
        <v>9</v>
      </c>
      <c r="E874" s="37" t="s">
        <v>793</v>
      </c>
      <c r="YS874" s="38" t="e">
        <f>RIGHT(CONCATENATE(0,#REF!),7)</f>
        <v>#REF!</v>
      </c>
    </row>
    <row r="875" spans="1:669" hidden="1">
      <c r="A875" s="35">
        <v>593</v>
      </c>
      <c r="B875" s="38">
        <v>12</v>
      </c>
      <c r="C875" s="37" t="s">
        <v>106</v>
      </c>
      <c r="D875" s="37">
        <v>10</v>
      </c>
      <c r="E875" s="37" t="s">
        <v>794</v>
      </c>
      <c r="YS875" s="38" t="e">
        <f>RIGHT(CONCATENATE(0,#REF!),7)</f>
        <v>#REF!</v>
      </c>
    </row>
    <row r="876" spans="1:669" hidden="1">
      <c r="A876" s="35">
        <v>594</v>
      </c>
      <c r="B876" s="38">
        <v>12</v>
      </c>
      <c r="C876" s="37" t="s">
        <v>106</v>
      </c>
      <c r="D876" s="37">
        <v>11</v>
      </c>
      <c r="E876" s="37" t="s">
        <v>795</v>
      </c>
      <c r="YS876" s="38" t="e">
        <f>RIGHT(CONCATENATE(0,#REF!),7)</f>
        <v>#REF!</v>
      </c>
    </row>
    <row r="877" spans="1:669" hidden="1">
      <c r="A877" s="35">
        <v>595</v>
      </c>
      <c r="B877" s="38">
        <v>12</v>
      </c>
      <c r="C877" s="37" t="s">
        <v>106</v>
      </c>
      <c r="D877" s="37">
        <v>12</v>
      </c>
      <c r="E877" s="37" t="s">
        <v>796</v>
      </c>
      <c r="YS877" s="38" t="e">
        <f>RIGHT(CONCATENATE(0,#REF!),7)</f>
        <v>#REF!</v>
      </c>
    </row>
    <row r="878" spans="1:669" hidden="1">
      <c r="A878" s="35">
        <v>596</v>
      </c>
      <c r="B878" s="38">
        <v>12</v>
      </c>
      <c r="C878" s="37" t="s">
        <v>106</v>
      </c>
      <c r="D878" s="37">
        <v>13</v>
      </c>
      <c r="E878" s="37" t="s">
        <v>797</v>
      </c>
      <c r="YS878" s="38" t="e">
        <f>RIGHT(CONCATENATE(0,#REF!),7)</f>
        <v>#REF!</v>
      </c>
    </row>
    <row r="879" spans="1:669" hidden="1">
      <c r="A879" s="35">
        <v>597</v>
      </c>
      <c r="B879" s="38">
        <v>12</v>
      </c>
      <c r="C879" s="37" t="s">
        <v>106</v>
      </c>
      <c r="D879" s="37">
        <v>14</v>
      </c>
      <c r="E879" s="37" t="s">
        <v>798</v>
      </c>
      <c r="YS879" s="38" t="e">
        <f>RIGHT(CONCATENATE(0,#REF!),7)</f>
        <v>#REF!</v>
      </c>
    </row>
    <row r="880" spans="1:669" hidden="1">
      <c r="A880" s="35">
        <v>598</v>
      </c>
      <c r="B880" s="38">
        <v>12</v>
      </c>
      <c r="C880" s="37" t="s">
        <v>106</v>
      </c>
      <c r="D880" s="37">
        <v>15</v>
      </c>
      <c r="E880" s="37" t="s">
        <v>799</v>
      </c>
      <c r="YS880" s="38" t="e">
        <f>RIGHT(CONCATENATE(0,#REF!),7)</f>
        <v>#REF!</v>
      </c>
    </row>
    <row r="881" spans="1:669" hidden="1">
      <c r="A881" s="35">
        <v>599</v>
      </c>
      <c r="B881" s="38">
        <v>12</v>
      </c>
      <c r="C881" s="37" t="s">
        <v>106</v>
      </c>
      <c r="D881" s="37">
        <v>16</v>
      </c>
      <c r="E881" s="37" t="s">
        <v>800</v>
      </c>
      <c r="YS881" s="38" t="e">
        <f>RIGHT(CONCATENATE(0,#REF!),7)</f>
        <v>#REF!</v>
      </c>
    </row>
    <row r="882" spans="1:669" hidden="1">
      <c r="A882" s="35">
        <v>600</v>
      </c>
      <c r="B882" s="38">
        <v>12</v>
      </c>
      <c r="C882" s="37" t="s">
        <v>106</v>
      </c>
      <c r="D882" s="37">
        <v>17</v>
      </c>
      <c r="E882" s="37" t="s">
        <v>801</v>
      </c>
      <c r="YS882" s="38" t="e">
        <f>RIGHT(CONCATENATE(0,#REF!),7)</f>
        <v>#REF!</v>
      </c>
    </row>
    <row r="883" spans="1:669" hidden="1">
      <c r="A883" s="35">
        <v>601</v>
      </c>
      <c r="B883" s="38">
        <v>12</v>
      </c>
      <c r="C883" s="37" t="s">
        <v>106</v>
      </c>
      <c r="D883" s="37">
        <v>18</v>
      </c>
      <c r="E883" s="37" t="s">
        <v>802</v>
      </c>
      <c r="YS883" s="38" t="e">
        <f>RIGHT(CONCATENATE(0,#REF!),7)</f>
        <v>#REF!</v>
      </c>
    </row>
    <row r="884" spans="1:669" hidden="1">
      <c r="A884" s="35">
        <v>602</v>
      </c>
      <c r="B884" s="38">
        <v>12</v>
      </c>
      <c r="C884" s="37" t="s">
        <v>106</v>
      </c>
      <c r="D884" s="37">
        <v>19</v>
      </c>
      <c r="E884" s="37" t="s">
        <v>803</v>
      </c>
      <c r="YS884" s="38" t="e">
        <f>RIGHT(CONCATENATE(0,#REF!),7)</f>
        <v>#REF!</v>
      </c>
    </row>
    <row r="885" spans="1:669" hidden="1">
      <c r="A885" s="35">
        <v>603</v>
      </c>
      <c r="B885" s="38">
        <v>12</v>
      </c>
      <c r="C885" s="37" t="s">
        <v>106</v>
      </c>
      <c r="D885" s="37">
        <v>20</v>
      </c>
      <c r="E885" s="37" t="s">
        <v>804</v>
      </c>
      <c r="YS885" s="38" t="e">
        <f>RIGHT(CONCATENATE(0,#REF!),7)</f>
        <v>#REF!</v>
      </c>
    </row>
    <row r="886" spans="1:669" hidden="1">
      <c r="A886" s="35">
        <v>604</v>
      </c>
      <c r="B886" s="38">
        <v>12</v>
      </c>
      <c r="C886" s="37" t="s">
        <v>106</v>
      </c>
      <c r="D886" s="37">
        <v>21</v>
      </c>
      <c r="E886" s="37" t="s">
        <v>805</v>
      </c>
      <c r="YS886" s="38" t="e">
        <f>RIGHT(CONCATENATE(0,#REF!),7)</f>
        <v>#REF!</v>
      </c>
    </row>
    <row r="887" spans="1:669" hidden="1">
      <c r="A887" s="35">
        <v>605</v>
      </c>
      <c r="B887" s="38">
        <v>12</v>
      </c>
      <c r="C887" s="37" t="s">
        <v>106</v>
      </c>
      <c r="D887" s="37">
        <v>22</v>
      </c>
      <c r="E887" s="37" t="s">
        <v>806</v>
      </c>
      <c r="YS887" s="38" t="e">
        <f>RIGHT(CONCATENATE(0,#REF!),7)</f>
        <v>#REF!</v>
      </c>
    </row>
    <row r="888" spans="1:669" hidden="1">
      <c r="A888" s="35">
        <v>606</v>
      </c>
      <c r="B888" s="38">
        <v>12</v>
      </c>
      <c r="C888" s="37" t="s">
        <v>106</v>
      </c>
      <c r="D888" s="37">
        <v>23</v>
      </c>
      <c r="E888" s="37" t="s">
        <v>807</v>
      </c>
      <c r="YS888" s="38" t="e">
        <f>RIGHT(CONCATENATE(0,#REF!),7)</f>
        <v>#REF!</v>
      </c>
    </row>
    <row r="889" spans="1:669" hidden="1">
      <c r="A889" s="35">
        <v>607</v>
      </c>
      <c r="B889" s="38">
        <v>12</v>
      </c>
      <c r="C889" s="37" t="s">
        <v>106</v>
      </c>
      <c r="D889" s="37">
        <v>24</v>
      </c>
      <c r="E889" s="37" t="s">
        <v>808</v>
      </c>
      <c r="YS889" s="38" t="e">
        <f>RIGHT(CONCATENATE(0,#REF!),7)</f>
        <v>#REF!</v>
      </c>
    </row>
    <row r="890" spans="1:669" hidden="1">
      <c r="A890" s="35">
        <v>608</v>
      </c>
      <c r="B890" s="38">
        <v>12</v>
      </c>
      <c r="C890" s="37" t="s">
        <v>106</v>
      </c>
      <c r="D890" s="37">
        <v>25</v>
      </c>
      <c r="E890" s="37" t="s">
        <v>809</v>
      </c>
      <c r="YS890" s="38" t="e">
        <f>RIGHT(CONCATENATE(0,#REF!),7)</f>
        <v>#REF!</v>
      </c>
    </row>
    <row r="891" spans="1:669" hidden="1">
      <c r="A891" s="35">
        <v>609</v>
      </c>
      <c r="B891" s="38">
        <v>12</v>
      </c>
      <c r="C891" s="37" t="s">
        <v>106</v>
      </c>
      <c r="D891" s="37">
        <v>26</v>
      </c>
      <c r="E891" s="37" t="s">
        <v>810</v>
      </c>
      <c r="YS891" s="38" t="e">
        <f>RIGHT(CONCATENATE(0,#REF!),7)</f>
        <v>#REF!</v>
      </c>
    </row>
    <row r="892" spans="1:669" hidden="1">
      <c r="A892" s="35">
        <v>610</v>
      </c>
      <c r="B892" s="38">
        <v>12</v>
      </c>
      <c r="C892" s="37" t="s">
        <v>106</v>
      </c>
      <c r="D892" s="37">
        <v>27</v>
      </c>
      <c r="E892" s="37" t="s">
        <v>811</v>
      </c>
      <c r="YS892" s="38" t="e">
        <f>RIGHT(CONCATENATE(0,#REF!),7)</f>
        <v>#REF!</v>
      </c>
    </row>
    <row r="893" spans="1:669" hidden="1">
      <c r="A893" s="35">
        <v>611</v>
      </c>
      <c r="B893" s="38">
        <v>12</v>
      </c>
      <c r="C893" s="37" t="s">
        <v>106</v>
      </c>
      <c r="D893" s="37">
        <v>28</v>
      </c>
      <c r="E893" s="37" t="s">
        <v>812</v>
      </c>
      <c r="YS893" s="38" t="e">
        <f>RIGHT(CONCATENATE(0,#REF!),7)</f>
        <v>#REF!</v>
      </c>
    </row>
    <row r="894" spans="1:669" hidden="1">
      <c r="A894" s="35">
        <v>612</v>
      </c>
      <c r="B894" s="38">
        <v>12</v>
      </c>
      <c r="C894" s="37" t="s">
        <v>106</v>
      </c>
      <c r="D894" s="37">
        <v>29</v>
      </c>
      <c r="E894" s="37" t="s">
        <v>813</v>
      </c>
      <c r="YS894" s="38" t="e">
        <f>RIGHT(CONCATENATE(0,#REF!),7)</f>
        <v>#REF!</v>
      </c>
    </row>
    <row r="895" spans="1:669" hidden="1">
      <c r="A895" s="35">
        <v>613</v>
      </c>
      <c r="B895" s="38">
        <v>12</v>
      </c>
      <c r="C895" s="37" t="s">
        <v>106</v>
      </c>
      <c r="D895" s="37">
        <v>30</v>
      </c>
      <c r="E895" s="37" t="s">
        <v>814</v>
      </c>
      <c r="YS895" s="38" t="e">
        <f>RIGHT(CONCATENATE(0,#REF!),7)</f>
        <v>#REF!</v>
      </c>
    </row>
    <row r="896" spans="1:669" hidden="1">
      <c r="A896" s="35">
        <v>614</v>
      </c>
      <c r="B896" s="38">
        <v>12</v>
      </c>
      <c r="C896" s="37" t="s">
        <v>106</v>
      </c>
      <c r="D896" s="37">
        <v>31</v>
      </c>
      <c r="E896" s="37" t="s">
        <v>815</v>
      </c>
      <c r="YS896" s="38" t="e">
        <f>RIGHT(CONCATENATE(0,#REF!),7)</f>
        <v>#REF!</v>
      </c>
    </row>
    <row r="897" spans="1:669" hidden="1">
      <c r="A897" s="35">
        <v>615</v>
      </c>
      <c r="B897" s="38">
        <v>12</v>
      </c>
      <c r="C897" s="37" t="s">
        <v>106</v>
      </c>
      <c r="D897" s="37">
        <v>32</v>
      </c>
      <c r="E897" s="37" t="s">
        <v>368</v>
      </c>
      <c r="YS897" s="38" t="e">
        <f>RIGHT(CONCATENATE(0,#REF!),7)</f>
        <v>#REF!</v>
      </c>
    </row>
    <row r="898" spans="1:669" hidden="1">
      <c r="A898" s="35">
        <v>616</v>
      </c>
      <c r="B898" s="38">
        <v>12</v>
      </c>
      <c r="C898" s="37" t="s">
        <v>106</v>
      </c>
      <c r="D898" s="37">
        <v>33</v>
      </c>
      <c r="E898" s="37" t="s">
        <v>816</v>
      </c>
      <c r="YS898" s="38" t="e">
        <f>RIGHT(CONCATENATE(0,#REF!),7)</f>
        <v>#REF!</v>
      </c>
    </row>
    <row r="899" spans="1:669" hidden="1">
      <c r="A899" s="35">
        <v>617</v>
      </c>
      <c r="B899" s="38">
        <v>12</v>
      </c>
      <c r="C899" s="37" t="s">
        <v>106</v>
      </c>
      <c r="D899" s="37">
        <v>34</v>
      </c>
      <c r="E899" s="37" t="s">
        <v>817</v>
      </c>
      <c r="YS899" s="38" t="e">
        <f>RIGHT(CONCATENATE(0,#REF!),7)</f>
        <v>#REF!</v>
      </c>
    </row>
    <row r="900" spans="1:669" hidden="1">
      <c r="A900" s="35">
        <v>618</v>
      </c>
      <c r="B900" s="38">
        <v>12</v>
      </c>
      <c r="C900" s="37" t="s">
        <v>106</v>
      </c>
      <c r="D900" s="37">
        <v>35</v>
      </c>
      <c r="E900" s="37" t="s">
        <v>818</v>
      </c>
      <c r="YS900" s="38" t="e">
        <f>RIGHT(CONCATENATE(0,#REF!),7)</f>
        <v>#REF!</v>
      </c>
    </row>
    <row r="901" spans="1:669" hidden="1">
      <c r="A901" s="35">
        <v>619</v>
      </c>
      <c r="B901" s="38">
        <v>12</v>
      </c>
      <c r="C901" s="37" t="s">
        <v>106</v>
      </c>
      <c r="D901" s="37">
        <v>36</v>
      </c>
      <c r="E901" s="37" t="s">
        <v>819</v>
      </c>
      <c r="YS901" s="38" t="e">
        <f>RIGHT(CONCATENATE(0,#REF!),7)</f>
        <v>#REF!</v>
      </c>
    </row>
    <row r="902" spans="1:669" hidden="1">
      <c r="A902" s="35">
        <v>620</v>
      </c>
      <c r="B902" s="38">
        <v>12</v>
      </c>
      <c r="C902" s="37" t="s">
        <v>106</v>
      </c>
      <c r="D902" s="37">
        <v>37</v>
      </c>
      <c r="E902" s="37" t="s">
        <v>820</v>
      </c>
      <c r="YS902" s="38" t="e">
        <f>RIGHT(CONCATENATE(0,#REF!),7)</f>
        <v>#REF!</v>
      </c>
    </row>
    <row r="903" spans="1:669" hidden="1">
      <c r="A903" s="35">
        <v>621</v>
      </c>
      <c r="B903" s="38">
        <v>12</v>
      </c>
      <c r="C903" s="37" t="s">
        <v>106</v>
      </c>
      <c r="D903" s="37">
        <v>38</v>
      </c>
      <c r="E903" s="37" t="s">
        <v>821</v>
      </c>
      <c r="YS903" s="38" t="e">
        <f>RIGHT(CONCATENATE(0,#REF!),7)</f>
        <v>#REF!</v>
      </c>
    </row>
    <row r="904" spans="1:669" hidden="1">
      <c r="A904" s="35">
        <v>622</v>
      </c>
      <c r="B904" s="38">
        <v>12</v>
      </c>
      <c r="C904" s="37" t="s">
        <v>106</v>
      </c>
      <c r="D904" s="37">
        <v>39</v>
      </c>
      <c r="E904" s="37" t="s">
        <v>822</v>
      </c>
      <c r="YS904" s="38" t="e">
        <f>RIGHT(CONCATENATE(0,#REF!),7)</f>
        <v>#REF!</v>
      </c>
    </row>
    <row r="905" spans="1:669" hidden="1">
      <c r="A905" s="35">
        <v>623</v>
      </c>
      <c r="B905" s="38">
        <v>12</v>
      </c>
      <c r="C905" s="37" t="s">
        <v>106</v>
      </c>
      <c r="D905" s="37">
        <v>40</v>
      </c>
      <c r="E905" s="37" t="s">
        <v>823</v>
      </c>
      <c r="YS905" s="38" t="e">
        <f>RIGHT(CONCATENATE(0,#REF!),7)</f>
        <v>#REF!</v>
      </c>
    </row>
    <row r="906" spans="1:669" hidden="1">
      <c r="A906" s="35">
        <v>624</v>
      </c>
      <c r="B906" s="38">
        <v>12</v>
      </c>
      <c r="C906" s="37" t="s">
        <v>106</v>
      </c>
      <c r="D906" s="37">
        <v>41</v>
      </c>
      <c r="E906" s="37" t="s">
        <v>824</v>
      </c>
      <c r="YS906" s="38" t="e">
        <f>RIGHT(CONCATENATE(0,#REF!),7)</f>
        <v>#REF!</v>
      </c>
    </row>
    <row r="907" spans="1:669" hidden="1">
      <c r="A907" s="35">
        <v>625</v>
      </c>
      <c r="B907" s="38">
        <v>12</v>
      </c>
      <c r="C907" s="37" t="s">
        <v>106</v>
      </c>
      <c r="D907" s="37">
        <v>42</v>
      </c>
      <c r="E907" s="37" t="s">
        <v>825</v>
      </c>
      <c r="YS907" s="38" t="e">
        <f>RIGHT(CONCATENATE(0,#REF!),7)</f>
        <v>#REF!</v>
      </c>
    </row>
    <row r="908" spans="1:669" hidden="1">
      <c r="A908" s="35">
        <v>626</v>
      </c>
      <c r="B908" s="38">
        <v>12</v>
      </c>
      <c r="C908" s="37" t="s">
        <v>106</v>
      </c>
      <c r="D908" s="37">
        <v>43</v>
      </c>
      <c r="E908" s="37" t="s">
        <v>826</v>
      </c>
      <c r="YS908" s="38" t="e">
        <f>RIGHT(CONCATENATE(0,#REF!),7)</f>
        <v>#REF!</v>
      </c>
    </row>
    <row r="909" spans="1:669" hidden="1">
      <c r="A909" s="35">
        <v>627</v>
      </c>
      <c r="B909" s="38">
        <v>12</v>
      </c>
      <c r="C909" s="37" t="s">
        <v>106</v>
      </c>
      <c r="D909" s="37">
        <v>44</v>
      </c>
      <c r="E909" s="37" t="s">
        <v>827</v>
      </c>
      <c r="YS909" s="38" t="e">
        <f>RIGHT(CONCATENATE(0,#REF!),7)</f>
        <v>#REF!</v>
      </c>
    </row>
    <row r="910" spans="1:669" hidden="1">
      <c r="A910" s="35">
        <v>628</v>
      </c>
      <c r="B910" s="38">
        <v>12</v>
      </c>
      <c r="C910" s="37" t="s">
        <v>106</v>
      </c>
      <c r="D910" s="37">
        <v>45</v>
      </c>
      <c r="E910" s="37" t="s">
        <v>828</v>
      </c>
      <c r="YS910" s="38" t="e">
        <f>RIGHT(CONCATENATE(0,#REF!),7)</f>
        <v>#REF!</v>
      </c>
    </row>
    <row r="911" spans="1:669" hidden="1">
      <c r="A911" s="35">
        <v>629</v>
      </c>
      <c r="B911" s="38">
        <v>13</v>
      </c>
      <c r="C911" s="37" t="s">
        <v>109</v>
      </c>
      <c r="D911" s="37">
        <v>1</v>
      </c>
      <c r="E911" s="37" t="s">
        <v>829</v>
      </c>
      <c r="YS911" s="38" t="e">
        <f>RIGHT(CONCATENATE(0,#REF!),7)</f>
        <v>#REF!</v>
      </c>
    </row>
    <row r="912" spans="1:669" hidden="1">
      <c r="A912" s="35">
        <v>630</v>
      </c>
      <c r="B912" s="38">
        <v>13</v>
      </c>
      <c r="C912" s="37" t="s">
        <v>109</v>
      </c>
      <c r="D912" s="37">
        <v>2</v>
      </c>
      <c r="E912" s="37" t="s">
        <v>830</v>
      </c>
      <c r="YS912" s="38" t="e">
        <f>RIGHT(CONCATENATE(0,#REF!),7)</f>
        <v>#REF!</v>
      </c>
    </row>
    <row r="913" spans="1:669" hidden="1">
      <c r="A913" s="35">
        <v>631</v>
      </c>
      <c r="B913" s="38">
        <v>13</v>
      </c>
      <c r="C913" s="37" t="s">
        <v>109</v>
      </c>
      <c r="D913" s="37">
        <v>3</v>
      </c>
      <c r="E913" s="37" t="s">
        <v>831</v>
      </c>
      <c r="YS913" s="38" t="e">
        <f>RIGHT(CONCATENATE(0,#REF!),7)</f>
        <v>#REF!</v>
      </c>
    </row>
    <row r="914" spans="1:669" hidden="1">
      <c r="A914" s="35">
        <v>632</v>
      </c>
      <c r="B914" s="38">
        <v>13</v>
      </c>
      <c r="C914" s="37" t="s">
        <v>109</v>
      </c>
      <c r="D914" s="37">
        <v>4</v>
      </c>
      <c r="E914" s="37" t="s">
        <v>832</v>
      </c>
      <c r="YS914" s="38" t="e">
        <f>RIGHT(CONCATENATE(0,#REF!),7)</f>
        <v>#REF!</v>
      </c>
    </row>
    <row r="915" spans="1:669" hidden="1">
      <c r="A915" s="35">
        <v>633</v>
      </c>
      <c r="B915" s="38">
        <v>13</v>
      </c>
      <c r="C915" s="37" t="s">
        <v>109</v>
      </c>
      <c r="D915" s="37">
        <v>5</v>
      </c>
      <c r="E915" s="37" t="s">
        <v>833</v>
      </c>
      <c r="YS915" s="38" t="e">
        <f>RIGHT(CONCATENATE(0,#REF!),7)</f>
        <v>#REF!</v>
      </c>
    </row>
    <row r="916" spans="1:669" hidden="1">
      <c r="A916" s="35">
        <v>634</v>
      </c>
      <c r="B916" s="38">
        <v>13</v>
      </c>
      <c r="C916" s="37" t="s">
        <v>109</v>
      </c>
      <c r="D916" s="37">
        <v>6</v>
      </c>
      <c r="E916" s="37" t="s">
        <v>834</v>
      </c>
      <c r="YS916" s="38" t="e">
        <f>RIGHT(CONCATENATE(0,#REF!),7)</f>
        <v>#REF!</v>
      </c>
    </row>
    <row r="917" spans="1:669" hidden="1">
      <c r="A917" s="35">
        <v>635</v>
      </c>
      <c r="B917" s="38">
        <v>13</v>
      </c>
      <c r="C917" s="37" t="s">
        <v>109</v>
      </c>
      <c r="D917" s="37">
        <v>7</v>
      </c>
      <c r="E917" s="37" t="s">
        <v>835</v>
      </c>
      <c r="YS917" s="38" t="e">
        <f>RIGHT(CONCATENATE(0,#REF!),7)</f>
        <v>#REF!</v>
      </c>
    </row>
    <row r="918" spans="1:669" hidden="1">
      <c r="A918" s="35">
        <v>636</v>
      </c>
      <c r="B918" s="38">
        <v>13</v>
      </c>
      <c r="C918" s="37" t="s">
        <v>109</v>
      </c>
      <c r="D918" s="37">
        <v>8</v>
      </c>
      <c r="E918" s="37" t="s">
        <v>836</v>
      </c>
      <c r="YS918" s="38" t="e">
        <f>RIGHT(CONCATENATE(0,#REF!),7)</f>
        <v>#REF!</v>
      </c>
    </row>
    <row r="919" spans="1:669" hidden="1">
      <c r="A919" s="35">
        <v>637</v>
      </c>
      <c r="B919" s="38">
        <v>13</v>
      </c>
      <c r="C919" s="37" t="s">
        <v>109</v>
      </c>
      <c r="D919" s="37">
        <v>9</v>
      </c>
      <c r="E919" s="37" t="s">
        <v>837</v>
      </c>
      <c r="YS919" s="38" t="e">
        <f>RIGHT(CONCATENATE(0,#REF!),7)</f>
        <v>#REF!</v>
      </c>
    </row>
    <row r="920" spans="1:669" hidden="1">
      <c r="A920" s="35">
        <v>638</v>
      </c>
      <c r="B920" s="38">
        <v>13</v>
      </c>
      <c r="C920" s="37" t="s">
        <v>109</v>
      </c>
      <c r="D920" s="37">
        <v>10</v>
      </c>
      <c r="E920" s="37" t="s">
        <v>838</v>
      </c>
      <c r="YS920" s="38" t="e">
        <f>RIGHT(CONCATENATE(0,#REF!),7)</f>
        <v>#REF!</v>
      </c>
    </row>
    <row r="921" spans="1:669" hidden="1">
      <c r="A921" s="35">
        <v>639</v>
      </c>
      <c r="B921" s="38">
        <v>13</v>
      </c>
      <c r="C921" s="37" t="s">
        <v>109</v>
      </c>
      <c r="D921" s="37">
        <v>11</v>
      </c>
      <c r="E921" s="37" t="s">
        <v>839</v>
      </c>
      <c r="YS921" s="38" t="e">
        <f>RIGHT(CONCATENATE(0,#REF!),7)</f>
        <v>#REF!</v>
      </c>
    </row>
    <row r="922" spans="1:669" hidden="1">
      <c r="A922" s="35">
        <v>640</v>
      </c>
      <c r="B922" s="38">
        <v>13</v>
      </c>
      <c r="C922" s="37" t="s">
        <v>109</v>
      </c>
      <c r="D922" s="37">
        <v>12</v>
      </c>
      <c r="E922" s="37" t="s">
        <v>840</v>
      </c>
      <c r="YS922" s="38" t="e">
        <f>RIGHT(CONCATENATE(0,#REF!),7)</f>
        <v>#REF!</v>
      </c>
    </row>
    <row r="923" spans="1:669" hidden="1">
      <c r="A923" s="35">
        <v>641</v>
      </c>
      <c r="B923" s="38">
        <v>13</v>
      </c>
      <c r="C923" s="37" t="s">
        <v>109</v>
      </c>
      <c r="D923" s="37">
        <v>13</v>
      </c>
      <c r="E923" s="37" t="s">
        <v>841</v>
      </c>
      <c r="YS923" s="38" t="e">
        <f>RIGHT(CONCATENATE(0,#REF!),7)</f>
        <v>#REF!</v>
      </c>
    </row>
    <row r="924" spans="1:669" hidden="1">
      <c r="A924" s="35">
        <v>642</v>
      </c>
      <c r="B924" s="38">
        <v>13</v>
      </c>
      <c r="C924" s="37" t="s">
        <v>109</v>
      </c>
      <c r="D924" s="37">
        <v>14</v>
      </c>
      <c r="E924" s="37" t="s">
        <v>842</v>
      </c>
      <c r="YS924" s="38" t="e">
        <f>RIGHT(CONCATENATE(0,#REF!),7)</f>
        <v>#REF!</v>
      </c>
    </row>
    <row r="925" spans="1:669" hidden="1">
      <c r="A925" s="35">
        <v>643</v>
      </c>
      <c r="B925" s="38">
        <v>13</v>
      </c>
      <c r="C925" s="37" t="s">
        <v>109</v>
      </c>
      <c r="D925" s="37">
        <v>15</v>
      </c>
      <c r="E925" s="37" t="s">
        <v>843</v>
      </c>
      <c r="YS925" s="38" t="e">
        <f>RIGHT(CONCATENATE(0,#REF!),7)</f>
        <v>#REF!</v>
      </c>
    </row>
    <row r="926" spans="1:669" hidden="1">
      <c r="A926" s="35">
        <v>644</v>
      </c>
      <c r="B926" s="38">
        <v>13</v>
      </c>
      <c r="C926" s="37" t="s">
        <v>109</v>
      </c>
      <c r="D926" s="37">
        <v>16</v>
      </c>
      <c r="E926" s="37" t="s">
        <v>844</v>
      </c>
      <c r="YS926" s="38" t="e">
        <f>RIGHT(CONCATENATE(0,#REF!),7)</f>
        <v>#REF!</v>
      </c>
    </row>
    <row r="927" spans="1:669" hidden="1">
      <c r="A927" s="35">
        <v>645</v>
      </c>
      <c r="B927" s="38">
        <v>13</v>
      </c>
      <c r="C927" s="37" t="s">
        <v>109</v>
      </c>
      <c r="D927" s="37">
        <v>17</v>
      </c>
      <c r="E927" s="37" t="s">
        <v>845</v>
      </c>
      <c r="YS927" s="38" t="e">
        <f>RIGHT(CONCATENATE(0,#REF!),7)</f>
        <v>#REF!</v>
      </c>
    </row>
    <row r="928" spans="1:669" hidden="1">
      <c r="A928" s="35">
        <v>646</v>
      </c>
      <c r="B928" s="38">
        <v>13</v>
      </c>
      <c r="C928" s="37" t="s">
        <v>109</v>
      </c>
      <c r="D928" s="37">
        <v>18</v>
      </c>
      <c r="E928" s="37" t="s">
        <v>589</v>
      </c>
      <c r="YS928" s="38" t="e">
        <f>RIGHT(CONCATENATE(0,#REF!),7)</f>
        <v>#REF!</v>
      </c>
    </row>
    <row r="929" spans="1:669" hidden="1">
      <c r="A929" s="35">
        <v>647</v>
      </c>
      <c r="B929" s="38">
        <v>13</v>
      </c>
      <c r="C929" s="37" t="s">
        <v>109</v>
      </c>
      <c r="D929" s="37">
        <v>19</v>
      </c>
      <c r="E929" s="37" t="s">
        <v>846</v>
      </c>
      <c r="YS929" s="38" t="e">
        <f>RIGHT(CONCATENATE(0,#REF!),7)</f>
        <v>#REF!</v>
      </c>
    </row>
    <row r="930" spans="1:669" hidden="1">
      <c r="A930" s="35">
        <v>648</v>
      </c>
      <c r="B930" s="38">
        <v>13</v>
      </c>
      <c r="C930" s="37" t="s">
        <v>109</v>
      </c>
      <c r="D930" s="37">
        <v>20</v>
      </c>
      <c r="E930" s="37" t="s">
        <v>847</v>
      </c>
      <c r="YS930" s="38" t="e">
        <f>RIGHT(CONCATENATE(0,#REF!),7)</f>
        <v>#REF!</v>
      </c>
    </row>
    <row r="931" spans="1:669" hidden="1">
      <c r="A931" s="35">
        <v>649</v>
      </c>
      <c r="B931" s="38">
        <v>13</v>
      </c>
      <c r="C931" s="37" t="s">
        <v>109</v>
      </c>
      <c r="D931" s="37">
        <v>21</v>
      </c>
      <c r="E931" s="37" t="s">
        <v>848</v>
      </c>
      <c r="YS931" s="38" t="e">
        <f>RIGHT(CONCATENATE(0,#REF!),7)</f>
        <v>#REF!</v>
      </c>
    </row>
    <row r="932" spans="1:669" hidden="1">
      <c r="A932" s="35">
        <v>650</v>
      </c>
      <c r="B932" s="38">
        <v>13</v>
      </c>
      <c r="C932" s="37" t="s">
        <v>109</v>
      </c>
      <c r="D932" s="37">
        <v>22</v>
      </c>
      <c r="E932" s="37" t="s">
        <v>849</v>
      </c>
      <c r="YS932" s="38" t="e">
        <f>RIGHT(CONCATENATE(0,#REF!),7)</f>
        <v>#REF!</v>
      </c>
    </row>
    <row r="933" spans="1:669" hidden="1">
      <c r="A933" s="35">
        <v>651</v>
      </c>
      <c r="B933" s="38">
        <v>13</v>
      </c>
      <c r="C933" s="37" t="s">
        <v>109</v>
      </c>
      <c r="D933" s="37">
        <v>23</v>
      </c>
      <c r="E933" s="37" t="s">
        <v>850</v>
      </c>
      <c r="YS933" s="38" t="e">
        <f>RIGHT(CONCATENATE(0,#REF!),7)</f>
        <v>#REF!</v>
      </c>
    </row>
    <row r="934" spans="1:669" hidden="1">
      <c r="A934" s="35">
        <v>652</v>
      </c>
      <c r="B934" s="38">
        <v>13</v>
      </c>
      <c r="C934" s="37" t="s">
        <v>109</v>
      </c>
      <c r="D934" s="37">
        <v>24</v>
      </c>
      <c r="E934" s="37" t="s">
        <v>851</v>
      </c>
      <c r="YS934" s="38" t="e">
        <f>RIGHT(CONCATENATE(0,#REF!),7)</f>
        <v>#REF!</v>
      </c>
    </row>
    <row r="935" spans="1:669" hidden="1">
      <c r="A935" s="35">
        <v>653</v>
      </c>
      <c r="B935" s="38">
        <v>13</v>
      </c>
      <c r="C935" s="37" t="s">
        <v>109</v>
      </c>
      <c r="D935" s="37">
        <v>25</v>
      </c>
      <c r="E935" s="37" t="s">
        <v>852</v>
      </c>
      <c r="YS935" s="38" t="e">
        <f>RIGHT(CONCATENATE(0,#REF!),7)</f>
        <v>#REF!</v>
      </c>
    </row>
    <row r="936" spans="1:669" hidden="1">
      <c r="A936" s="35">
        <v>654</v>
      </c>
      <c r="B936" s="38">
        <v>13</v>
      </c>
      <c r="C936" s="37" t="s">
        <v>109</v>
      </c>
      <c r="D936" s="37">
        <v>26</v>
      </c>
      <c r="E936" s="37" t="s">
        <v>853</v>
      </c>
      <c r="YS936" s="38" t="e">
        <f>RIGHT(CONCATENATE(0,#REF!),7)</f>
        <v>#REF!</v>
      </c>
    </row>
    <row r="937" spans="1:669" hidden="1">
      <c r="A937" s="35">
        <v>655</v>
      </c>
      <c r="B937" s="38">
        <v>13</v>
      </c>
      <c r="C937" s="37" t="s">
        <v>109</v>
      </c>
      <c r="D937" s="37">
        <v>27</v>
      </c>
      <c r="E937" s="37" t="s">
        <v>854</v>
      </c>
      <c r="YS937" s="38" t="e">
        <f>RIGHT(CONCATENATE(0,#REF!),7)</f>
        <v>#REF!</v>
      </c>
    </row>
    <row r="938" spans="1:669" hidden="1">
      <c r="A938" s="35">
        <v>656</v>
      </c>
      <c r="B938" s="38">
        <v>13</v>
      </c>
      <c r="C938" s="37" t="s">
        <v>109</v>
      </c>
      <c r="D938" s="37">
        <v>28</v>
      </c>
      <c r="E938" s="37" t="s">
        <v>855</v>
      </c>
      <c r="YS938" s="38" t="e">
        <f>RIGHT(CONCATENATE(0,#REF!),7)</f>
        <v>#REF!</v>
      </c>
    </row>
    <row r="939" spans="1:669" hidden="1">
      <c r="A939" s="35">
        <v>657</v>
      </c>
      <c r="B939" s="38">
        <v>13</v>
      </c>
      <c r="C939" s="37" t="s">
        <v>109</v>
      </c>
      <c r="D939" s="37">
        <v>29</v>
      </c>
      <c r="E939" s="37" t="s">
        <v>856</v>
      </c>
      <c r="YS939" s="38" t="e">
        <f>RIGHT(CONCATENATE(0,#REF!),7)</f>
        <v>#REF!</v>
      </c>
    </row>
    <row r="940" spans="1:669" hidden="1">
      <c r="A940" s="35">
        <v>658</v>
      </c>
      <c r="B940" s="38">
        <v>13</v>
      </c>
      <c r="C940" s="37" t="s">
        <v>109</v>
      </c>
      <c r="D940" s="37">
        <v>30</v>
      </c>
      <c r="E940" s="37" t="s">
        <v>857</v>
      </c>
      <c r="YS940" s="38" t="e">
        <f>RIGHT(CONCATENATE(0,#REF!),7)</f>
        <v>#REF!</v>
      </c>
    </row>
    <row r="941" spans="1:669" hidden="1">
      <c r="A941" s="35">
        <v>659</v>
      </c>
      <c r="B941" s="38">
        <v>13</v>
      </c>
      <c r="C941" s="37" t="s">
        <v>109</v>
      </c>
      <c r="D941" s="37">
        <v>31</v>
      </c>
      <c r="E941" s="37" t="s">
        <v>858</v>
      </c>
      <c r="YS941" s="38" t="e">
        <f>RIGHT(CONCATENATE(0,#REF!),7)</f>
        <v>#REF!</v>
      </c>
    </row>
    <row r="942" spans="1:669" hidden="1">
      <c r="A942" s="35">
        <v>660</v>
      </c>
      <c r="B942" s="38">
        <v>13</v>
      </c>
      <c r="C942" s="37" t="s">
        <v>109</v>
      </c>
      <c r="D942" s="37">
        <v>32</v>
      </c>
      <c r="E942" s="37" t="s">
        <v>859</v>
      </c>
      <c r="YS942" s="38" t="e">
        <f>RIGHT(CONCATENATE(0,#REF!),7)</f>
        <v>#REF!</v>
      </c>
    </row>
    <row r="943" spans="1:669" hidden="1">
      <c r="A943" s="35">
        <v>661</v>
      </c>
      <c r="B943" s="38">
        <v>13</v>
      </c>
      <c r="C943" s="37" t="s">
        <v>109</v>
      </c>
      <c r="D943" s="37">
        <v>33</v>
      </c>
      <c r="E943" s="37" t="s">
        <v>860</v>
      </c>
      <c r="YS943" s="38" t="e">
        <f>RIGHT(CONCATENATE(0,#REF!),7)</f>
        <v>#REF!</v>
      </c>
    </row>
    <row r="944" spans="1:669" hidden="1">
      <c r="A944" s="35">
        <v>662</v>
      </c>
      <c r="B944" s="38">
        <v>13</v>
      </c>
      <c r="C944" s="37" t="s">
        <v>109</v>
      </c>
      <c r="D944" s="37">
        <v>34</v>
      </c>
      <c r="E944" s="37" t="s">
        <v>861</v>
      </c>
      <c r="YS944" s="38" t="e">
        <f>RIGHT(CONCATENATE(0,#REF!),7)</f>
        <v>#REF!</v>
      </c>
    </row>
    <row r="945" spans="1:669" hidden="1">
      <c r="A945" s="35">
        <v>663</v>
      </c>
      <c r="B945" s="38">
        <v>13</v>
      </c>
      <c r="C945" s="37" t="s">
        <v>109</v>
      </c>
      <c r="D945" s="37">
        <v>35</v>
      </c>
      <c r="E945" s="37" t="s">
        <v>862</v>
      </c>
      <c r="YS945" s="38" t="e">
        <f>RIGHT(CONCATENATE(0,#REF!),7)</f>
        <v>#REF!</v>
      </c>
    </row>
    <row r="946" spans="1:669" hidden="1">
      <c r="A946" s="35">
        <v>664</v>
      </c>
      <c r="B946" s="38">
        <v>13</v>
      </c>
      <c r="C946" s="37" t="s">
        <v>109</v>
      </c>
      <c r="D946" s="37">
        <v>36</v>
      </c>
      <c r="E946" s="37" t="s">
        <v>863</v>
      </c>
      <c r="YS946" s="38" t="e">
        <f>RIGHT(CONCATENATE(0,#REF!),7)</f>
        <v>#REF!</v>
      </c>
    </row>
    <row r="947" spans="1:669" hidden="1">
      <c r="A947" s="35">
        <v>665</v>
      </c>
      <c r="B947" s="38">
        <v>13</v>
      </c>
      <c r="C947" s="37" t="s">
        <v>109</v>
      </c>
      <c r="D947" s="37">
        <v>37</v>
      </c>
      <c r="E947" s="37" t="s">
        <v>864</v>
      </c>
      <c r="YS947" s="38" t="e">
        <f>RIGHT(CONCATENATE(0,#REF!),7)</f>
        <v>#REF!</v>
      </c>
    </row>
    <row r="948" spans="1:669" hidden="1">
      <c r="A948" s="35">
        <v>666</v>
      </c>
      <c r="B948" s="38">
        <v>13</v>
      </c>
      <c r="C948" s="37" t="s">
        <v>109</v>
      </c>
      <c r="D948" s="37">
        <v>38</v>
      </c>
      <c r="E948" s="37" t="s">
        <v>865</v>
      </c>
      <c r="YS948" s="38" t="e">
        <f>RIGHT(CONCATENATE(0,#REF!),7)</f>
        <v>#REF!</v>
      </c>
    </row>
    <row r="949" spans="1:669" hidden="1">
      <c r="A949" s="35">
        <v>667</v>
      </c>
      <c r="B949" s="38">
        <v>13</v>
      </c>
      <c r="C949" s="37" t="s">
        <v>109</v>
      </c>
      <c r="D949" s="37">
        <v>39</v>
      </c>
      <c r="E949" s="37" t="s">
        <v>866</v>
      </c>
      <c r="YS949" s="38" t="e">
        <f>RIGHT(CONCATENATE(0,#REF!),7)</f>
        <v>#REF!</v>
      </c>
    </row>
    <row r="950" spans="1:669" hidden="1">
      <c r="A950" s="35">
        <v>668</v>
      </c>
      <c r="B950" s="38">
        <v>13</v>
      </c>
      <c r="C950" s="37" t="s">
        <v>109</v>
      </c>
      <c r="D950" s="37">
        <v>40</v>
      </c>
      <c r="E950" s="37" t="s">
        <v>867</v>
      </c>
      <c r="YS950" s="38" t="e">
        <f>RIGHT(CONCATENATE(0,#REF!),7)</f>
        <v>#REF!</v>
      </c>
    </row>
    <row r="951" spans="1:669" hidden="1">
      <c r="A951" s="35">
        <v>669</v>
      </c>
      <c r="B951" s="38">
        <v>13</v>
      </c>
      <c r="C951" s="37" t="s">
        <v>109</v>
      </c>
      <c r="D951" s="37">
        <v>41</v>
      </c>
      <c r="E951" s="37" t="s">
        <v>868</v>
      </c>
      <c r="YS951" s="38" t="e">
        <f>RIGHT(CONCATENATE(0,#REF!),7)</f>
        <v>#REF!</v>
      </c>
    </row>
    <row r="952" spans="1:669" hidden="1">
      <c r="A952" s="35">
        <v>670</v>
      </c>
      <c r="B952" s="38">
        <v>13</v>
      </c>
      <c r="C952" s="37" t="s">
        <v>109</v>
      </c>
      <c r="D952" s="37">
        <v>42</v>
      </c>
      <c r="E952" s="37" t="s">
        <v>869</v>
      </c>
      <c r="YS952" s="38" t="e">
        <f>RIGHT(CONCATENATE(0,#REF!),7)</f>
        <v>#REF!</v>
      </c>
    </row>
    <row r="953" spans="1:669" hidden="1">
      <c r="A953" s="35">
        <v>671</v>
      </c>
      <c r="B953" s="38">
        <v>13</v>
      </c>
      <c r="C953" s="37" t="s">
        <v>109</v>
      </c>
      <c r="D953" s="37">
        <v>43</v>
      </c>
      <c r="E953" s="37" t="s">
        <v>870</v>
      </c>
      <c r="YS953" s="38" t="e">
        <f>RIGHT(CONCATENATE(0,#REF!),7)</f>
        <v>#REF!</v>
      </c>
    </row>
    <row r="954" spans="1:669" hidden="1">
      <c r="A954" s="35">
        <v>672</v>
      </c>
      <c r="B954" s="38">
        <v>13</v>
      </c>
      <c r="C954" s="37" t="s">
        <v>109</v>
      </c>
      <c r="D954" s="37">
        <v>44</v>
      </c>
      <c r="E954" s="37" t="s">
        <v>871</v>
      </c>
      <c r="YS954" s="38" t="e">
        <f>RIGHT(CONCATENATE(0,#REF!),7)</f>
        <v>#REF!</v>
      </c>
    </row>
    <row r="955" spans="1:669" hidden="1">
      <c r="A955" s="35">
        <v>673</v>
      </c>
      <c r="B955" s="38">
        <v>13</v>
      </c>
      <c r="C955" s="37" t="s">
        <v>109</v>
      </c>
      <c r="D955" s="37">
        <v>45</v>
      </c>
      <c r="E955" s="37" t="s">
        <v>872</v>
      </c>
      <c r="YS955" s="38" t="e">
        <f>RIGHT(CONCATENATE(0,#REF!),7)</f>
        <v>#REF!</v>
      </c>
    </row>
    <row r="956" spans="1:669" hidden="1">
      <c r="A956" s="35">
        <v>674</v>
      </c>
      <c r="B956" s="38">
        <v>13</v>
      </c>
      <c r="C956" s="37" t="s">
        <v>109</v>
      </c>
      <c r="D956" s="37">
        <v>46</v>
      </c>
      <c r="E956" s="37" t="s">
        <v>873</v>
      </c>
      <c r="YS956" s="38" t="e">
        <f>RIGHT(CONCATENATE(0,#REF!),7)</f>
        <v>#REF!</v>
      </c>
    </row>
    <row r="957" spans="1:669" hidden="1">
      <c r="A957" s="35">
        <v>675</v>
      </c>
      <c r="B957" s="38">
        <v>13</v>
      </c>
      <c r="C957" s="37" t="s">
        <v>109</v>
      </c>
      <c r="D957" s="37">
        <v>47</v>
      </c>
      <c r="E957" s="37" t="s">
        <v>874</v>
      </c>
      <c r="YS957" s="38" t="e">
        <f>RIGHT(CONCATENATE(0,#REF!),7)</f>
        <v>#REF!</v>
      </c>
    </row>
    <row r="958" spans="1:669" hidden="1">
      <c r="A958" s="35">
        <v>676</v>
      </c>
      <c r="B958" s="38">
        <v>13</v>
      </c>
      <c r="C958" s="37" t="s">
        <v>109</v>
      </c>
      <c r="D958" s="37">
        <v>48</v>
      </c>
      <c r="E958" s="37" t="s">
        <v>875</v>
      </c>
      <c r="YS958" s="38" t="e">
        <f>RIGHT(CONCATENATE(0,#REF!),7)</f>
        <v>#REF!</v>
      </c>
    </row>
    <row r="959" spans="1:669" hidden="1">
      <c r="A959" s="35">
        <v>677</v>
      </c>
      <c r="B959" s="38">
        <v>13</v>
      </c>
      <c r="C959" s="37" t="s">
        <v>109</v>
      </c>
      <c r="D959" s="37">
        <v>49</v>
      </c>
      <c r="E959" s="37" t="s">
        <v>876</v>
      </c>
      <c r="YS959" s="38" t="e">
        <f>RIGHT(CONCATENATE(0,#REF!),7)</f>
        <v>#REF!</v>
      </c>
    </row>
    <row r="960" spans="1:669" hidden="1">
      <c r="A960" s="35">
        <v>678</v>
      </c>
      <c r="B960" s="38">
        <v>13</v>
      </c>
      <c r="C960" s="37" t="s">
        <v>109</v>
      </c>
      <c r="D960" s="37">
        <v>50</v>
      </c>
      <c r="E960" s="37" t="s">
        <v>877</v>
      </c>
      <c r="YS960" s="38" t="e">
        <f>RIGHT(CONCATENATE(0,#REF!),7)</f>
        <v>#REF!</v>
      </c>
    </row>
    <row r="961" spans="1:669" hidden="1">
      <c r="A961" s="35">
        <v>679</v>
      </c>
      <c r="B961" s="38">
        <v>13</v>
      </c>
      <c r="C961" s="37" t="s">
        <v>109</v>
      </c>
      <c r="D961" s="37">
        <v>51</v>
      </c>
      <c r="E961" s="37" t="s">
        <v>878</v>
      </c>
      <c r="YS961" s="38" t="e">
        <f>RIGHT(CONCATENATE(0,#REF!),7)</f>
        <v>#REF!</v>
      </c>
    </row>
    <row r="962" spans="1:669" hidden="1">
      <c r="A962" s="35">
        <v>680</v>
      </c>
      <c r="B962" s="38">
        <v>13</v>
      </c>
      <c r="C962" s="37" t="s">
        <v>109</v>
      </c>
      <c r="D962" s="37">
        <v>52</v>
      </c>
      <c r="E962" s="37" t="s">
        <v>879</v>
      </c>
      <c r="YS962" s="38" t="e">
        <f>RIGHT(CONCATENATE(0,#REF!),7)</f>
        <v>#REF!</v>
      </c>
    </row>
    <row r="963" spans="1:669" hidden="1">
      <c r="A963" s="35">
        <v>681</v>
      </c>
      <c r="B963" s="38">
        <v>13</v>
      </c>
      <c r="C963" s="37" t="s">
        <v>109</v>
      </c>
      <c r="D963" s="37">
        <v>53</v>
      </c>
      <c r="E963" s="37" t="s">
        <v>880</v>
      </c>
      <c r="YS963" s="38" t="e">
        <f>RIGHT(CONCATENATE(0,#REF!),7)</f>
        <v>#REF!</v>
      </c>
    </row>
    <row r="964" spans="1:669" hidden="1">
      <c r="A964" s="35">
        <v>682</v>
      </c>
      <c r="B964" s="38">
        <v>13</v>
      </c>
      <c r="C964" s="37" t="s">
        <v>109</v>
      </c>
      <c r="D964" s="37">
        <v>54</v>
      </c>
      <c r="E964" s="37" t="s">
        <v>881</v>
      </c>
      <c r="YS964" s="38" t="e">
        <f>RIGHT(CONCATENATE(0,#REF!),7)</f>
        <v>#REF!</v>
      </c>
    </row>
    <row r="965" spans="1:669" hidden="1">
      <c r="A965" s="35">
        <v>683</v>
      </c>
      <c r="B965" s="38">
        <v>13</v>
      </c>
      <c r="C965" s="37" t="s">
        <v>109</v>
      </c>
      <c r="D965" s="37">
        <v>55</v>
      </c>
      <c r="E965" s="37" t="s">
        <v>882</v>
      </c>
      <c r="YS965" s="38" t="e">
        <f>RIGHT(CONCATENATE(0,#REF!),7)</f>
        <v>#REF!</v>
      </c>
    </row>
    <row r="966" spans="1:669" hidden="1">
      <c r="A966" s="35">
        <v>684</v>
      </c>
      <c r="B966" s="38">
        <v>13</v>
      </c>
      <c r="C966" s="37" t="s">
        <v>109</v>
      </c>
      <c r="D966" s="37">
        <v>56</v>
      </c>
      <c r="E966" s="37" t="s">
        <v>883</v>
      </c>
      <c r="YS966" s="38" t="e">
        <f>RIGHT(CONCATENATE(0,#REF!),7)</f>
        <v>#REF!</v>
      </c>
    </row>
    <row r="967" spans="1:669" hidden="1">
      <c r="A967" s="35">
        <v>685</v>
      </c>
      <c r="B967" s="38">
        <v>13</v>
      </c>
      <c r="C967" s="37" t="s">
        <v>109</v>
      </c>
      <c r="D967" s="37">
        <v>57</v>
      </c>
      <c r="E967" s="37" t="s">
        <v>884</v>
      </c>
      <c r="YS967" s="38" t="e">
        <f>RIGHT(CONCATENATE(0,#REF!),7)</f>
        <v>#REF!</v>
      </c>
    </row>
    <row r="968" spans="1:669" hidden="1">
      <c r="A968" s="35">
        <v>686</v>
      </c>
      <c r="B968" s="38">
        <v>13</v>
      </c>
      <c r="C968" s="37" t="s">
        <v>109</v>
      </c>
      <c r="D968" s="37">
        <v>58</v>
      </c>
      <c r="E968" s="37" t="s">
        <v>885</v>
      </c>
      <c r="YS968" s="38" t="e">
        <f>RIGHT(CONCATENATE(0,#REF!),7)</f>
        <v>#REF!</v>
      </c>
    </row>
    <row r="969" spans="1:669" hidden="1">
      <c r="A969" s="35">
        <v>687</v>
      </c>
      <c r="B969" s="38">
        <v>13</v>
      </c>
      <c r="C969" s="37" t="s">
        <v>109</v>
      </c>
      <c r="D969" s="37">
        <v>59</v>
      </c>
      <c r="E969" s="37" t="s">
        <v>886</v>
      </c>
      <c r="YS969" s="38" t="e">
        <f>RIGHT(CONCATENATE(0,#REF!),7)</f>
        <v>#REF!</v>
      </c>
    </row>
    <row r="970" spans="1:669" hidden="1">
      <c r="A970" s="35">
        <v>688</v>
      </c>
      <c r="B970" s="38">
        <v>14</v>
      </c>
      <c r="C970" s="37" t="s">
        <v>112</v>
      </c>
      <c r="D970" s="37">
        <v>1</v>
      </c>
      <c r="E970" s="37" t="s">
        <v>887</v>
      </c>
      <c r="YS970" s="38" t="e">
        <f>RIGHT(CONCATENATE(0,#REF!),7)</f>
        <v>#REF!</v>
      </c>
    </row>
    <row r="971" spans="1:669" hidden="1">
      <c r="A971" s="35">
        <v>689</v>
      </c>
      <c r="B971" s="38">
        <v>14</v>
      </c>
      <c r="C971" s="37" t="s">
        <v>112</v>
      </c>
      <c r="D971" s="37">
        <v>2</v>
      </c>
      <c r="E971" s="37" t="s">
        <v>888</v>
      </c>
      <c r="YS971" s="38" t="e">
        <f>RIGHT(CONCATENATE(0,#REF!),7)</f>
        <v>#REF!</v>
      </c>
    </row>
    <row r="972" spans="1:669" hidden="1">
      <c r="A972" s="35">
        <v>690</v>
      </c>
      <c r="B972" s="38">
        <v>14</v>
      </c>
      <c r="C972" s="37" t="s">
        <v>112</v>
      </c>
      <c r="D972" s="37">
        <v>3</v>
      </c>
      <c r="E972" s="37" t="s">
        <v>889</v>
      </c>
      <c r="YS972" s="38" t="e">
        <f>RIGHT(CONCATENATE(0,#REF!),7)</f>
        <v>#REF!</v>
      </c>
    </row>
    <row r="973" spans="1:669" hidden="1">
      <c r="A973" s="35">
        <v>691</v>
      </c>
      <c r="B973" s="38">
        <v>14</v>
      </c>
      <c r="C973" s="37" t="s">
        <v>112</v>
      </c>
      <c r="D973" s="37">
        <v>4</v>
      </c>
      <c r="E973" s="37" t="s">
        <v>890</v>
      </c>
      <c r="YS973" s="38" t="e">
        <f>RIGHT(CONCATENATE(0,#REF!),7)</f>
        <v>#REF!</v>
      </c>
    </row>
    <row r="974" spans="1:669" hidden="1">
      <c r="A974" s="35">
        <v>692</v>
      </c>
      <c r="B974" s="38">
        <v>14</v>
      </c>
      <c r="C974" s="37" t="s">
        <v>112</v>
      </c>
      <c r="D974" s="37">
        <v>5</v>
      </c>
      <c r="E974" s="37" t="s">
        <v>891</v>
      </c>
      <c r="YS974" s="38" t="e">
        <f>RIGHT(CONCATENATE(0,#REF!),7)</f>
        <v>#REF!</v>
      </c>
    </row>
    <row r="975" spans="1:669" hidden="1">
      <c r="A975" s="35">
        <v>693</v>
      </c>
      <c r="B975" s="38">
        <v>14</v>
      </c>
      <c r="C975" s="37" t="s">
        <v>112</v>
      </c>
      <c r="D975" s="37">
        <v>6</v>
      </c>
      <c r="E975" s="37" t="s">
        <v>892</v>
      </c>
      <c r="YS975" s="38" t="e">
        <f>RIGHT(CONCATENATE(0,#REF!),7)</f>
        <v>#REF!</v>
      </c>
    </row>
    <row r="976" spans="1:669" hidden="1">
      <c r="A976" s="35">
        <v>694</v>
      </c>
      <c r="B976" s="38">
        <v>14</v>
      </c>
      <c r="C976" s="37" t="s">
        <v>112</v>
      </c>
      <c r="D976" s="37">
        <v>7</v>
      </c>
      <c r="E976" s="37" t="s">
        <v>893</v>
      </c>
      <c r="YS976" s="38" t="e">
        <f>RIGHT(CONCATENATE(0,#REF!),7)</f>
        <v>#REF!</v>
      </c>
    </row>
    <row r="977" spans="1:669" hidden="1">
      <c r="A977" s="35">
        <v>695</v>
      </c>
      <c r="B977" s="38">
        <v>14</v>
      </c>
      <c r="C977" s="37" t="s">
        <v>112</v>
      </c>
      <c r="D977" s="37">
        <v>8</v>
      </c>
      <c r="E977" s="37" t="s">
        <v>894</v>
      </c>
      <c r="YS977" s="38" t="e">
        <f>RIGHT(CONCATENATE(0,#REF!),7)</f>
        <v>#REF!</v>
      </c>
    </row>
    <row r="978" spans="1:669" hidden="1">
      <c r="A978" s="35">
        <v>696</v>
      </c>
      <c r="B978" s="38">
        <v>14</v>
      </c>
      <c r="C978" s="37" t="s">
        <v>112</v>
      </c>
      <c r="D978" s="37">
        <v>9</v>
      </c>
      <c r="E978" s="37" t="s">
        <v>895</v>
      </c>
      <c r="YS978" s="38" t="e">
        <f>RIGHT(CONCATENATE(0,#REF!),7)</f>
        <v>#REF!</v>
      </c>
    </row>
    <row r="979" spans="1:669" hidden="1">
      <c r="A979" s="35">
        <v>697</v>
      </c>
      <c r="B979" s="38">
        <v>14</v>
      </c>
      <c r="C979" s="37" t="s">
        <v>112</v>
      </c>
      <c r="D979" s="37">
        <v>10</v>
      </c>
      <c r="E979" s="37" t="s">
        <v>896</v>
      </c>
      <c r="YS979" s="38" t="e">
        <f>RIGHT(CONCATENATE(0,#REF!),7)</f>
        <v>#REF!</v>
      </c>
    </row>
    <row r="980" spans="1:669" hidden="1">
      <c r="A980" s="35">
        <v>698</v>
      </c>
      <c r="B980" s="38">
        <v>14</v>
      </c>
      <c r="C980" s="37" t="s">
        <v>112</v>
      </c>
      <c r="D980" s="37">
        <v>11</v>
      </c>
      <c r="E980" s="37" t="s">
        <v>897</v>
      </c>
      <c r="YS980" s="38" t="e">
        <f>RIGHT(CONCATENATE(0,#REF!),7)</f>
        <v>#REF!</v>
      </c>
    </row>
    <row r="981" spans="1:669" hidden="1">
      <c r="A981" s="35">
        <v>699</v>
      </c>
      <c r="B981" s="38">
        <v>14</v>
      </c>
      <c r="C981" s="37" t="s">
        <v>112</v>
      </c>
      <c r="D981" s="37">
        <v>12</v>
      </c>
      <c r="E981" s="37" t="s">
        <v>898</v>
      </c>
      <c r="YS981" s="38" t="e">
        <f>RIGHT(CONCATENATE(0,#REF!),7)</f>
        <v>#REF!</v>
      </c>
    </row>
    <row r="982" spans="1:669" hidden="1">
      <c r="A982" s="35">
        <v>700</v>
      </c>
      <c r="B982" s="38">
        <v>14</v>
      </c>
      <c r="C982" s="37" t="s">
        <v>112</v>
      </c>
      <c r="D982" s="37">
        <v>13</v>
      </c>
      <c r="E982" s="37" t="s">
        <v>899</v>
      </c>
      <c r="YS982" s="38" t="e">
        <f>RIGHT(CONCATENATE(0,#REF!),7)</f>
        <v>#REF!</v>
      </c>
    </row>
    <row r="983" spans="1:669" hidden="1">
      <c r="A983" s="35">
        <v>701</v>
      </c>
      <c r="B983" s="38">
        <v>14</v>
      </c>
      <c r="C983" s="37" t="s">
        <v>112</v>
      </c>
      <c r="D983" s="37">
        <v>14</v>
      </c>
      <c r="E983" s="37" t="s">
        <v>900</v>
      </c>
      <c r="YS983" s="38" t="e">
        <f>RIGHT(CONCATENATE(0,#REF!),7)</f>
        <v>#REF!</v>
      </c>
    </row>
    <row r="984" spans="1:669" hidden="1">
      <c r="A984" s="35">
        <v>702</v>
      </c>
      <c r="B984" s="38">
        <v>14</v>
      </c>
      <c r="C984" s="37" t="s">
        <v>112</v>
      </c>
      <c r="D984" s="37">
        <v>15</v>
      </c>
      <c r="E984" s="37" t="s">
        <v>901</v>
      </c>
      <c r="YS984" s="38" t="e">
        <f>RIGHT(CONCATENATE(0,#REF!),7)</f>
        <v>#REF!</v>
      </c>
    </row>
    <row r="985" spans="1:669" hidden="1">
      <c r="A985" s="35">
        <v>703</v>
      </c>
      <c r="B985" s="38">
        <v>14</v>
      </c>
      <c r="C985" s="37" t="s">
        <v>112</v>
      </c>
      <c r="D985" s="37">
        <v>16</v>
      </c>
      <c r="E985" s="37" t="s">
        <v>902</v>
      </c>
      <c r="YS985" s="38" t="e">
        <f>RIGHT(CONCATENATE(0,#REF!),7)</f>
        <v>#REF!</v>
      </c>
    </row>
    <row r="986" spans="1:669" hidden="1">
      <c r="A986" s="35">
        <v>704</v>
      </c>
      <c r="B986" s="38">
        <v>14</v>
      </c>
      <c r="C986" s="37" t="s">
        <v>112</v>
      </c>
      <c r="D986" s="37">
        <v>17</v>
      </c>
      <c r="E986" s="37" t="s">
        <v>903</v>
      </c>
      <c r="YS986" s="38" t="e">
        <f>RIGHT(CONCATENATE(0,#REF!),7)</f>
        <v>#REF!</v>
      </c>
    </row>
    <row r="987" spans="1:669" hidden="1">
      <c r="A987" s="35">
        <v>705</v>
      </c>
      <c r="B987" s="38">
        <v>14</v>
      </c>
      <c r="C987" s="37" t="s">
        <v>112</v>
      </c>
      <c r="D987" s="37">
        <v>18</v>
      </c>
      <c r="E987" s="37" t="s">
        <v>904</v>
      </c>
      <c r="YS987" s="38" t="e">
        <f>RIGHT(CONCATENATE(0,#REF!),7)</f>
        <v>#REF!</v>
      </c>
    </row>
    <row r="988" spans="1:669" hidden="1">
      <c r="A988" s="35">
        <v>706</v>
      </c>
      <c r="B988" s="38">
        <v>14</v>
      </c>
      <c r="C988" s="37" t="s">
        <v>112</v>
      </c>
      <c r="D988" s="37">
        <v>19</v>
      </c>
      <c r="E988" s="37" t="s">
        <v>905</v>
      </c>
      <c r="YS988" s="38" t="e">
        <f>RIGHT(CONCATENATE(0,#REF!),7)</f>
        <v>#REF!</v>
      </c>
    </row>
    <row r="989" spans="1:669" hidden="1">
      <c r="A989" s="35">
        <v>707</v>
      </c>
      <c r="B989" s="38">
        <v>14</v>
      </c>
      <c r="C989" s="37" t="s">
        <v>112</v>
      </c>
      <c r="D989" s="37">
        <v>20</v>
      </c>
      <c r="E989" s="37" t="s">
        <v>906</v>
      </c>
      <c r="YS989" s="38" t="e">
        <f>RIGHT(CONCATENATE(0,#REF!),7)</f>
        <v>#REF!</v>
      </c>
    </row>
    <row r="990" spans="1:669" hidden="1">
      <c r="A990" s="35">
        <v>708</v>
      </c>
      <c r="B990" s="38">
        <v>14</v>
      </c>
      <c r="C990" s="37" t="s">
        <v>112</v>
      </c>
      <c r="D990" s="37">
        <v>21</v>
      </c>
      <c r="E990" s="37" t="s">
        <v>907</v>
      </c>
      <c r="YS990" s="38" t="e">
        <f>RIGHT(CONCATENATE(0,#REF!),7)</f>
        <v>#REF!</v>
      </c>
    </row>
    <row r="991" spans="1:669" hidden="1">
      <c r="A991" s="35">
        <v>709</v>
      </c>
      <c r="B991" s="38">
        <v>14</v>
      </c>
      <c r="C991" s="37" t="s">
        <v>112</v>
      </c>
      <c r="D991" s="37">
        <v>22</v>
      </c>
      <c r="E991" s="37" t="s">
        <v>908</v>
      </c>
      <c r="YS991" s="38" t="e">
        <f>RIGHT(CONCATENATE(0,#REF!),7)</f>
        <v>#REF!</v>
      </c>
    </row>
    <row r="992" spans="1:669" hidden="1">
      <c r="A992" s="35">
        <v>710</v>
      </c>
      <c r="B992" s="38">
        <v>14</v>
      </c>
      <c r="C992" s="37" t="s">
        <v>112</v>
      </c>
      <c r="D992" s="37">
        <v>23</v>
      </c>
      <c r="E992" s="37" t="s">
        <v>909</v>
      </c>
      <c r="YS992" s="38" t="e">
        <f>RIGHT(CONCATENATE(0,#REF!),7)</f>
        <v>#REF!</v>
      </c>
    </row>
    <row r="993" spans="1:669" hidden="1">
      <c r="A993" s="35">
        <v>711</v>
      </c>
      <c r="B993" s="38">
        <v>14</v>
      </c>
      <c r="C993" s="37" t="s">
        <v>112</v>
      </c>
      <c r="D993" s="37">
        <v>24</v>
      </c>
      <c r="E993" s="37" t="s">
        <v>910</v>
      </c>
      <c r="YS993" s="38" t="e">
        <f>RIGHT(CONCATENATE(0,#REF!),7)</f>
        <v>#REF!</v>
      </c>
    </row>
    <row r="994" spans="1:669" hidden="1">
      <c r="A994" s="35">
        <v>712</v>
      </c>
      <c r="B994" s="38">
        <v>14</v>
      </c>
      <c r="C994" s="37" t="s">
        <v>112</v>
      </c>
      <c r="D994" s="37">
        <v>25</v>
      </c>
      <c r="E994" s="37" t="s">
        <v>911</v>
      </c>
      <c r="YS994" s="38" t="e">
        <f>RIGHT(CONCATENATE(0,#REF!),7)</f>
        <v>#REF!</v>
      </c>
    </row>
    <row r="995" spans="1:669" hidden="1">
      <c r="A995" s="35">
        <v>713</v>
      </c>
      <c r="B995" s="38">
        <v>14</v>
      </c>
      <c r="C995" s="37" t="s">
        <v>112</v>
      </c>
      <c r="D995" s="37">
        <v>26</v>
      </c>
      <c r="E995" s="37" t="s">
        <v>912</v>
      </c>
      <c r="YS995" s="38" t="e">
        <f>RIGHT(CONCATENATE(0,#REF!),7)</f>
        <v>#REF!</v>
      </c>
    </row>
    <row r="996" spans="1:669" hidden="1">
      <c r="A996" s="35">
        <v>714</v>
      </c>
      <c r="B996" s="38">
        <v>14</v>
      </c>
      <c r="C996" s="37" t="s">
        <v>112</v>
      </c>
      <c r="D996" s="37">
        <v>27</v>
      </c>
      <c r="E996" s="37" t="s">
        <v>913</v>
      </c>
      <c r="YS996" s="38" t="e">
        <f>RIGHT(CONCATENATE(0,#REF!),7)</f>
        <v>#REF!</v>
      </c>
    </row>
    <row r="997" spans="1:669" hidden="1">
      <c r="A997" s="35">
        <v>715</v>
      </c>
      <c r="B997" s="38">
        <v>14</v>
      </c>
      <c r="C997" s="37" t="s">
        <v>112</v>
      </c>
      <c r="D997" s="37">
        <v>28</v>
      </c>
      <c r="E997" s="37" t="s">
        <v>914</v>
      </c>
      <c r="YS997" s="38" t="e">
        <f>RIGHT(CONCATENATE(0,#REF!),7)</f>
        <v>#REF!</v>
      </c>
    </row>
    <row r="998" spans="1:669" hidden="1">
      <c r="A998" s="35">
        <v>716</v>
      </c>
      <c r="B998" s="38">
        <v>14</v>
      </c>
      <c r="C998" s="37" t="s">
        <v>112</v>
      </c>
      <c r="D998" s="37">
        <v>29</v>
      </c>
      <c r="E998" s="37" t="s">
        <v>915</v>
      </c>
      <c r="YS998" s="38" t="e">
        <f>RIGHT(CONCATENATE(0,#REF!),7)</f>
        <v>#REF!</v>
      </c>
    </row>
    <row r="999" spans="1:669" hidden="1">
      <c r="A999" s="35">
        <v>717</v>
      </c>
      <c r="B999" s="38">
        <v>14</v>
      </c>
      <c r="C999" s="37" t="s">
        <v>112</v>
      </c>
      <c r="D999" s="37">
        <v>30</v>
      </c>
      <c r="E999" s="37" t="s">
        <v>916</v>
      </c>
      <c r="YS999" s="38" t="e">
        <f>RIGHT(CONCATENATE(0,#REF!),7)</f>
        <v>#REF!</v>
      </c>
    </row>
    <row r="1000" spans="1:669" hidden="1">
      <c r="A1000" s="35">
        <v>718</v>
      </c>
      <c r="B1000" s="38">
        <v>14</v>
      </c>
      <c r="C1000" s="37" t="s">
        <v>112</v>
      </c>
      <c r="D1000" s="37">
        <v>31</v>
      </c>
      <c r="E1000" s="37" t="s">
        <v>917</v>
      </c>
      <c r="YS1000" s="38" t="e">
        <f>RIGHT(CONCATENATE(0,#REF!),7)</f>
        <v>#REF!</v>
      </c>
    </row>
    <row r="1001" spans="1:669" hidden="1">
      <c r="A1001" s="35">
        <v>719</v>
      </c>
      <c r="B1001" s="38">
        <v>14</v>
      </c>
      <c r="C1001" s="37" t="s">
        <v>112</v>
      </c>
      <c r="D1001" s="37">
        <v>32</v>
      </c>
      <c r="E1001" s="37" t="s">
        <v>918</v>
      </c>
      <c r="YS1001" s="38" t="e">
        <f>RIGHT(CONCATENATE(0,#REF!),7)</f>
        <v>#REF!</v>
      </c>
    </row>
    <row r="1002" spans="1:669" hidden="1">
      <c r="A1002" s="35">
        <v>720</v>
      </c>
      <c r="B1002" s="38">
        <v>14</v>
      </c>
      <c r="C1002" s="37" t="s">
        <v>112</v>
      </c>
      <c r="D1002" s="37">
        <v>33</v>
      </c>
      <c r="E1002" s="37" t="s">
        <v>919</v>
      </c>
      <c r="YS1002" s="38" t="e">
        <f>RIGHT(CONCATENATE(0,#REF!),7)</f>
        <v>#REF!</v>
      </c>
    </row>
    <row r="1003" spans="1:669" hidden="1">
      <c r="A1003" s="35">
        <v>721</v>
      </c>
      <c r="B1003" s="38">
        <v>14</v>
      </c>
      <c r="C1003" s="37" t="s">
        <v>112</v>
      </c>
      <c r="D1003" s="37">
        <v>34</v>
      </c>
      <c r="E1003" s="37" t="s">
        <v>920</v>
      </c>
      <c r="YS1003" s="38" t="e">
        <f>RIGHT(CONCATENATE(0,#REF!),7)</f>
        <v>#REF!</v>
      </c>
    </row>
    <row r="1004" spans="1:669" hidden="1">
      <c r="A1004" s="35">
        <v>722</v>
      </c>
      <c r="B1004" s="38">
        <v>14</v>
      </c>
      <c r="C1004" s="37" t="s">
        <v>112</v>
      </c>
      <c r="D1004" s="37">
        <v>35</v>
      </c>
      <c r="E1004" s="37" t="s">
        <v>921</v>
      </c>
      <c r="YS1004" s="38" t="e">
        <f>RIGHT(CONCATENATE(0,#REF!),7)</f>
        <v>#REF!</v>
      </c>
    </row>
    <row r="1005" spans="1:669" hidden="1">
      <c r="A1005" s="35">
        <v>723</v>
      </c>
      <c r="B1005" s="38">
        <v>14</v>
      </c>
      <c r="C1005" s="37" t="s">
        <v>112</v>
      </c>
      <c r="D1005" s="37">
        <v>36</v>
      </c>
      <c r="E1005" s="37" t="s">
        <v>922</v>
      </c>
      <c r="YS1005" s="38" t="e">
        <f>RIGHT(CONCATENATE(0,#REF!),7)</f>
        <v>#REF!</v>
      </c>
    </row>
    <row r="1006" spans="1:669" hidden="1">
      <c r="A1006" s="35">
        <v>724</v>
      </c>
      <c r="B1006" s="38">
        <v>15</v>
      </c>
      <c r="C1006" s="37" t="s">
        <v>66</v>
      </c>
      <c r="D1006" s="37">
        <v>1</v>
      </c>
      <c r="E1006" s="37" t="s">
        <v>71</v>
      </c>
      <c r="YS1006" s="38" t="e">
        <f>RIGHT(CONCATENATE(0,#REF!),7)</f>
        <v>#REF!</v>
      </c>
    </row>
    <row r="1007" spans="1:669" hidden="1">
      <c r="A1007" s="35">
        <v>725</v>
      </c>
      <c r="B1007" s="38">
        <v>15</v>
      </c>
      <c r="C1007" s="37" t="s">
        <v>66</v>
      </c>
      <c r="D1007" s="37">
        <v>2</v>
      </c>
      <c r="E1007" s="37" t="s">
        <v>923</v>
      </c>
      <c r="YS1007" s="38" t="e">
        <f>RIGHT(CONCATENATE(0,#REF!),7)</f>
        <v>#REF!</v>
      </c>
    </row>
    <row r="1008" spans="1:669" hidden="1">
      <c r="A1008" s="35">
        <v>726</v>
      </c>
      <c r="B1008" s="38">
        <v>15</v>
      </c>
      <c r="C1008" s="37" t="s">
        <v>66</v>
      </c>
      <c r="D1008" s="37">
        <v>3</v>
      </c>
      <c r="E1008" s="37" t="s">
        <v>924</v>
      </c>
      <c r="YS1008" s="38" t="e">
        <f>RIGHT(CONCATENATE(0,#REF!),7)</f>
        <v>#REF!</v>
      </c>
    </row>
    <row r="1009" spans="1:669" hidden="1">
      <c r="A1009" s="35">
        <v>727</v>
      </c>
      <c r="B1009" s="38">
        <v>15</v>
      </c>
      <c r="C1009" s="37" t="s">
        <v>66</v>
      </c>
      <c r="D1009" s="37">
        <v>4</v>
      </c>
      <c r="E1009" s="37" t="s">
        <v>925</v>
      </c>
      <c r="YS1009" s="38" t="e">
        <f>RIGHT(CONCATENATE(0,#REF!),7)</f>
        <v>#REF!</v>
      </c>
    </row>
    <row r="1010" spans="1:669" hidden="1">
      <c r="A1010" s="35">
        <v>728</v>
      </c>
      <c r="B1010" s="38">
        <v>15</v>
      </c>
      <c r="C1010" s="37" t="s">
        <v>66</v>
      </c>
      <c r="D1010" s="37">
        <v>5</v>
      </c>
      <c r="E1010" s="37" t="s">
        <v>926</v>
      </c>
      <c r="YS1010" s="38" t="e">
        <f>RIGHT(CONCATENATE(0,#REF!),7)</f>
        <v>#REF!</v>
      </c>
    </row>
    <row r="1011" spans="1:669" hidden="1">
      <c r="A1011" s="35">
        <v>729</v>
      </c>
      <c r="B1011" s="38">
        <v>15</v>
      </c>
      <c r="C1011" s="37" t="s">
        <v>66</v>
      </c>
      <c r="D1011" s="37">
        <v>6</v>
      </c>
      <c r="E1011" s="37" t="s">
        <v>927</v>
      </c>
      <c r="YS1011" s="38" t="e">
        <f>RIGHT(CONCATENATE(0,#REF!),7)</f>
        <v>#REF!</v>
      </c>
    </row>
    <row r="1012" spans="1:669" hidden="1">
      <c r="A1012" s="35">
        <v>730</v>
      </c>
      <c r="B1012" s="38">
        <v>15</v>
      </c>
      <c r="C1012" s="37" t="s">
        <v>66</v>
      </c>
      <c r="D1012" s="37">
        <v>7</v>
      </c>
      <c r="E1012" s="37" t="s">
        <v>928</v>
      </c>
      <c r="YS1012" s="38" t="e">
        <f>RIGHT(CONCATENATE(0,#REF!),7)</f>
        <v>#REF!</v>
      </c>
    </row>
    <row r="1013" spans="1:669" hidden="1">
      <c r="A1013" s="35">
        <v>731</v>
      </c>
      <c r="B1013" s="38">
        <v>15</v>
      </c>
      <c r="C1013" s="37" t="s">
        <v>66</v>
      </c>
      <c r="D1013" s="37">
        <v>8</v>
      </c>
      <c r="E1013" s="37" t="s">
        <v>929</v>
      </c>
      <c r="YS1013" s="38" t="e">
        <f>RIGHT(CONCATENATE(0,#REF!),7)</f>
        <v>#REF!</v>
      </c>
    </row>
    <row r="1014" spans="1:669" hidden="1">
      <c r="A1014" s="35">
        <v>732</v>
      </c>
      <c r="B1014" s="38">
        <v>15</v>
      </c>
      <c r="C1014" s="37" t="s">
        <v>66</v>
      </c>
      <c r="D1014" s="37">
        <v>9</v>
      </c>
      <c r="E1014" s="37" t="s">
        <v>930</v>
      </c>
      <c r="YS1014" s="38" t="e">
        <f>RIGHT(CONCATENATE(0,#REF!),7)</f>
        <v>#REF!</v>
      </c>
    </row>
    <row r="1015" spans="1:669" hidden="1">
      <c r="A1015" s="35">
        <v>733</v>
      </c>
      <c r="B1015" s="38">
        <v>15</v>
      </c>
      <c r="C1015" s="37" t="s">
        <v>66</v>
      </c>
      <c r="D1015" s="37">
        <v>10</v>
      </c>
      <c r="E1015" s="37" t="s">
        <v>931</v>
      </c>
      <c r="YS1015" s="38" t="e">
        <f>RIGHT(CONCATENATE(0,#REF!),7)</f>
        <v>#REF!</v>
      </c>
    </row>
    <row r="1016" spans="1:669" hidden="1">
      <c r="A1016" s="35">
        <v>734</v>
      </c>
      <c r="B1016" s="38">
        <v>15</v>
      </c>
      <c r="C1016" s="37" t="s">
        <v>66</v>
      </c>
      <c r="D1016" s="37">
        <v>11</v>
      </c>
      <c r="E1016" s="37" t="s">
        <v>932</v>
      </c>
      <c r="YS1016" s="38" t="e">
        <f>RIGHT(CONCATENATE(0,#REF!),7)</f>
        <v>#REF!</v>
      </c>
    </row>
    <row r="1017" spans="1:669" hidden="1">
      <c r="A1017" s="35">
        <v>735</v>
      </c>
      <c r="B1017" s="38">
        <v>15</v>
      </c>
      <c r="C1017" s="37" t="s">
        <v>66</v>
      </c>
      <c r="D1017" s="37">
        <v>12</v>
      </c>
      <c r="E1017" s="37" t="s">
        <v>933</v>
      </c>
      <c r="YS1017" s="38" t="e">
        <f>RIGHT(CONCATENATE(0,#REF!),7)</f>
        <v>#REF!</v>
      </c>
    </row>
    <row r="1018" spans="1:669" hidden="1">
      <c r="A1018" s="35">
        <v>736</v>
      </c>
      <c r="B1018" s="38">
        <v>15</v>
      </c>
      <c r="C1018" s="37" t="s">
        <v>66</v>
      </c>
      <c r="D1018" s="37">
        <v>13</v>
      </c>
      <c r="E1018" s="37" t="s">
        <v>934</v>
      </c>
      <c r="YS1018" s="38" t="e">
        <f>RIGHT(CONCATENATE(0,#REF!),7)</f>
        <v>#REF!</v>
      </c>
    </row>
    <row r="1019" spans="1:669" hidden="1">
      <c r="A1019" s="35">
        <v>737</v>
      </c>
      <c r="B1019" s="38">
        <v>15</v>
      </c>
      <c r="C1019" s="37" t="s">
        <v>66</v>
      </c>
      <c r="D1019" s="37">
        <v>14</v>
      </c>
      <c r="E1019" s="37" t="s">
        <v>935</v>
      </c>
      <c r="YS1019" s="38" t="e">
        <f>RIGHT(CONCATENATE(0,#REF!),7)</f>
        <v>#REF!</v>
      </c>
    </row>
    <row r="1020" spans="1:669" hidden="1">
      <c r="A1020" s="35">
        <v>738</v>
      </c>
      <c r="B1020" s="38">
        <v>15</v>
      </c>
      <c r="C1020" s="37" t="s">
        <v>66</v>
      </c>
      <c r="D1020" s="37">
        <v>15</v>
      </c>
      <c r="E1020" s="37" t="s">
        <v>936</v>
      </c>
      <c r="YS1020" s="38" t="e">
        <f>RIGHT(CONCATENATE(0,#REF!),7)</f>
        <v>#REF!</v>
      </c>
    </row>
    <row r="1021" spans="1:669" hidden="1">
      <c r="A1021" s="35">
        <v>739</v>
      </c>
      <c r="B1021" s="38">
        <v>15</v>
      </c>
      <c r="C1021" s="37" t="s">
        <v>66</v>
      </c>
      <c r="D1021" s="37">
        <v>16</v>
      </c>
      <c r="E1021" s="37" t="s">
        <v>937</v>
      </c>
      <c r="YS1021" s="38" t="e">
        <f>RIGHT(CONCATENATE(0,#REF!),7)</f>
        <v>#REF!</v>
      </c>
    </row>
    <row r="1022" spans="1:669" hidden="1">
      <c r="A1022" s="35">
        <v>740</v>
      </c>
      <c r="B1022" s="38">
        <v>15</v>
      </c>
      <c r="C1022" s="37" t="s">
        <v>66</v>
      </c>
      <c r="D1022" s="37">
        <v>17</v>
      </c>
      <c r="E1022" s="37" t="s">
        <v>938</v>
      </c>
      <c r="YS1022" s="38" t="e">
        <f>RIGHT(CONCATENATE(0,#REF!),7)</f>
        <v>#REF!</v>
      </c>
    </row>
    <row r="1023" spans="1:669" hidden="1">
      <c r="A1023" s="35">
        <v>741</v>
      </c>
      <c r="B1023" s="38">
        <v>15</v>
      </c>
      <c r="C1023" s="37" t="s">
        <v>66</v>
      </c>
      <c r="D1023" s="37">
        <v>18</v>
      </c>
      <c r="E1023" s="37" t="s">
        <v>939</v>
      </c>
      <c r="YS1023" s="38" t="e">
        <f>RIGHT(CONCATENATE(0,#REF!),7)</f>
        <v>#REF!</v>
      </c>
    </row>
    <row r="1024" spans="1:669" hidden="1">
      <c r="A1024" s="35">
        <v>742</v>
      </c>
      <c r="B1024" s="38">
        <v>15</v>
      </c>
      <c r="C1024" s="37" t="s">
        <v>66</v>
      </c>
      <c r="D1024" s="37">
        <v>19</v>
      </c>
      <c r="E1024" s="37" t="s">
        <v>940</v>
      </c>
      <c r="YS1024" s="38" t="e">
        <f>RIGHT(CONCATENATE(0,#REF!),7)</f>
        <v>#REF!</v>
      </c>
    </row>
    <row r="1025" spans="1:669" hidden="1">
      <c r="A1025" s="35">
        <v>743</v>
      </c>
      <c r="B1025" s="38">
        <v>15</v>
      </c>
      <c r="C1025" s="37" t="s">
        <v>66</v>
      </c>
      <c r="D1025" s="37">
        <v>20</v>
      </c>
      <c r="E1025" s="37" t="s">
        <v>941</v>
      </c>
      <c r="YS1025" s="38" t="e">
        <f>RIGHT(CONCATENATE(0,#REF!),7)</f>
        <v>#REF!</v>
      </c>
    </row>
    <row r="1026" spans="1:669" hidden="1">
      <c r="A1026" s="35">
        <v>744</v>
      </c>
      <c r="B1026" s="38">
        <v>15</v>
      </c>
      <c r="C1026" s="37" t="s">
        <v>66</v>
      </c>
      <c r="D1026" s="37">
        <v>21</v>
      </c>
      <c r="E1026" s="37" t="s">
        <v>942</v>
      </c>
      <c r="YS1026" s="38" t="e">
        <f>RIGHT(CONCATENATE(0,#REF!),7)</f>
        <v>#REF!</v>
      </c>
    </row>
    <row r="1027" spans="1:669" hidden="1">
      <c r="A1027" s="35">
        <v>745</v>
      </c>
      <c r="B1027" s="38">
        <v>15</v>
      </c>
      <c r="C1027" s="37" t="s">
        <v>66</v>
      </c>
      <c r="D1027" s="37">
        <v>22</v>
      </c>
      <c r="E1027" s="37" t="s">
        <v>943</v>
      </c>
      <c r="YS1027" s="38" t="e">
        <f>RIGHT(CONCATENATE(0,#REF!),7)</f>
        <v>#REF!</v>
      </c>
    </row>
    <row r="1028" spans="1:669" hidden="1">
      <c r="A1028" s="35">
        <v>746</v>
      </c>
      <c r="B1028" s="38">
        <v>15</v>
      </c>
      <c r="C1028" s="37" t="s">
        <v>66</v>
      </c>
      <c r="D1028" s="37">
        <v>23</v>
      </c>
      <c r="E1028" s="37" t="s">
        <v>944</v>
      </c>
      <c r="YS1028" s="38" t="e">
        <f>RIGHT(CONCATENATE(0,#REF!),7)</f>
        <v>#REF!</v>
      </c>
    </row>
    <row r="1029" spans="1:669" hidden="1">
      <c r="A1029" s="35">
        <v>747</v>
      </c>
      <c r="B1029" s="38">
        <v>15</v>
      </c>
      <c r="C1029" s="37" t="s">
        <v>66</v>
      </c>
      <c r="D1029" s="37">
        <v>24</v>
      </c>
      <c r="E1029" s="37" t="s">
        <v>945</v>
      </c>
      <c r="YS1029" s="38" t="e">
        <f>RIGHT(CONCATENATE(0,#REF!),7)</f>
        <v>#REF!</v>
      </c>
    </row>
    <row r="1030" spans="1:669" hidden="1">
      <c r="A1030" s="35">
        <v>748</v>
      </c>
      <c r="B1030" s="38">
        <v>15</v>
      </c>
      <c r="C1030" s="37" t="s">
        <v>66</v>
      </c>
      <c r="D1030" s="37">
        <v>25</v>
      </c>
      <c r="E1030" s="37" t="s">
        <v>946</v>
      </c>
      <c r="YS1030" s="38" t="e">
        <f>RIGHT(CONCATENATE(0,#REF!),7)</f>
        <v>#REF!</v>
      </c>
    </row>
    <row r="1031" spans="1:669" hidden="1">
      <c r="A1031" s="35">
        <v>749</v>
      </c>
      <c r="B1031" s="38">
        <v>15</v>
      </c>
      <c r="C1031" s="37" t="s">
        <v>66</v>
      </c>
      <c r="D1031" s="37">
        <v>26</v>
      </c>
      <c r="E1031" s="37" t="s">
        <v>947</v>
      </c>
      <c r="YS1031" s="38" t="e">
        <f>RIGHT(CONCATENATE(0,#REF!),7)</f>
        <v>#REF!</v>
      </c>
    </row>
    <row r="1032" spans="1:669" hidden="1">
      <c r="A1032" s="35">
        <v>750</v>
      </c>
      <c r="B1032" s="38">
        <v>15</v>
      </c>
      <c r="C1032" s="37" t="s">
        <v>66</v>
      </c>
      <c r="D1032" s="37">
        <v>27</v>
      </c>
      <c r="E1032" s="37" t="s">
        <v>948</v>
      </c>
      <c r="YS1032" s="38" t="e">
        <f>RIGHT(CONCATENATE(0,#REF!),7)</f>
        <v>#REF!</v>
      </c>
    </row>
    <row r="1033" spans="1:669" hidden="1">
      <c r="A1033" s="35">
        <v>751</v>
      </c>
      <c r="B1033" s="38">
        <v>15</v>
      </c>
      <c r="C1033" s="37" t="s">
        <v>66</v>
      </c>
      <c r="D1033" s="37">
        <v>28</v>
      </c>
      <c r="E1033" s="37" t="s">
        <v>949</v>
      </c>
      <c r="YS1033" s="38" t="e">
        <f>RIGHT(CONCATENATE(0,#REF!),7)</f>
        <v>#REF!</v>
      </c>
    </row>
    <row r="1034" spans="1:669" hidden="1">
      <c r="A1034" s="35">
        <v>752</v>
      </c>
      <c r="B1034" s="38">
        <v>15</v>
      </c>
      <c r="C1034" s="37" t="s">
        <v>66</v>
      </c>
      <c r="D1034" s="37">
        <v>29</v>
      </c>
      <c r="E1034" s="37" t="s">
        <v>950</v>
      </c>
      <c r="YS1034" s="38" t="e">
        <f>RIGHT(CONCATENATE(0,#REF!),7)</f>
        <v>#REF!</v>
      </c>
    </row>
    <row r="1035" spans="1:669" hidden="1">
      <c r="A1035" s="35">
        <v>753</v>
      </c>
      <c r="B1035" s="38">
        <v>15</v>
      </c>
      <c r="C1035" s="37" t="s">
        <v>66</v>
      </c>
      <c r="D1035" s="37">
        <v>30</v>
      </c>
      <c r="E1035" s="37" t="s">
        <v>951</v>
      </c>
      <c r="YS1035" s="38" t="e">
        <f>RIGHT(CONCATENATE(0,#REF!),7)</f>
        <v>#REF!</v>
      </c>
    </row>
    <row r="1036" spans="1:669" hidden="1">
      <c r="A1036" s="35">
        <v>754</v>
      </c>
      <c r="B1036" s="38">
        <v>15</v>
      </c>
      <c r="C1036" s="37" t="s">
        <v>66</v>
      </c>
      <c r="D1036" s="37">
        <v>31</v>
      </c>
      <c r="E1036" s="37" t="s">
        <v>952</v>
      </c>
      <c r="YS1036" s="38" t="e">
        <f>RIGHT(CONCATENATE(0,#REF!),7)</f>
        <v>#REF!</v>
      </c>
    </row>
    <row r="1037" spans="1:669" hidden="1">
      <c r="A1037" s="35">
        <v>755</v>
      </c>
      <c r="B1037" s="38">
        <v>15</v>
      </c>
      <c r="C1037" s="37" t="s">
        <v>66</v>
      </c>
      <c r="D1037" s="37">
        <v>32</v>
      </c>
      <c r="E1037" s="37" t="s">
        <v>953</v>
      </c>
      <c r="YS1037" s="38" t="e">
        <f>RIGHT(CONCATENATE(0,#REF!),7)</f>
        <v>#REF!</v>
      </c>
    </row>
    <row r="1038" spans="1:669" hidden="1">
      <c r="A1038" s="35">
        <v>756</v>
      </c>
      <c r="B1038" s="38">
        <v>15</v>
      </c>
      <c r="C1038" s="37" t="s">
        <v>66</v>
      </c>
      <c r="D1038" s="37">
        <v>33</v>
      </c>
      <c r="E1038" s="37" t="s">
        <v>954</v>
      </c>
      <c r="YS1038" s="38" t="e">
        <f>RIGHT(CONCATENATE(0,#REF!),7)</f>
        <v>#REF!</v>
      </c>
    </row>
    <row r="1039" spans="1:669" hidden="1">
      <c r="A1039" s="35">
        <v>757</v>
      </c>
      <c r="B1039" s="38">
        <v>15</v>
      </c>
      <c r="C1039" s="37" t="s">
        <v>66</v>
      </c>
      <c r="D1039" s="37">
        <v>34</v>
      </c>
      <c r="E1039" s="37" t="s">
        <v>955</v>
      </c>
      <c r="YS1039" s="38" t="e">
        <f>RIGHT(CONCATENATE(0,#REF!),7)</f>
        <v>#REF!</v>
      </c>
    </row>
    <row r="1040" spans="1:669" hidden="1">
      <c r="A1040" s="35">
        <v>758</v>
      </c>
      <c r="B1040" s="38">
        <v>15</v>
      </c>
      <c r="C1040" s="37" t="s">
        <v>66</v>
      </c>
      <c r="D1040" s="37">
        <v>35</v>
      </c>
      <c r="E1040" s="37" t="s">
        <v>956</v>
      </c>
      <c r="YS1040" s="38" t="e">
        <f>RIGHT(CONCATENATE(0,#REF!),7)</f>
        <v>#REF!</v>
      </c>
    </row>
    <row r="1041" spans="1:669" hidden="1">
      <c r="A1041" s="35">
        <v>759</v>
      </c>
      <c r="B1041" s="38">
        <v>15</v>
      </c>
      <c r="C1041" s="37" t="s">
        <v>66</v>
      </c>
      <c r="D1041" s="37">
        <v>36</v>
      </c>
      <c r="E1041" s="37" t="s">
        <v>957</v>
      </c>
      <c r="YS1041" s="38" t="e">
        <f>RIGHT(CONCATENATE(0,#REF!),7)</f>
        <v>#REF!</v>
      </c>
    </row>
    <row r="1042" spans="1:669" hidden="1">
      <c r="A1042" s="35">
        <v>760</v>
      </c>
      <c r="B1042" s="38">
        <v>15</v>
      </c>
      <c r="C1042" s="37" t="s">
        <v>66</v>
      </c>
      <c r="D1042" s="37">
        <v>37</v>
      </c>
      <c r="E1042" s="37" t="s">
        <v>958</v>
      </c>
      <c r="YS1042" s="38" t="e">
        <f>RIGHT(CONCATENATE(0,#REF!),7)</f>
        <v>#REF!</v>
      </c>
    </row>
    <row r="1043" spans="1:669" hidden="1">
      <c r="A1043" s="35">
        <v>761</v>
      </c>
      <c r="B1043" s="38">
        <v>15</v>
      </c>
      <c r="C1043" s="37" t="s">
        <v>66</v>
      </c>
      <c r="D1043" s="37">
        <v>38</v>
      </c>
      <c r="E1043" s="37" t="s">
        <v>959</v>
      </c>
      <c r="YS1043" s="38" t="e">
        <f>RIGHT(CONCATENATE(0,#REF!),7)</f>
        <v>#REF!</v>
      </c>
    </row>
    <row r="1044" spans="1:669" hidden="1">
      <c r="A1044" s="35">
        <v>762</v>
      </c>
      <c r="B1044" s="38">
        <v>15</v>
      </c>
      <c r="C1044" s="37" t="s">
        <v>66</v>
      </c>
      <c r="D1044" s="37">
        <v>39</v>
      </c>
      <c r="E1044" s="37" t="s">
        <v>960</v>
      </c>
      <c r="YS1044" s="38" t="e">
        <f>RIGHT(CONCATENATE(0,#REF!),7)</f>
        <v>#REF!</v>
      </c>
    </row>
    <row r="1045" spans="1:669" hidden="1">
      <c r="A1045" s="35">
        <v>763</v>
      </c>
      <c r="B1045" s="38">
        <v>15</v>
      </c>
      <c r="C1045" s="37" t="s">
        <v>66</v>
      </c>
      <c r="D1045" s="37">
        <v>40</v>
      </c>
      <c r="E1045" s="37" t="s">
        <v>961</v>
      </c>
      <c r="YS1045" s="38" t="e">
        <f>RIGHT(CONCATENATE(0,#REF!),7)</f>
        <v>#REF!</v>
      </c>
    </row>
    <row r="1046" spans="1:669" hidden="1">
      <c r="A1046" s="35">
        <v>764</v>
      </c>
      <c r="B1046" s="38">
        <v>15</v>
      </c>
      <c r="C1046" s="37" t="s">
        <v>66</v>
      </c>
      <c r="D1046" s="37">
        <v>41</v>
      </c>
      <c r="E1046" s="37" t="s">
        <v>962</v>
      </c>
      <c r="YS1046" s="38" t="e">
        <f>RIGHT(CONCATENATE(0,#REF!),7)</f>
        <v>#REF!</v>
      </c>
    </row>
    <row r="1047" spans="1:669" hidden="1">
      <c r="A1047" s="35">
        <v>765</v>
      </c>
      <c r="B1047" s="38">
        <v>15</v>
      </c>
      <c r="C1047" s="37" t="s">
        <v>66</v>
      </c>
      <c r="D1047" s="37">
        <v>42</v>
      </c>
      <c r="E1047" s="37" t="s">
        <v>963</v>
      </c>
      <c r="YS1047" s="38" t="e">
        <f>RIGHT(CONCATENATE(0,#REF!),7)</f>
        <v>#REF!</v>
      </c>
    </row>
    <row r="1048" spans="1:669" hidden="1">
      <c r="A1048" s="35">
        <v>766</v>
      </c>
      <c r="B1048" s="38">
        <v>15</v>
      </c>
      <c r="C1048" s="37" t="s">
        <v>66</v>
      </c>
      <c r="D1048" s="37">
        <v>43</v>
      </c>
      <c r="E1048" s="37" t="s">
        <v>964</v>
      </c>
      <c r="YS1048" s="38" t="e">
        <f>RIGHT(CONCATENATE(0,#REF!),7)</f>
        <v>#REF!</v>
      </c>
    </row>
    <row r="1049" spans="1:669" hidden="1">
      <c r="A1049" s="35">
        <v>767</v>
      </c>
      <c r="B1049" s="38">
        <v>15</v>
      </c>
      <c r="C1049" s="37" t="s">
        <v>66</v>
      </c>
      <c r="D1049" s="37">
        <v>44</v>
      </c>
      <c r="E1049" s="37" t="s">
        <v>965</v>
      </c>
      <c r="YS1049" s="38" t="e">
        <f>RIGHT(CONCATENATE(0,#REF!),7)</f>
        <v>#REF!</v>
      </c>
    </row>
    <row r="1050" spans="1:669" hidden="1">
      <c r="A1050" s="35">
        <v>768</v>
      </c>
      <c r="B1050" s="38">
        <v>15</v>
      </c>
      <c r="C1050" s="37" t="s">
        <v>66</v>
      </c>
      <c r="D1050" s="37">
        <v>45</v>
      </c>
      <c r="E1050" s="37" t="s">
        <v>966</v>
      </c>
      <c r="YS1050" s="38" t="e">
        <f>RIGHT(CONCATENATE(0,#REF!),7)</f>
        <v>#REF!</v>
      </c>
    </row>
    <row r="1051" spans="1:669" hidden="1">
      <c r="A1051" s="35">
        <v>769</v>
      </c>
      <c r="B1051" s="38">
        <v>15</v>
      </c>
      <c r="C1051" s="37" t="s">
        <v>66</v>
      </c>
      <c r="D1051" s="37">
        <v>46</v>
      </c>
      <c r="E1051" s="37" t="s">
        <v>967</v>
      </c>
      <c r="YS1051" s="38" t="e">
        <f>RIGHT(CONCATENATE(0,#REF!),7)</f>
        <v>#REF!</v>
      </c>
    </row>
    <row r="1052" spans="1:669" hidden="1">
      <c r="A1052" s="35">
        <v>770</v>
      </c>
      <c r="B1052" s="38">
        <v>15</v>
      </c>
      <c r="C1052" s="37" t="s">
        <v>66</v>
      </c>
      <c r="D1052" s="37">
        <v>47</v>
      </c>
      <c r="E1052" s="37" t="s">
        <v>968</v>
      </c>
      <c r="YS1052" s="38" t="e">
        <f>RIGHT(CONCATENATE(0,#REF!),7)</f>
        <v>#REF!</v>
      </c>
    </row>
    <row r="1053" spans="1:669" hidden="1">
      <c r="A1053" s="35">
        <v>771</v>
      </c>
      <c r="B1053" s="38">
        <v>15</v>
      </c>
      <c r="C1053" s="37" t="s">
        <v>66</v>
      </c>
      <c r="D1053" s="37">
        <v>48</v>
      </c>
      <c r="E1053" s="37" t="s">
        <v>969</v>
      </c>
      <c r="YS1053" s="38" t="e">
        <f>RIGHT(CONCATENATE(0,#REF!),7)</f>
        <v>#REF!</v>
      </c>
    </row>
    <row r="1054" spans="1:669" hidden="1">
      <c r="A1054" s="35">
        <v>772</v>
      </c>
      <c r="B1054" s="38">
        <v>15</v>
      </c>
      <c r="C1054" s="37" t="s">
        <v>66</v>
      </c>
      <c r="D1054" s="37">
        <v>49</v>
      </c>
      <c r="E1054" s="37" t="s">
        <v>970</v>
      </c>
      <c r="YS1054" s="38" t="e">
        <f>RIGHT(CONCATENATE(0,#REF!),7)</f>
        <v>#REF!</v>
      </c>
    </row>
    <row r="1055" spans="1:669" hidden="1">
      <c r="A1055" s="35">
        <v>773</v>
      </c>
      <c r="B1055" s="38">
        <v>15</v>
      </c>
      <c r="C1055" s="37" t="s">
        <v>66</v>
      </c>
      <c r="D1055" s="37">
        <v>50</v>
      </c>
      <c r="E1055" s="37" t="s">
        <v>971</v>
      </c>
      <c r="YS1055" s="38" t="e">
        <f>RIGHT(CONCATENATE(0,#REF!),7)</f>
        <v>#REF!</v>
      </c>
    </row>
    <row r="1056" spans="1:669" hidden="1">
      <c r="A1056" s="35">
        <v>774</v>
      </c>
      <c r="B1056" s="38">
        <v>15</v>
      </c>
      <c r="C1056" s="37" t="s">
        <v>66</v>
      </c>
      <c r="D1056" s="37">
        <v>51</v>
      </c>
      <c r="E1056" s="37" t="s">
        <v>972</v>
      </c>
      <c r="YS1056" s="38" t="e">
        <f>RIGHT(CONCATENATE(0,#REF!),7)</f>
        <v>#REF!</v>
      </c>
    </row>
    <row r="1057" spans="1:669" hidden="1">
      <c r="A1057" s="35">
        <v>775</v>
      </c>
      <c r="B1057" s="38">
        <v>15</v>
      </c>
      <c r="C1057" s="37" t="s">
        <v>66</v>
      </c>
      <c r="D1057" s="37">
        <v>52</v>
      </c>
      <c r="E1057" s="37" t="s">
        <v>973</v>
      </c>
      <c r="YS1057" s="38" t="e">
        <f>RIGHT(CONCATENATE(0,#REF!),7)</f>
        <v>#REF!</v>
      </c>
    </row>
    <row r="1058" spans="1:669" hidden="1">
      <c r="A1058" s="35">
        <v>776</v>
      </c>
      <c r="B1058" s="38">
        <v>15</v>
      </c>
      <c r="C1058" s="37" t="s">
        <v>66</v>
      </c>
      <c r="D1058" s="37">
        <v>53</v>
      </c>
      <c r="E1058" s="37" t="s">
        <v>974</v>
      </c>
      <c r="YS1058" s="38" t="e">
        <f>RIGHT(CONCATENATE(0,#REF!),7)</f>
        <v>#REF!</v>
      </c>
    </row>
    <row r="1059" spans="1:669" hidden="1">
      <c r="A1059" s="35">
        <v>777</v>
      </c>
      <c r="B1059" s="38">
        <v>15</v>
      </c>
      <c r="C1059" s="37" t="s">
        <v>66</v>
      </c>
      <c r="D1059" s="37">
        <v>54</v>
      </c>
      <c r="E1059" s="37" t="s">
        <v>975</v>
      </c>
      <c r="YS1059" s="38" t="e">
        <f>RIGHT(CONCATENATE(0,#REF!),7)</f>
        <v>#REF!</v>
      </c>
    </row>
    <row r="1060" spans="1:669" hidden="1">
      <c r="A1060" s="35">
        <v>778</v>
      </c>
      <c r="B1060" s="38">
        <v>15</v>
      </c>
      <c r="C1060" s="37" t="s">
        <v>66</v>
      </c>
      <c r="D1060" s="37">
        <v>55</v>
      </c>
      <c r="E1060" s="37" t="s">
        <v>976</v>
      </c>
      <c r="YS1060" s="38" t="e">
        <f>RIGHT(CONCATENATE(0,#REF!),7)</f>
        <v>#REF!</v>
      </c>
    </row>
    <row r="1061" spans="1:669" hidden="1">
      <c r="A1061" s="35">
        <v>779</v>
      </c>
      <c r="B1061" s="38">
        <v>15</v>
      </c>
      <c r="C1061" s="37" t="s">
        <v>66</v>
      </c>
      <c r="D1061" s="37">
        <v>56</v>
      </c>
      <c r="E1061" s="37" t="s">
        <v>977</v>
      </c>
      <c r="YS1061" s="38" t="e">
        <f>RIGHT(CONCATENATE(0,#REF!),7)</f>
        <v>#REF!</v>
      </c>
    </row>
    <row r="1062" spans="1:669" hidden="1">
      <c r="A1062" s="35">
        <v>780</v>
      </c>
      <c r="B1062" s="38">
        <v>16</v>
      </c>
      <c r="C1062" s="37" t="s">
        <v>117</v>
      </c>
      <c r="D1062" s="37">
        <v>1</v>
      </c>
      <c r="E1062" s="37" t="s">
        <v>728</v>
      </c>
      <c r="YS1062" s="38" t="e">
        <f>RIGHT(CONCATENATE(0,#REF!),7)</f>
        <v>#REF!</v>
      </c>
    </row>
    <row r="1063" spans="1:669" hidden="1">
      <c r="A1063" s="35">
        <v>781</v>
      </c>
      <c r="B1063" s="38">
        <v>16</v>
      </c>
      <c r="C1063" s="37" t="s">
        <v>117</v>
      </c>
      <c r="D1063" s="37">
        <v>2</v>
      </c>
      <c r="E1063" s="37" t="s">
        <v>978</v>
      </c>
      <c r="YS1063" s="38" t="e">
        <f>RIGHT(CONCATENATE(0,#REF!),7)</f>
        <v>#REF!</v>
      </c>
    </row>
    <row r="1064" spans="1:669" hidden="1">
      <c r="A1064" s="35">
        <v>782</v>
      </c>
      <c r="B1064" s="38">
        <v>16</v>
      </c>
      <c r="C1064" s="37" t="s">
        <v>117</v>
      </c>
      <c r="D1064" s="37">
        <v>3</v>
      </c>
      <c r="E1064" s="37" t="s">
        <v>979</v>
      </c>
      <c r="YS1064" s="38" t="e">
        <f>RIGHT(CONCATENATE(0,#REF!),7)</f>
        <v>#REF!</v>
      </c>
    </row>
    <row r="1065" spans="1:669" hidden="1">
      <c r="A1065" s="35">
        <v>783</v>
      </c>
      <c r="B1065" s="38">
        <v>16</v>
      </c>
      <c r="C1065" s="37" t="s">
        <v>117</v>
      </c>
      <c r="D1065" s="37">
        <v>4</v>
      </c>
      <c r="E1065" s="37" t="s">
        <v>980</v>
      </c>
      <c r="YS1065" s="38" t="e">
        <f>RIGHT(CONCATENATE(0,#REF!),7)</f>
        <v>#REF!</v>
      </c>
    </row>
    <row r="1066" spans="1:669" hidden="1">
      <c r="A1066" s="35">
        <v>784</v>
      </c>
      <c r="B1066" s="38">
        <v>16</v>
      </c>
      <c r="C1066" s="37" t="s">
        <v>117</v>
      </c>
      <c r="D1066" s="37">
        <v>5</v>
      </c>
      <c r="E1066" s="37" t="s">
        <v>737</v>
      </c>
      <c r="YS1066" s="38" t="e">
        <f>RIGHT(CONCATENATE(0,#REF!),7)</f>
        <v>#REF!</v>
      </c>
    </row>
    <row r="1067" spans="1:669" hidden="1">
      <c r="A1067" s="35">
        <v>785</v>
      </c>
      <c r="B1067" s="38">
        <v>16</v>
      </c>
      <c r="C1067" s="37" t="s">
        <v>117</v>
      </c>
      <c r="D1067" s="37">
        <v>6</v>
      </c>
      <c r="E1067" s="37" t="s">
        <v>981</v>
      </c>
      <c r="YS1067" s="38" t="e">
        <f>RIGHT(CONCATENATE(0,#REF!),7)</f>
        <v>#REF!</v>
      </c>
    </row>
    <row r="1068" spans="1:669" hidden="1">
      <c r="A1068" s="35">
        <v>786</v>
      </c>
      <c r="B1068" s="38">
        <v>16</v>
      </c>
      <c r="C1068" s="37" t="s">
        <v>117</v>
      </c>
      <c r="D1068" s="37">
        <v>7</v>
      </c>
      <c r="E1068" s="37" t="s">
        <v>982</v>
      </c>
      <c r="YS1068" s="38" t="e">
        <f>RIGHT(CONCATENATE(0,#REF!),7)</f>
        <v>#REF!</v>
      </c>
    </row>
    <row r="1069" spans="1:669" hidden="1">
      <c r="A1069" s="35">
        <v>787</v>
      </c>
      <c r="B1069" s="38">
        <v>16</v>
      </c>
      <c r="C1069" s="37" t="s">
        <v>117</v>
      </c>
      <c r="D1069" s="37">
        <v>8</v>
      </c>
      <c r="E1069" s="37" t="s">
        <v>983</v>
      </c>
      <c r="YS1069" s="38" t="e">
        <f>RIGHT(CONCATENATE(0,#REF!),7)</f>
        <v>#REF!</v>
      </c>
    </row>
    <row r="1070" spans="1:669" hidden="1">
      <c r="A1070" s="35">
        <v>788</v>
      </c>
      <c r="B1070" s="38">
        <v>16</v>
      </c>
      <c r="C1070" s="37" t="s">
        <v>117</v>
      </c>
      <c r="D1070" s="37">
        <v>9</v>
      </c>
      <c r="E1070" s="37" t="s">
        <v>984</v>
      </c>
      <c r="YS1070" s="38" t="e">
        <f>RIGHT(CONCATENATE(0,#REF!),7)</f>
        <v>#REF!</v>
      </c>
    </row>
    <row r="1071" spans="1:669" hidden="1">
      <c r="A1071" s="35">
        <v>789</v>
      </c>
      <c r="B1071" s="38">
        <v>16</v>
      </c>
      <c r="C1071" s="37" t="s">
        <v>117</v>
      </c>
      <c r="D1071" s="37">
        <v>10</v>
      </c>
      <c r="E1071" s="37" t="s">
        <v>985</v>
      </c>
      <c r="YS1071" s="38" t="e">
        <f>RIGHT(CONCATENATE(0,#REF!),7)</f>
        <v>#REF!</v>
      </c>
    </row>
    <row r="1072" spans="1:669" hidden="1">
      <c r="A1072" s="35">
        <v>790</v>
      </c>
      <c r="B1072" s="38">
        <v>16</v>
      </c>
      <c r="C1072" s="37" t="s">
        <v>117</v>
      </c>
      <c r="D1072" s="37">
        <v>11</v>
      </c>
      <c r="E1072" s="37" t="s">
        <v>986</v>
      </c>
      <c r="YS1072" s="38" t="e">
        <f>RIGHT(CONCATENATE(0,#REF!),7)</f>
        <v>#REF!</v>
      </c>
    </row>
    <row r="1073" spans="1:669" hidden="1">
      <c r="A1073" s="35">
        <v>791</v>
      </c>
      <c r="B1073" s="38">
        <v>16</v>
      </c>
      <c r="C1073" s="37" t="s">
        <v>117</v>
      </c>
      <c r="D1073" s="37">
        <v>12</v>
      </c>
      <c r="E1073" s="37" t="s">
        <v>987</v>
      </c>
      <c r="YS1073" s="38" t="e">
        <f>RIGHT(CONCATENATE(0,#REF!),7)</f>
        <v>#REF!</v>
      </c>
    </row>
    <row r="1074" spans="1:669" hidden="1">
      <c r="A1074" s="35">
        <v>792</v>
      </c>
      <c r="B1074" s="38">
        <v>16</v>
      </c>
      <c r="C1074" s="37" t="s">
        <v>117</v>
      </c>
      <c r="D1074" s="37">
        <v>13</v>
      </c>
      <c r="E1074" s="37" t="s">
        <v>988</v>
      </c>
      <c r="YS1074" s="38" t="e">
        <f>RIGHT(CONCATENATE(0,#REF!),7)</f>
        <v>#REF!</v>
      </c>
    </row>
    <row r="1075" spans="1:669" hidden="1">
      <c r="A1075" s="35">
        <v>793</v>
      </c>
      <c r="B1075" s="38">
        <v>16</v>
      </c>
      <c r="C1075" s="37" t="s">
        <v>117</v>
      </c>
      <c r="D1075" s="37">
        <v>14</v>
      </c>
      <c r="E1075" s="37" t="s">
        <v>989</v>
      </c>
      <c r="YS1075" s="38" t="e">
        <f>RIGHT(CONCATENATE(0,#REF!),7)</f>
        <v>#REF!</v>
      </c>
    </row>
    <row r="1076" spans="1:669" hidden="1">
      <c r="A1076" s="35">
        <v>794</v>
      </c>
      <c r="B1076" s="38">
        <v>16</v>
      </c>
      <c r="C1076" s="37" t="s">
        <v>117</v>
      </c>
      <c r="D1076" s="37">
        <v>15</v>
      </c>
      <c r="E1076" s="37" t="s">
        <v>990</v>
      </c>
      <c r="YS1076" s="38" t="e">
        <f>RIGHT(CONCATENATE(0,#REF!),7)</f>
        <v>#REF!</v>
      </c>
    </row>
    <row r="1077" spans="1:669" hidden="1">
      <c r="A1077" s="35">
        <v>795</v>
      </c>
      <c r="B1077" s="38">
        <v>16</v>
      </c>
      <c r="C1077" s="37" t="s">
        <v>117</v>
      </c>
      <c r="D1077" s="37">
        <v>16</v>
      </c>
      <c r="E1077" s="37" t="s">
        <v>991</v>
      </c>
      <c r="YS1077" s="38" t="e">
        <f>RIGHT(CONCATENATE(0,#REF!),7)</f>
        <v>#REF!</v>
      </c>
    </row>
    <row r="1078" spans="1:669" hidden="1">
      <c r="A1078" s="35">
        <v>796</v>
      </c>
      <c r="B1078" s="38">
        <v>16</v>
      </c>
      <c r="C1078" s="37" t="s">
        <v>117</v>
      </c>
      <c r="D1078" s="37">
        <v>17</v>
      </c>
      <c r="E1078" s="37" t="s">
        <v>992</v>
      </c>
      <c r="YS1078" s="38" t="e">
        <f>RIGHT(CONCATENATE(0,#REF!),7)</f>
        <v>#REF!</v>
      </c>
    </row>
    <row r="1079" spans="1:669" hidden="1">
      <c r="A1079" s="35">
        <v>797</v>
      </c>
      <c r="B1079" s="38">
        <v>16</v>
      </c>
      <c r="C1079" s="37" t="s">
        <v>117</v>
      </c>
      <c r="D1079" s="37">
        <v>18</v>
      </c>
      <c r="E1079" s="37" t="s">
        <v>993</v>
      </c>
      <c r="YS1079" s="38" t="e">
        <f>RIGHT(CONCATENATE(0,#REF!),7)</f>
        <v>#REF!</v>
      </c>
    </row>
    <row r="1080" spans="1:669" hidden="1">
      <c r="A1080" s="35">
        <v>798</v>
      </c>
      <c r="B1080" s="38">
        <v>16</v>
      </c>
      <c r="C1080" s="37" t="s">
        <v>117</v>
      </c>
      <c r="D1080" s="37">
        <v>19</v>
      </c>
      <c r="E1080" s="37" t="s">
        <v>994</v>
      </c>
      <c r="YS1080" s="38" t="e">
        <f>RIGHT(CONCATENATE(0,#REF!),7)</f>
        <v>#REF!</v>
      </c>
    </row>
    <row r="1081" spans="1:669" hidden="1">
      <c r="A1081" s="35">
        <v>799</v>
      </c>
      <c r="B1081" s="38">
        <v>16</v>
      </c>
      <c r="C1081" s="37" t="s">
        <v>117</v>
      </c>
      <c r="D1081" s="37">
        <v>20</v>
      </c>
      <c r="E1081" s="37" t="s">
        <v>995</v>
      </c>
      <c r="YS1081" s="38" t="e">
        <f>RIGHT(CONCATENATE(0,#REF!),7)</f>
        <v>#REF!</v>
      </c>
    </row>
    <row r="1082" spans="1:669" hidden="1">
      <c r="A1082" s="35">
        <v>800</v>
      </c>
      <c r="B1082" s="38">
        <v>16</v>
      </c>
      <c r="C1082" s="37" t="s">
        <v>117</v>
      </c>
      <c r="D1082" s="37">
        <v>21</v>
      </c>
      <c r="E1082" s="37" t="s">
        <v>769</v>
      </c>
      <c r="YS1082" s="38" t="e">
        <f>RIGHT(CONCATENATE(0,#REF!),7)</f>
        <v>#REF!</v>
      </c>
    </row>
    <row r="1083" spans="1:669" hidden="1">
      <c r="A1083" s="35">
        <v>801</v>
      </c>
      <c r="B1083" s="38">
        <v>16</v>
      </c>
      <c r="C1083" s="37" t="s">
        <v>117</v>
      </c>
      <c r="D1083" s="37">
        <v>22</v>
      </c>
      <c r="E1083" s="37" t="s">
        <v>996</v>
      </c>
      <c r="YS1083" s="38" t="e">
        <f>RIGHT(CONCATENATE(0,#REF!),7)</f>
        <v>#REF!</v>
      </c>
    </row>
    <row r="1084" spans="1:669" hidden="1">
      <c r="A1084" s="35">
        <v>802</v>
      </c>
      <c r="B1084" s="38">
        <v>16</v>
      </c>
      <c r="C1084" s="37" t="s">
        <v>117</v>
      </c>
      <c r="D1084" s="37">
        <v>23</v>
      </c>
      <c r="E1084" s="37" t="s">
        <v>997</v>
      </c>
      <c r="YS1084" s="38" t="e">
        <f>RIGHT(CONCATENATE(0,#REF!),7)</f>
        <v>#REF!</v>
      </c>
    </row>
    <row r="1085" spans="1:669" hidden="1">
      <c r="A1085" s="35">
        <v>803</v>
      </c>
      <c r="B1085" s="38">
        <v>16</v>
      </c>
      <c r="C1085" s="37" t="s">
        <v>117</v>
      </c>
      <c r="D1085" s="37">
        <v>24</v>
      </c>
      <c r="E1085" s="37" t="s">
        <v>998</v>
      </c>
      <c r="YS1085" s="38" t="e">
        <f>RIGHT(CONCATENATE(0,#REF!),7)</f>
        <v>#REF!</v>
      </c>
    </row>
    <row r="1086" spans="1:669" hidden="1">
      <c r="A1086" s="35">
        <v>804</v>
      </c>
      <c r="B1086" s="38">
        <v>16</v>
      </c>
      <c r="C1086" s="37" t="s">
        <v>117</v>
      </c>
      <c r="D1086" s="37">
        <v>25</v>
      </c>
      <c r="E1086" s="37" t="s">
        <v>999</v>
      </c>
      <c r="YS1086" s="38" t="e">
        <f>RIGHT(CONCATENATE(0,#REF!),7)</f>
        <v>#REF!</v>
      </c>
    </row>
    <row r="1087" spans="1:669" hidden="1">
      <c r="A1087" s="35">
        <v>805</v>
      </c>
      <c r="B1087" s="38">
        <v>16</v>
      </c>
      <c r="C1087" s="37" t="s">
        <v>117</v>
      </c>
      <c r="D1087" s="37">
        <v>26</v>
      </c>
      <c r="E1087" s="37" t="s">
        <v>1000</v>
      </c>
      <c r="YS1087" s="38" t="e">
        <f>RIGHT(CONCATENATE(0,#REF!),7)</f>
        <v>#REF!</v>
      </c>
    </row>
    <row r="1088" spans="1:669" hidden="1">
      <c r="A1088" s="35">
        <v>806</v>
      </c>
      <c r="B1088" s="38">
        <v>16</v>
      </c>
      <c r="C1088" s="37" t="s">
        <v>117</v>
      </c>
      <c r="D1088" s="37">
        <v>27</v>
      </c>
      <c r="E1088" s="37" t="s">
        <v>1001</v>
      </c>
      <c r="YS1088" s="38" t="e">
        <f>RIGHT(CONCATENATE(0,#REF!),7)</f>
        <v>#REF!</v>
      </c>
    </row>
    <row r="1089" spans="1:669" hidden="1">
      <c r="A1089" s="35">
        <v>807</v>
      </c>
      <c r="B1089" s="38">
        <v>16</v>
      </c>
      <c r="C1089" s="37" t="s">
        <v>117</v>
      </c>
      <c r="D1089" s="37">
        <v>28</v>
      </c>
      <c r="E1089" s="37" t="s">
        <v>1002</v>
      </c>
      <c r="YS1089" s="38" t="e">
        <f>RIGHT(CONCATENATE(0,#REF!),7)</f>
        <v>#REF!</v>
      </c>
    </row>
    <row r="1090" spans="1:669" hidden="1">
      <c r="A1090" s="35">
        <v>808</v>
      </c>
      <c r="B1090" s="38">
        <v>16</v>
      </c>
      <c r="C1090" s="37" t="s">
        <v>117</v>
      </c>
      <c r="D1090" s="37">
        <v>29</v>
      </c>
      <c r="E1090" s="37" t="s">
        <v>1003</v>
      </c>
      <c r="YS1090" s="38" t="e">
        <f>RIGHT(CONCATENATE(0,#REF!),7)</f>
        <v>#REF!</v>
      </c>
    </row>
    <row r="1091" spans="1:669" hidden="1">
      <c r="A1091" s="35">
        <v>809</v>
      </c>
      <c r="B1091" s="38">
        <v>16</v>
      </c>
      <c r="C1091" s="37" t="s">
        <v>117</v>
      </c>
      <c r="D1091" s="37">
        <v>30</v>
      </c>
      <c r="E1091" s="37" t="s">
        <v>1004</v>
      </c>
      <c r="YS1091" s="38" t="e">
        <f>RIGHT(CONCATENATE(0,#REF!),7)</f>
        <v>#REF!</v>
      </c>
    </row>
    <row r="1092" spans="1:669" hidden="1">
      <c r="A1092" s="35">
        <v>810</v>
      </c>
      <c r="B1092" s="38">
        <v>16</v>
      </c>
      <c r="C1092" s="37" t="s">
        <v>117</v>
      </c>
      <c r="D1092" s="37">
        <v>31</v>
      </c>
      <c r="E1092" s="37" t="s">
        <v>1005</v>
      </c>
      <c r="YS1092" s="38" t="e">
        <f>RIGHT(CONCATENATE(0,#REF!),7)</f>
        <v>#REF!</v>
      </c>
    </row>
    <row r="1093" spans="1:669" hidden="1">
      <c r="A1093" s="35">
        <v>811</v>
      </c>
      <c r="B1093" s="38">
        <v>16</v>
      </c>
      <c r="C1093" s="37" t="s">
        <v>117</v>
      </c>
      <c r="D1093" s="37">
        <v>32</v>
      </c>
      <c r="E1093" s="37" t="s">
        <v>1006</v>
      </c>
      <c r="YS1093" s="38" t="e">
        <f>RIGHT(CONCATENATE(0,#REF!),7)</f>
        <v>#REF!</v>
      </c>
    </row>
    <row r="1094" spans="1:669" hidden="1">
      <c r="A1094" s="35">
        <v>812</v>
      </c>
      <c r="B1094" s="38">
        <v>16</v>
      </c>
      <c r="C1094" s="37" t="s">
        <v>117</v>
      </c>
      <c r="D1094" s="37">
        <v>33</v>
      </c>
      <c r="E1094" s="37" t="s">
        <v>184</v>
      </c>
      <c r="YS1094" s="38" t="e">
        <f>RIGHT(CONCATENATE(0,#REF!),7)</f>
        <v>#REF!</v>
      </c>
    </row>
    <row r="1095" spans="1:669" hidden="1">
      <c r="A1095" s="35">
        <v>813</v>
      </c>
      <c r="B1095" s="38">
        <v>16</v>
      </c>
      <c r="C1095" s="37" t="s">
        <v>117</v>
      </c>
      <c r="D1095" s="37">
        <v>34</v>
      </c>
      <c r="E1095" s="37" t="s">
        <v>1007</v>
      </c>
      <c r="YS1095" s="38" t="e">
        <f>RIGHT(CONCATENATE(0,#REF!),7)</f>
        <v>#REF!</v>
      </c>
    </row>
    <row r="1096" spans="1:669" hidden="1">
      <c r="A1096" s="35">
        <v>814</v>
      </c>
      <c r="B1096" s="38">
        <v>16</v>
      </c>
      <c r="C1096" s="37" t="s">
        <v>117</v>
      </c>
      <c r="D1096" s="37">
        <v>35</v>
      </c>
      <c r="E1096" s="37" t="s">
        <v>1008</v>
      </c>
      <c r="YS1096" s="38" t="e">
        <f>RIGHT(CONCATENATE(0,#REF!),7)</f>
        <v>#REF!</v>
      </c>
    </row>
    <row r="1097" spans="1:669" hidden="1">
      <c r="A1097" s="35">
        <v>815</v>
      </c>
      <c r="B1097" s="38">
        <v>16</v>
      </c>
      <c r="C1097" s="37" t="s">
        <v>117</v>
      </c>
      <c r="D1097" s="37">
        <v>36</v>
      </c>
      <c r="E1097" s="37" t="s">
        <v>1009</v>
      </c>
      <c r="YS1097" s="38" t="e">
        <f>RIGHT(CONCATENATE(0,#REF!),7)</f>
        <v>#REF!</v>
      </c>
    </row>
    <row r="1098" spans="1:669" hidden="1">
      <c r="A1098" s="35">
        <v>816</v>
      </c>
      <c r="B1098" s="38">
        <v>16</v>
      </c>
      <c r="C1098" s="37" t="s">
        <v>117</v>
      </c>
      <c r="D1098" s="37">
        <v>37</v>
      </c>
      <c r="E1098" s="37" t="s">
        <v>1010</v>
      </c>
      <c r="YS1098" s="38" t="e">
        <f>RIGHT(CONCATENATE(0,#REF!),7)</f>
        <v>#REF!</v>
      </c>
    </row>
    <row r="1099" spans="1:669" hidden="1">
      <c r="A1099" s="35">
        <v>817</v>
      </c>
      <c r="B1099" s="38">
        <v>17</v>
      </c>
      <c r="C1099" s="37" t="s">
        <v>120</v>
      </c>
      <c r="D1099" s="37">
        <v>1</v>
      </c>
      <c r="E1099" s="37" t="s">
        <v>1011</v>
      </c>
      <c r="YS1099" s="38" t="e">
        <f>RIGHT(CONCATENATE(0,#REF!),7)</f>
        <v>#REF!</v>
      </c>
    </row>
    <row r="1100" spans="1:669" hidden="1">
      <c r="A1100" s="35">
        <v>818</v>
      </c>
      <c r="B1100" s="38">
        <v>17</v>
      </c>
      <c r="C1100" s="37" t="s">
        <v>120</v>
      </c>
      <c r="D1100" s="37">
        <v>2</v>
      </c>
      <c r="E1100" s="37" t="s">
        <v>1012</v>
      </c>
      <c r="YS1100" s="38" t="e">
        <f>RIGHT(CONCATENATE(0,#REF!),7)</f>
        <v>#REF!</v>
      </c>
    </row>
    <row r="1101" spans="1:669" hidden="1">
      <c r="A1101" s="35">
        <v>819</v>
      </c>
      <c r="B1101" s="38">
        <v>17</v>
      </c>
      <c r="C1101" s="37" t="s">
        <v>120</v>
      </c>
      <c r="D1101" s="37">
        <v>3</v>
      </c>
      <c r="E1101" s="37" t="s">
        <v>1013</v>
      </c>
      <c r="YS1101" s="38" t="e">
        <f>RIGHT(CONCATENATE(0,#REF!),7)</f>
        <v>#REF!</v>
      </c>
    </row>
    <row r="1102" spans="1:669" hidden="1">
      <c r="A1102" s="35">
        <v>820</v>
      </c>
      <c r="B1102" s="38">
        <v>17</v>
      </c>
      <c r="C1102" s="37" t="s">
        <v>120</v>
      </c>
      <c r="D1102" s="37">
        <v>4</v>
      </c>
      <c r="E1102" s="37" t="s">
        <v>203</v>
      </c>
      <c r="YS1102" s="38" t="e">
        <f>RIGHT(CONCATENATE(0,#REF!),7)</f>
        <v>#REF!</v>
      </c>
    </row>
    <row r="1103" spans="1:669" hidden="1">
      <c r="A1103" s="35">
        <v>821</v>
      </c>
      <c r="B1103" s="38">
        <v>17</v>
      </c>
      <c r="C1103" s="37" t="s">
        <v>120</v>
      </c>
      <c r="D1103" s="37">
        <v>5</v>
      </c>
      <c r="E1103" s="37" t="s">
        <v>1014</v>
      </c>
      <c r="YS1103" s="38" t="e">
        <f>RIGHT(CONCATENATE(0,#REF!),7)</f>
        <v>#REF!</v>
      </c>
    </row>
    <row r="1104" spans="1:669" hidden="1">
      <c r="A1104" s="35">
        <v>822</v>
      </c>
      <c r="B1104" s="38">
        <v>17</v>
      </c>
      <c r="C1104" s="37" t="s">
        <v>120</v>
      </c>
      <c r="D1104" s="37">
        <v>6</v>
      </c>
      <c r="E1104" s="37" t="s">
        <v>1015</v>
      </c>
      <c r="YS1104" s="38" t="e">
        <f>RIGHT(CONCATENATE(0,#REF!),7)</f>
        <v>#REF!</v>
      </c>
    </row>
    <row r="1105" spans="1:669" hidden="1">
      <c r="A1105" s="35">
        <v>823</v>
      </c>
      <c r="B1105" s="38">
        <v>17</v>
      </c>
      <c r="C1105" s="37" t="s">
        <v>120</v>
      </c>
      <c r="D1105" s="37">
        <v>7</v>
      </c>
      <c r="E1105" s="37" t="s">
        <v>1016</v>
      </c>
      <c r="YS1105" s="38" t="e">
        <f>RIGHT(CONCATENATE(0,#REF!),7)</f>
        <v>#REF!</v>
      </c>
    </row>
    <row r="1106" spans="1:669" hidden="1">
      <c r="A1106" s="35">
        <v>824</v>
      </c>
      <c r="B1106" s="38">
        <v>17</v>
      </c>
      <c r="C1106" s="37" t="s">
        <v>120</v>
      </c>
      <c r="D1106" s="37">
        <v>8</v>
      </c>
      <c r="E1106" s="37" t="s">
        <v>1017</v>
      </c>
      <c r="YS1106" s="38" t="e">
        <f>RIGHT(CONCATENATE(0,#REF!),7)</f>
        <v>#REF!</v>
      </c>
    </row>
    <row r="1107" spans="1:669" hidden="1">
      <c r="A1107" s="35">
        <v>825</v>
      </c>
      <c r="B1107" s="38">
        <v>17</v>
      </c>
      <c r="C1107" s="37" t="s">
        <v>120</v>
      </c>
      <c r="D1107" s="37">
        <v>9</v>
      </c>
      <c r="E1107" s="37" t="s">
        <v>1018</v>
      </c>
      <c r="YS1107" s="38" t="e">
        <f>RIGHT(CONCATENATE(0,#REF!),7)</f>
        <v>#REF!</v>
      </c>
    </row>
    <row r="1108" spans="1:669" hidden="1">
      <c r="A1108" s="35">
        <v>826</v>
      </c>
      <c r="B1108" s="38">
        <v>17</v>
      </c>
      <c r="C1108" s="37" t="s">
        <v>120</v>
      </c>
      <c r="D1108" s="37">
        <v>10</v>
      </c>
      <c r="E1108" s="37" t="s">
        <v>1019</v>
      </c>
      <c r="YS1108" s="38" t="e">
        <f>RIGHT(CONCATENATE(0,#REF!),7)</f>
        <v>#REF!</v>
      </c>
    </row>
    <row r="1109" spans="1:669" hidden="1">
      <c r="A1109" s="35">
        <v>827</v>
      </c>
      <c r="B1109" s="38">
        <v>17</v>
      </c>
      <c r="C1109" s="37" t="s">
        <v>120</v>
      </c>
      <c r="D1109" s="37">
        <v>11</v>
      </c>
      <c r="E1109" s="37" t="s">
        <v>1020</v>
      </c>
      <c r="YS1109" s="38" t="e">
        <f>RIGHT(CONCATENATE(0,#REF!),7)</f>
        <v>#REF!</v>
      </c>
    </row>
    <row r="1110" spans="1:669" hidden="1">
      <c r="A1110" s="35">
        <v>828</v>
      </c>
      <c r="B1110" s="38">
        <v>17</v>
      </c>
      <c r="C1110" s="37" t="s">
        <v>120</v>
      </c>
      <c r="D1110" s="37">
        <v>12</v>
      </c>
      <c r="E1110" s="37" t="s">
        <v>1021</v>
      </c>
      <c r="YS1110" s="38" t="e">
        <f>RIGHT(CONCATENATE(0,#REF!),7)</f>
        <v>#REF!</v>
      </c>
    </row>
    <row r="1111" spans="1:669" hidden="1">
      <c r="A1111" s="35">
        <v>829</v>
      </c>
      <c r="B1111" s="38">
        <v>17</v>
      </c>
      <c r="C1111" s="37" t="s">
        <v>120</v>
      </c>
      <c r="D1111" s="37">
        <v>13</v>
      </c>
      <c r="E1111" s="37" t="s">
        <v>1022</v>
      </c>
      <c r="YS1111" s="38" t="e">
        <f>RIGHT(CONCATENATE(0,#REF!),7)</f>
        <v>#REF!</v>
      </c>
    </row>
    <row r="1112" spans="1:669" hidden="1">
      <c r="A1112" s="35">
        <v>830</v>
      </c>
      <c r="B1112" s="38">
        <v>17</v>
      </c>
      <c r="C1112" s="37" t="s">
        <v>120</v>
      </c>
      <c r="D1112" s="37">
        <v>14</v>
      </c>
      <c r="E1112" s="37" t="s">
        <v>1023</v>
      </c>
      <c r="YS1112" s="38" t="e">
        <f>RIGHT(CONCATENATE(0,#REF!),7)</f>
        <v>#REF!</v>
      </c>
    </row>
    <row r="1113" spans="1:669" hidden="1">
      <c r="A1113" s="35">
        <v>831</v>
      </c>
      <c r="B1113" s="38">
        <v>17</v>
      </c>
      <c r="C1113" s="37" t="s">
        <v>120</v>
      </c>
      <c r="D1113" s="37">
        <v>15</v>
      </c>
      <c r="E1113" s="37" t="s">
        <v>1024</v>
      </c>
      <c r="YS1113" s="38" t="e">
        <f>RIGHT(CONCATENATE(0,#REF!),7)</f>
        <v>#REF!</v>
      </c>
    </row>
    <row r="1114" spans="1:669" hidden="1">
      <c r="A1114" s="35">
        <v>832</v>
      </c>
      <c r="B1114" s="38">
        <v>17</v>
      </c>
      <c r="C1114" s="37" t="s">
        <v>120</v>
      </c>
      <c r="D1114" s="37">
        <v>16</v>
      </c>
      <c r="E1114" s="37" t="s">
        <v>1025</v>
      </c>
      <c r="YS1114" s="38" t="e">
        <f>RIGHT(CONCATENATE(0,#REF!),7)</f>
        <v>#REF!</v>
      </c>
    </row>
    <row r="1115" spans="1:669" hidden="1">
      <c r="A1115" s="35">
        <v>833</v>
      </c>
      <c r="B1115" s="38">
        <v>17</v>
      </c>
      <c r="C1115" s="37" t="s">
        <v>120</v>
      </c>
      <c r="D1115" s="37">
        <v>17</v>
      </c>
      <c r="E1115" s="37" t="s">
        <v>1026</v>
      </c>
      <c r="YS1115" s="38" t="e">
        <f>RIGHT(CONCATENATE(0,#REF!),7)</f>
        <v>#REF!</v>
      </c>
    </row>
    <row r="1116" spans="1:669" hidden="1">
      <c r="A1116" s="35">
        <v>834</v>
      </c>
      <c r="B1116" s="38">
        <v>17</v>
      </c>
      <c r="C1116" s="37" t="s">
        <v>120</v>
      </c>
      <c r="D1116" s="37">
        <v>18</v>
      </c>
      <c r="E1116" s="37" t="s">
        <v>1027</v>
      </c>
      <c r="YS1116" s="38" t="e">
        <f>RIGHT(CONCATENATE(0,#REF!),7)</f>
        <v>#REF!</v>
      </c>
    </row>
    <row r="1117" spans="1:669" hidden="1">
      <c r="A1117" s="35">
        <v>835</v>
      </c>
      <c r="B1117" s="38">
        <v>17</v>
      </c>
      <c r="C1117" s="37" t="s">
        <v>120</v>
      </c>
      <c r="D1117" s="37">
        <v>19</v>
      </c>
      <c r="E1117" s="37" t="s">
        <v>1028</v>
      </c>
      <c r="YS1117" s="38" t="e">
        <f>RIGHT(CONCATENATE(0,#REF!),7)</f>
        <v>#REF!</v>
      </c>
    </row>
    <row r="1118" spans="1:669" hidden="1">
      <c r="A1118" s="35">
        <v>836</v>
      </c>
      <c r="B1118" s="38">
        <v>17</v>
      </c>
      <c r="C1118" s="37" t="s">
        <v>120</v>
      </c>
      <c r="D1118" s="37">
        <v>20</v>
      </c>
      <c r="E1118" s="37" t="s">
        <v>1029</v>
      </c>
      <c r="YS1118" s="38" t="e">
        <f>RIGHT(CONCATENATE(0,#REF!),7)</f>
        <v>#REF!</v>
      </c>
    </row>
    <row r="1119" spans="1:669" hidden="1">
      <c r="A1119" s="35">
        <v>837</v>
      </c>
      <c r="B1119" s="38">
        <v>17</v>
      </c>
      <c r="C1119" s="37" t="s">
        <v>120</v>
      </c>
      <c r="D1119" s="37">
        <v>21</v>
      </c>
      <c r="E1119" s="37" t="s">
        <v>1030</v>
      </c>
      <c r="YS1119" s="38" t="e">
        <f>RIGHT(CONCATENATE(0,#REF!),7)</f>
        <v>#REF!</v>
      </c>
    </row>
    <row r="1120" spans="1:669" hidden="1">
      <c r="A1120" s="35">
        <v>838</v>
      </c>
      <c r="B1120" s="38">
        <v>17</v>
      </c>
      <c r="C1120" s="37" t="s">
        <v>120</v>
      </c>
      <c r="D1120" s="37">
        <v>22</v>
      </c>
      <c r="E1120" s="37" t="s">
        <v>1031</v>
      </c>
      <c r="YS1120" s="38" t="e">
        <f>RIGHT(CONCATENATE(0,#REF!),7)</f>
        <v>#REF!</v>
      </c>
    </row>
    <row r="1121" spans="1:669" hidden="1">
      <c r="A1121" s="35">
        <v>839</v>
      </c>
      <c r="B1121" s="38">
        <v>17</v>
      </c>
      <c r="C1121" s="37" t="s">
        <v>120</v>
      </c>
      <c r="D1121" s="37">
        <v>23</v>
      </c>
      <c r="E1121" s="37" t="s">
        <v>1032</v>
      </c>
      <c r="YS1121" s="38" t="e">
        <f>RIGHT(CONCATENATE(0,#REF!),7)</f>
        <v>#REF!</v>
      </c>
    </row>
    <row r="1122" spans="1:669" hidden="1">
      <c r="A1122" s="35">
        <v>840</v>
      </c>
      <c r="B1122" s="38">
        <v>17</v>
      </c>
      <c r="C1122" s="37" t="s">
        <v>120</v>
      </c>
      <c r="D1122" s="37">
        <v>24</v>
      </c>
      <c r="E1122" s="37" t="s">
        <v>1033</v>
      </c>
      <c r="YS1122" s="38" t="e">
        <f>RIGHT(CONCATENATE(0,#REF!),7)</f>
        <v>#REF!</v>
      </c>
    </row>
    <row r="1123" spans="1:669" hidden="1">
      <c r="A1123" s="35">
        <v>841</v>
      </c>
      <c r="B1123" s="38">
        <v>17</v>
      </c>
      <c r="C1123" s="37" t="s">
        <v>120</v>
      </c>
      <c r="D1123" s="37">
        <v>25</v>
      </c>
      <c r="E1123" s="37" t="s">
        <v>1034</v>
      </c>
      <c r="YS1123" s="38" t="e">
        <f>RIGHT(CONCATENATE(0,#REF!),7)</f>
        <v>#REF!</v>
      </c>
    </row>
    <row r="1124" spans="1:669" hidden="1">
      <c r="A1124" s="35">
        <v>842</v>
      </c>
      <c r="B1124" s="38">
        <v>17</v>
      </c>
      <c r="C1124" s="37" t="s">
        <v>120</v>
      </c>
      <c r="D1124" s="37">
        <v>26</v>
      </c>
      <c r="E1124" s="37" t="s">
        <v>1035</v>
      </c>
      <c r="YS1124" s="38" t="e">
        <f>RIGHT(CONCATENATE(0,#REF!),7)</f>
        <v>#REF!</v>
      </c>
    </row>
    <row r="1125" spans="1:669" hidden="1">
      <c r="A1125" s="35">
        <v>843</v>
      </c>
      <c r="B1125" s="38">
        <v>17</v>
      </c>
      <c r="C1125" s="37" t="s">
        <v>120</v>
      </c>
      <c r="D1125" s="37">
        <v>27</v>
      </c>
      <c r="E1125" s="37" t="s">
        <v>1036</v>
      </c>
      <c r="YS1125" s="38" t="e">
        <f>RIGHT(CONCATENATE(0,#REF!),7)</f>
        <v>#REF!</v>
      </c>
    </row>
    <row r="1126" spans="1:669" hidden="1">
      <c r="A1126" s="35">
        <v>844</v>
      </c>
      <c r="B1126" s="38">
        <v>17</v>
      </c>
      <c r="C1126" s="37" t="s">
        <v>120</v>
      </c>
      <c r="D1126" s="37">
        <v>28</v>
      </c>
      <c r="E1126" s="37" t="s">
        <v>1037</v>
      </c>
      <c r="YS1126" s="38" t="e">
        <f>RIGHT(CONCATENATE(0,#REF!),7)</f>
        <v>#REF!</v>
      </c>
    </row>
    <row r="1127" spans="1:669" hidden="1">
      <c r="A1127" s="35">
        <v>845</v>
      </c>
      <c r="B1127" s="38">
        <v>17</v>
      </c>
      <c r="C1127" s="37" t="s">
        <v>120</v>
      </c>
      <c r="D1127" s="37">
        <v>29</v>
      </c>
      <c r="E1127" s="37" t="s">
        <v>1038</v>
      </c>
      <c r="YS1127" s="38" t="e">
        <f>RIGHT(CONCATENATE(0,#REF!),7)</f>
        <v>#REF!</v>
      </c>
    </row>
    <row r="1128" spans="1:669" hidden="1">
      <c r="A1128" s="35">
        <v>846</v>
      </c>
      <c r="B1128" s="38">
        <v>17</v>
      </c>
      <c r="C1128" s="37" t="s">
        <v>120</v>
      </c>
      <c r="D1128" s="37">
        <v>30</v>
      </c>
      <c r="E1128" s="37" t="s">
        <v>1039</v>
      </c>
      <c r="YS1128" s="38" t="e">
        <f>RIGHT(CONCATENATE(0,#REF!),7)</f>
        <v>#REF!</v>
      </c>
    </row>
    <row r="1129" spans="1:669" hidden="1">
      <c r="A1129" s="35">
        <v>847</v>
      </c>
      <c r="B1129" s="38">
        <v>17</v>
      </c>
      <c r="C1129" s="37" t="s">
        <v>120</v>
      </c>
      <c r="D1129" s="37">
        <v>31</v>
      </c>
      <c r="E1129" s="37" t="s">
        <v>1040</v>
      </c>
      <c r="YS1129" s="38" t="e">
        <f>RIGHT(CONCATENATE(0,#REF!),7)</f>
        <v>#REF!</v>
      </c>
    </row>
    <row r="1130" spans="1:669" hidden="1">
      <c r="A1130" s="35">
        <v>848</v>
      </c>
      <c r="B1130" s="38">
        <v>17</v>
      </c>
      <c r="C1130" s="37" t="s">
        <v>120</v>
      </c>
      <c r="D1130" s="37">
        <v>32</v>
      </c>
      <c r="E1130" s="37" t="s">
        <v>1041</v>
      </c>
      <c r="YS1130" s="38" t="e">
        <f>RIGHT(CONCATENATE(0,#REF!),7)</f>
        <v>#REF!</v>
      </c>
    </row>
    <row r="1131" spans="1:669" hidden="1">
      <c r="A1131" s="35">
        <v>849</v>
      </c>
      <c r="B1131" s="38">
        <v>17</v>
      </c>
      <c r="C1131" s="37" t="s">
        <v>120</v>
      </c>
      <c r="D1131" s="37">
        <v>33</v>
      </c>
      <c r="E1131" s="37" t="s">
        <v>1042</v>
      </c>
      <c r="YS1131" s="38" t="e">
        <f>RIGHT(CONCATENATE(0,#REF!),7)</f>
        <v>#REF!</v>
      </c>
    </row>
    <row r="1132" spans="1:669" hidden="1">
      <c r="A1132" s="35">
        <v>850</v>
      </c>
      <c r="B1132" s="38">
        <v>17</v>
      </c>
      <c r="C1132" s="37" t="s">
        <v>120</v>
      </c>
      <c r="D1132" s="37">
        <v>34</v>
      </c>
      <c r="E1132" s="37" t="s">
        <v>1043</v>
      </c>
      <c r="YS1132" s="38" t="e">
        <f>RIGHT(CONCATENATE(0,#REF!),7)</f>
        <v>#REF!</v>
      </c>
    </row>
    <row r="1133" spans="1:669" hidden="1">
      <c r="A1133" s="35">
        <v>851</v>
      </c>
      <c r="B1133" s="38">
        <v>17</v>
      </c>
      <c r="C1133" s="37" t="s">
        <v>120</v>
      </c>
      <c r="D1133" s="37">
        <v>35</v>
      </c>
      <c r="E1133" s="37" t="s">
        <v>1044</v>
      </c>
      <c r="YS1133" s="38" t="e">
        <f>RIGHT(CONCATENATE(0,#REF!),7)</f>
        <v>#REF!</v>
      </c>
    </row>
    <row r="1134" spans="1:669" hidden="1">
      <c r="A1134" s="35">
        <v>852</v>
      </c>
      <c r="B1134" s="38">
        <v>17</v>
      </c>
      <c r="C1134" s="37" t="s">
        <v>120</v>
      </c>
      <c r="D1134" s="37">
        <v>36</v>
      </c>
      <c r="E1134" s="37" t="s">
        <v>1045</v>
      </c>
      <c r="YS1134" s="38" t="e">
        <f>RIGHT(CONCATENATE(0,#REF!),7)</f>
        <v>#REF!</v>
      </c>
    </row>
    <row r="1135" spans="1:669" hidden="1">
      <c r="A1135" s="35">
        <v>853</v>
      </c>
      <c r="B1135" s="38">
        <v>17</v>
      </c>
      <c r="C1135" s="37" t="s">
        <v>120</v>
      </c>
      <c r="D1135" s="37">
        <v>37</v>
      </c>
      <c r="E1135" s="37" t="s">
        <v>1046</v>
      </c>
      <c r="YS1135" s="38" t="e">
        <f>RIGHT(CONCATENATE(0,#REF!),7)</f>
        <v>#REF!</v>
      </c>
    </row>
    <row r="1136" spans="1:669" hidden="1">
      <c r="A1136" s="35">
        <v>854</v>
      </c>
      <c r="B1136" s="38">
        <v>17</v>
      </c>
      <c r="C1136" s="37" t="s">
        <v>120</v>
      </c>
      <c r="D1136" s="37">
        <v>38</v>
      </c>
      <c r="E1136" s="37" t="s">
        <v>1047</v>
      </c>
      <c r="YS1136" s="38" t="e">
        <f>RIGHT(CONCATENATE(0,#REF!),7)</f>
        <v>#REF!</v>
      </c>
    </row>
    <row r="1137" spans="1:669" hidden="1">
      <c r="A1137" s="35">
        <v>855</v>
      </c>
      <c r="B1137" s="38">
        <v>17</v>
      </c>
      <c r="C1137" s="37" t="s">
        <v>120</v>
      </c>
      <c r="D1137" s="37">
        <v>39</v>
      </c>
      <c r="E1137" s="37" t="s">
        <v>1048</v>
      </c>
      <c r="YS1137" s="38" t="e">
        <f>RIGHT(CONCATENATE(0,#REF!),7)</f>
        <v>#REF!</v>
      </c>
    </row>
    <row r="1138" spans="1:669" hidden="1">
      <c r="A1138" s="35">
        <v>856</v>
      </c>
      <c r="B1138" s="38">
        <v>17</v>
      </c>
      <c r="C1138" s="37" t="s">
        <v>120</v>
      </c>
      <c r="D1138" s="37">
        <v>40</v>
      </c>
      <c r="E1138" s="37" t="s">
        <v>1049</v>
      </c>
      <c r="YS1138" s="38" t="e">
        <f>RIGHT(CONCATENATE(0,#REF!),7)</f>
        <v>#REF!</v>
      </c>
    </row>
    <row r="1139" spans="1:669" hidden="1">
      <c r="A1139" s="35">
        <v>857</v>
      </c>
      <c r="B1139" s="38">
        <v>17</v>
      </c>
      <c r="C1139" s="37" t="s">
        <v>120</v>
      </c>
      <c r="D1139" s="37">
        <v>41</v>
      </c>
      <c r="E1139" s="37" t="s">
        <v>1050</v>
      </c>
      <c r="YS1139" s="38" t="e">
        <f>RIGHT(CONCATENATE(0,#REF!),7)</f>
        <v>#REF!</v>
      </c>
    </row>
    <row r="1140" spans="1:669" hidden="1">
      <c r="A1140" s="35">
        <v>858</v>
      </c>
      <c r="B1140" s="38">
        <v>17</v>
      </c>
      <c r="C1140" s="37" t="s">
        <v>120</v>
      </c>
      <c r="D1140" s="37">
        <v>42</v>
      </c>
      <c r="E1140" s="37" t="s">
        <v>1051</v>
      </c>
      <c r="YS1140" s="38" t="e">
        <f>RIGHT(CONCATENATE(0,#REF!),7)</f>
        <v>#REF!</v>
      </c>
    </row>
    <row r="1141" spans="1:669" hidden="1">
      <c r="A1141" s="35">
        <v>859</v>
      </c>
      <c r="B1141" s="38">
        <v>17</v>
      </c>
      <c r="C1141" s="37" t="s">
        <v>120</v>
      </c>
      <c r="D1141" s="37">
        <v>43</v>
      </c>
      <c r="E1141" s="37" t="s">
        <v>1052</v>
      </c>
      <c r="YS1141" s="38" t="e">
        <f>RIGHT(CONCATENATE(0,#REF!),7)</f>
        <v>#REF!</v>
      </c>
    </row>
    <row r="1142" spans="1:669" hidden="1">
      <c r="A1142" s="35">
        <v>860</v>
      </c>
      <c r="B1142" s="38">
        <v>17</v>
      </c>
      <c r="C1142" s="37" t="s">
        <v>120</v>
      </c>
      <c r="D1142" s="37">
        <v>44</v>
      </c>
      <c r="E1142" s="37" t="s">
        <v>1053</v>
      </c>
      <c r="YS1142" s="38" t="e">
        <f>RIGHT(CONCATENATE(0,#REF!),7)</f>
        <v>#REF!</v>
      </c>
    </row>
    <row r="1143" spans="1:669" hidden="1">
      <c r="A1143" s="35">
        <v>861</v>
      </c>
      <c r="B1143" s="38">
        <v>17</v>
      </c>
      <c r="C1143" s="37" t="s">
        <v>120</v>
      </c>
      <c r="D1143" s="37">
        <v>45</v>
      </c>
      <c r="E1143" s="37" t="s">
        <v>1054</v>
      </c>
      <c r="YS1143" s="38" t="e">
        <f>RIGHT(CONCATENATE(0,#REF!),7)</f>
        <v>#REF!</v>
      </c>
    </row>
    <row r="1144" spans="1:669" hidden="1">
      <c r="A1144" s="35">
        <v>862</v>
      </c>
      <c r="B1144" s="38">
        <v>17</v>
      </c>
      <c r="C1144" s="37" t="s">
        <v>120</v>
      </c>
      <c r="D1144" s="37">
        <v>46</v>
      </c>
      <c r="E1144" s="37" t="s">
        <v>1055</v>
      </c>
      <c r="YS1144" s="38" t="e">
        <f>RIGHT(CONCATENATE(0,#REF!),7)</f>
        <v>#REF!</v>
      </c>
    </row>
    <row r="1145" spans="1:669" hidden="1">
      <c r="A1145" s="35">
        <v>863</v>
      </c>
      <c r="B1145" s="38">
        <v>18</v>
      </c>
      <c r="C1145" s="37" t="s">
        <v>123</v>
      </c>
      <c r="D1145" s="37">
        <v>1</v>
      </c>
      <c r="E1145" s="37" t="s">
        <v>1056</v>
      </c>
      <c r="YS1145" s="38" t="e">
        <f>RIGHT(CONCATENATE(0,#REF!),7)</f>
        <v>#REF!</v>
      </c>
    </row>
    <row r="1146" spans="1:669" hidden="1">
      <c r="A1146" s="35">
        <v>864</v>
      </c>
      <c r="B1146" s="38">
        <v>18</v>
      </c>
      <c r="C1146" s="37" t="s">
        <v>123</v>
      </c>
      <c r="D1146" s="37">
        <v>2</v>
      </c>
      <c r="E1146" s="37" t="s">
        <v>1057</v>
      </c>
      <c r="YS1146" s="38" t="e">
        <f>RIGHT(CONCATENATE(0,#REF!),7)</f>
        <v>#REF!</v>
      </c>
    </row>
    <row r="1147" spans="1:669" hidden="1">
      <c r="A1147" s="35">
        <v>865</v>
      </c>
      <c r="B1147" s="38">
        <v>18</v>
      </c>
      <c r="C1147" s="37" t="s">
        <v>123</v>
      </c>
      <c r="D1147" s="37">
        <v>3</v>
      </c>
      <c r="E1147" s="37" t="s">
        <v>1058</v>
      </c>
      <c r="YS1147" s="38" t="e">
        <f>RIGHT(CONCATENATE(0,#REF!),7)</f>
        <v>#REF!</v>
      </c>
    </row>
    <row r="1148" spans="1:669" hidden="1">
      <c r="A1148" s="35">
        <v>866</v>
      </c>
      <c r="B1148" s="38">
        <v>18</v>
      </c>
      <c r="C1148" s="37" t="s">
        <v>123</v>
      </c>
      <c r="D1148" s="37">
        <v>4</v>
      </c>
      <c r="E1148" s="37" t="s">
        <v>1059</v>
      </c>
      <c r="YS1148" s="38" t="e">
        <f>RIGHT(CONCATENATE(0,#REF!),7)</f>
        <v>#REF!</v>
      </c>
    </row>
    <row r="1149" spans="1:669" hidden="1">
      <c r="A1149" s="35">
        <v>867</v>
      </c>
      <c r="B1149" s="38">
        <v>18</v>
      </c>
      <c r="C1149" s="37" t="s">
        <v>123</v>
      </c>
      <c r="D1149" s="37">
        <v>5</v>
      </c>
      <c r="E1149" s="37" t="s">
        <v>1060</v>
      </c>
      <c r="YS1149" s="38" t="e">
        <f>RIGHT(CONCATENATE(0,#REF!),7)</f>
        <v>#REF!</v>
      </c>
    </row>
    <row r="1150" spans="1:669" hidden="1">
      <c r="A1150" s="35">
        <v>868</v>
      </c>
      <c r="B1150" s="38">
        <v>18</v>
      </c>
      <c r="C1150" s="37" t="s">
        <v>123</v>
      </c>
      <c r="D1150" s="37">
        <v>6</v>
      </c>
      <c r="E1150" s="37" t="s">
        <v>1061</v>
      </c>
      <c r="YS1150" s="38" t="e">
        <f>RIGHT(CONCATENATE(0,#REF!),7)</f>
        <v>#REF!</v>
      </c>
    </row>
    <row r="1151" spans="1:669" hidden="1">
      <c r="A1151" s="35">
        <v>869</v>
      </c>
      <c r="B1151" s="38">
        <v>18</v>
      </c>
      <c r="C1151" s="37" t="s">
        <v>123</v>
      </c>
      <c r="D1151" s="37">
        <v>7</v>
      </c>
      <c r="E1151" s="37" t="s">
        <v>1062</v>
      </c>
      <c r="YS1151" s="38" t="e">
        <f>RIGHT(CONCATENATE(0,#REF!),7)</f>
        <v>#REF!</v>
      </c>
    </row>
    <row r="1152" spans="1:669" hidden="1">
      <c r="A1152" s="35">
        <v>870</v>
      </c>
      <c r="B1152" s="38">
        <v>18</v>
      </c>
      <c r="C1152" s="37" t="s">
        <v>123</v>
      </c>
      <c r="D1152" s="37">
        <v>8</v>
      </c>
      <c r="E1152" s="37" t="s">
        <v>1063</v>
      </c>
      <c r="YS1152" s="38" t="e">
        <f>RIGHT(CONCATENATE(0,#REF!),7)</f>
        <v>#REF!</v>
      </c>
    </row>
    <row r="1153" spans="1:669" hidden="1">
      <c r="A1153" s="35">
        <v>871</v>
      </c>
      <c r="B1153" s="38">
        <v>18</v>
      </c>
      <c r="C1153" s="37" t="s">
        <v>123</v>
      </c>
      <c r="D1153" s="37">
        <v>9</v>
      </c>
      <c r="E1153" s="37" t="s">
        <v>1064</v>
      </c>
      <c r="YS1153" s="38" t="e">
        <f>RIGHT(CONCATENATE(0,#REF!),7)</f>
        <v>#REF!</v>
      </c>
    </row>
    <row r="1154" spans="1:669" hidden="1">
      <c r="A1154" s="35">
        <v>872</v>
      </c>
      <c r="B1154" s="38">
        <v>18</v>
      </c>
      <c r="C1154" s="37" t="s">
        <v>123</v>
      </c>
      <c r="D1154" s="37">
        <v>10</v>
      </c>
      <c r="E1154" s="37" t="s">
        <v>1065</v>
      </c>
      <c r="YS1154" s="38" t="e">
        <f>RIGHT(CONCATENATE(0,#REF!),7)</f>
        <v>#REF!</v>
      </c>
    </row>
    <row r="1155" spans="1:669" hidden="1">
      <c r="A1155" s="35">
        <v>873</v>
      </c>
      <c r="B1155" s="38">
        <v>18</v>
      </c>
      <c r="C1155" s="37" t="s">
        <v>123</v>
      </c>
      <c r="D1155" s="37">
        <v>11</v>
      </c>
      <c r="E1155" s="37" t="s">
        <v>1066</v>
      </c>
      <c r="YS1155" s="38" t="e">
        <f>RIGHT(CONCATENATE(0,#REF!),7)</f>
        <v>#REF!</v>
      </c>
    </row>
    <row r="1156" spans="1:669" hidden="1">
      <c r="A1156" s="35">
        <v>874</v>
      </c>
      <c r="B1156" s="38">
        <v>18</v>
      </c>
      <c r="C1156" s="37" t="s">
        <v>123</v>
      </c>
      <c r="D1156" s="37">
        <v>12</v>
      </c>
      <c r="E1156" s="37" t="s">
        <v>1067</v>
      </c>
      <c r="YS1156" s="38" t="e">
        <f>RIGHT(CONCATENATE(0,#REF!),7)</f>
        <v>#REF!</v>
      </c>
    </row>
    <row r="1157" spans="1:669" hidden="1">
      <c r="A1157" s="35">
        <v>875</v>
      </c>
      <c r="B1157" s="38">
        <v>18</v>
      </c>
      <c r="C1157" s="37" t="s">
        <v>123</v>
      </c>
      <c r="D1157" s="37">
        <v>13</v>
      </c>
      <c r="E1157" s="37" t="s">
        <v>1068</v>
      </c>
      <c r="YS1157" s="38" t="e">
        <f>RIGHT(CONCATENATE(0,#REF!),7)</f>
        <v>#REF!</v>
      </c>
    </row>
    <row r="1158" spans="1:669" hidden="1">
      <c r="A1158" s="35">
        <v>876</v>
      </c>
      <c r="B1158" s="38">
        <v>18</v>
      </c>
      <c r="C1158" s="37" t="s">
        <v>123</v>
      </c>
      <c r="D1158" s="37">
        <v>14</v>
      </c>
      <c r="E1158" s="37" t="s">
        <v>1069</v>
      </c>
      <c r="YS1158" s="38" t="e">
        <f>RIGHT(CONCATENATE(0,#REF!),7)</f>
        <v>#REF!</v>
      </c>
    </row>
    <row r="1159" spans="1:669" hidden="1">
      <c r="A1159" s="35">
        <v>877</v>
      </c>
      <c r="B1159" s="38">
        <v>18</v>
      </c>
      <c r="C1159" s="37" t="s">
        <v>123</v>
      </c>
      <c r="D1159" s="37">
        <v>15</v>
      </c>
      <c r="E1159" s="37" t="s">
        <v>1070</v>
      </c>
      <c r="YS1159" s="38" t="e">
        <f>RIGHT(CONCATENATE(0,#REF!),7)</f>
        <v>#REF!</v>
      </c>
    </row>
    <row r="1160" spans="1:669" hidden="1">
      <c r="A1160" s="35">
        <v>878</v>
      </c>
      <c r="B1160" s="38">
        <v>18</v>
      </c>
      <c r="C1160" s="37" t="s">
        <v>123</v>
      </c>
      <c r="D1160" s="37">
        <v>16</v>
      </c>
      <c r="E1160" s="37" t="s">
        <v>1071</v>
      </c>
      <c r="YS1160" s="38" t="e">
        <f>RIGHT(CONCATENATE(0,#REF!),7)</f>
        <v>#REF!</v>
      </c>
    </row>
    <row r="1161" spans="1:669" hidden="1">
      <c r="A1161" s="35">
        <v>879</v>
      </c>
      <c r="B1161" s="38">
        <v>18</v>
      </c>
      <c r="C1161" s="37" t="s">
        <v>123</v>
      </c>
      <c r="D1161" s="37">
        <v>17</v>
      </c>
      <c r="E1161" s="37" t="s">
        <v>1072</v>
      </c>
      <c r="YS1161" s="38" t="e">
        <f>RIGHT(CONCATENATE(0,#REF!),7)</f>
        <v>#REF!</v>
      </c>
    </row>
    <row r="1162" spans="1:669" hidden="1">
      <c r="A1162" s="35">
        <v>880</v>
      </c>
      <c r="B1162" s="38">
        <v>18</v>
      </c>
      <c r="C1162" s="37" t="s">
        <v>123</v>
      </c>
      <c r="D1162" s="37">
        <v>18</v>
      </c>
      <c r="E1162" s="37" t="s">
        <v>1073</v>
      </c>
      <c r="YS1162" s="38" t="e">
        <f>RIGHT(CONCATENATE(0,#REF!),7)</f>
        <v>#REF!</v>
      </c>
    </row>
    <row r="1163" spans="1:669" hidden="1">
      <c r="A1163" s="35">
        <v>881</v>
      </c>
      <c r="B1163" s="38">
        <v>18</v>
      </c>
      <c r="C1163" s="37" t="s">
        <v>123</v>
      </c>
      <c r="D1163" s="37">
        <v>19</v>
      </c>
      <c r="E1163" s="37" t="s">
        <v>1074</v>
      </c>
      <c r="YS1163" s="38" t="e">
        <f>RIGHT(CONCATENATE(0,#REF!),7)</f>
        <v>#REF!</v>
      </c>
    </row>
    <row r="1164" spans="1:669" hidden="1">
      <c r="A1164" s="35">
        <v>882</v>
      </c>
      <c r="B1164" s="38">
        <v>18</v>
      </c>
      <c r="C1164" s="37" t="s">
        <v>123</v>
      </c>
      <c r="D1164" s="37">
        <v>20</v>
      </c>
      <c r="E1164" s="37" t="s">
        <v>1075</v>
      </c>
      <c r="YS1164" s="38" t="e">
        <f>RIGHT(CONCATENATE(0,#REF!),7)</f>
        <v>#REF!</v>
      </c>
    </row>
    <row r="1165" spans="1:669" hidden="1">
      <c r="A1165" s="35">
        <v>883</v>
      </c>
      <c r="B1165" s="38">
        <v>18</v>
      </c>
      <c r="C1165" s="37" t="s">
        <v>123</v>
      </c>
      <c r="D1165" s="37">
        <v>21</v>
      </c>
      <c r="E1165" s="37" t="s">
        <v>1076</v>
      </c>
      <c r="YS1165" s="38" t="e">
        <f>RIGHT(CONCATENATE(0,#REF!),7)</f>
        <v>#REF!</v>
      </c>
    </row>
    <row r="1166" spans="1:669" hidden="1">
      <c r="A1166" s="35">
        <v>884</v>
      </c>
      <c r="B1166" s="38">
        <v>18</v>
      </c>
      <c r="C1166" s="37" t="s">
        <v>123</v>
      </c>
      <c r="D1166" s="37">
        <v>22</v>
      </c>
      <c r="E1166" s="37" t="s">
        <v>1077</v>
      </c>
      <c r="YS1166" s="38" t="e">
        <f>RIGHT(CONCATENATE(0,#REF!),7)</f>
        <v>#REF!</v>
      </c>
    </row>
    <row r="1167" spans="1:669" hidden="1">
      <c r="A1167" s="35">
        <v>885</v>
      </c>
      <c r="B1167" s="38">
        <v>18</v>
      </c>
      <c r="C1167" s="37" t="s">
        <v>123</v>
      </c>
      <c r="D1167" s="37">
        <v>23</v>
      </c>
      <c r="E1167" s="37" t="s">
        <v>1078</v>
      </c>
      <c r="YS1167" s="38" t="e">
        <f>RIGHT(CONCATENATE(0,#REF!),7)</f>
        <v>#REF!</v>
      </c>
    </row>
    <row r="1168" spans="1:669" hidden="1">
      <c r="A1168" s="35">
        <v>886</v>
      </c>
      <c r="B1168" s="38">
        <v>18</v>
      </c>
      <c r="C1168" s="37" t="s">
        <v>123</v>
      </c>
      <c r="D1168" s="37">
        <v>24</v>
      </c>
      <c r="E1168" s="37" t="s">
        <v>1079</v>
      </c>
      <c r="YS1168" s="38" t="e">
        <f>RIGHT(CONCATENATE(0,#REF!),7)</f>
        <v>#REF!</v>
      </c>
    </row>
    <row r="1169" spans="1:669" hidden="1">
      <c r="A1169" s="35">
        <v>887</v>
      </c>
      <c r="B1169" s="38">
        <v>18</v>
      </c>
      <c r="C1169" s="37" t="s">
        <v>123</v>
      </c>
      <c r="D1169" s="37">
        <v>25</v>
      </c>
      <c r="E1169" s="37" t="s">
        <v>1080</v>
      </c>
      <c r="YS1169" s="38" t="e">
        <f>RIGHT(CONCATENATE(0,#REF!),7)</f>
        <v>#REF!</v>
      </c>
    </row>
    <row r="1170" spans="1:669" hidden="1">
      <c r="A1170" s="35">
        <v>888</v>
      </c>
      <c r="B1170" s="38">
        <v>18</v>
      </c>
      <c r="C1170" s="37" t="s">
        <v>123</v>
      </c>
      <c r="D1170" s="37">
        <v>26</v>
      </c>
      <c r="E1170" s="37" t="s">
        <v>1081</v>
      </c>
      <c r="YS1170" s="38" t="e">
        <f>RIGHT(CONCATENATE(0,#REF!),7)</f>
        <v>#REF!</v>
      </c>
    </row>
    <row r="1171" spans="1:669" hidden="1">
      <c r="A1171" s="35">
        <v>889</v>
      </c>
      <c r="B1171" s="38">
        <v>18</v>
      </c>
      <c r="C1171" s="37" t="s">
        <v>123</v>
      </c>
      <c r="D1171" s="37">
        <v>27</v>
      </c>
      <c r="E1171" s="37" t="s">
        <v>1082</v>
      </c>
      <c r="YS1171" s="38" t="e">
        <f>RIGHT(CONCATENATE(0,#REF!),7)</f>
        <v>#REF!</v>
      </c>
    </row>
    <row r="1172" spans="1:669" hidden="1">
      <c r="A1172" s="35">
        <v>890</v>
      </c>
      <c r="B1172" s="38">
        <v>18</v>
      </c>
      <c r="C1172" s="37" t="s">
        <v>123</v>
      </c>
      <c r="D1172" s="37">
        <v>28</v>
      </c>
      <c r="E1172" s="37" t="s">
        <v>1083</v>
      </c>
      <c r="YS1172" s="38" t="e">
        <f>RIGHT(CONCATENATE(0,#REF!),7)</f>
        <v>#REF!</v>
      </c>
    </row>
    <row r="1173" spans="1:669" hidden="1">
      <c r="A1173" s="35">
        <v>891</v>
      </c>
      <c r="B1173" s="38">
        <v>18</v>
      </c>
      <c r="C1173" s="37" t="s">
        <v>123</v>
      </c>
      <c r="D1173" s="37">
        <v>29</v>
      </c>
      <c r="E1173" s="37" t="s">
        <v>1084</v>
      </c>
      <c r="YS1173" s="38" t="e">
        <f>RIGHT(CONCATENATE(0,#REF!),7)</f>
        <v>#REF!</v>
      </c>
    </row>
    <row r="1174" spans="1:669" hidden="1">
      <c r="A1174" s="35">
        <v>892</v>
      </c>
      <c r="B1174" s="38">
        <v>18</v>
      </c>
      <c r="C1174" s="37" t="s">
        <v>123</v>
      </c>
      <c r="D1174" s="37">
        <v>30</v>
      </c>
      <c r="E1174" s="37" t="s">
        <v>1085</v>
      </c>
      <c r="YS1174" s="38" t="e">
        <f>RIGHT(CONCATENATE(0,#REF!),7)</f>
        <v>#REF!</v>
      </c>
    </row>
    <row r="1175" spans="1:669" hidden="1">
      <c r="A1175" s="35">
        <v>893</v>
      </c>
      <c r="B1175" s="38">
        <v>18</v>
      </c>
      <c r="C1175" s="37" t="s">
        <v>123</v>
      </c>
      <c r="D1175" s="37">
        <v>31</v>
      </c>
      <c r="E1175" s="37" t="s">
        <v>1086</v>
      </c>
      <c r="YS1175" s="38" t="e">
        <f>RIGHT(CONCATENATE(0,#REF!),7)</f>
        <v>#REF!</v>
      </c>
    </row>
    <row r="1176" spans="1:669" hidden="1">
      <c r="A1176" s="35">
        <v>894</v>
      </c>
      <c r="B1176" s="38">
        <v>18</v>
      </c>
      <c r="C1176" s="37" t="s">
        <v>123</v>
      </c>
      <c r="D1176" s="37">
        <v>32</v>
      </c>
      <c r="E1176" s="37" t="s">
        <v>1087</v>
      </c>
      <c r="YS1176" s="38" t="e">
        <f>RIGHT(CONCATENATE(0,#REF!),7)</f>
        <v>#REF!</v>
      </c>
    </row>
    <row r="1177" spans="1:669" hidden="1">
      <c r="A1177" s="35">
        <v>895</v>
      </c>
      <c r="B1177" s="38">
        <v>18</v>
      </c>
      <c r="C1177" s="37" t="s">
        <v>123</v>
      </c>
      <c r="D1177" s="37">
        <v>33</v>
      </c>
      <c r="E1177" s="37" t="s">
        <v>123</v>
      </c>
      <c r="YS1177" s="38" t="e">
        <f>RIGHT(CONCATENATE(0,#REF!),7)</f>
        <v>#REF!</v>
      </c>
    </row>
    <row r="1178" spans="1:669" hidden="1">
      <c r="A1178" s="35">
        <v>896</v>
      </c>
      <c r="B1178" s="38">
        <v>18</v>
      </c>
      <c r="C1178" s="37" t="s">
        <v>123</v>
      </c>
      <c r="D1178" s="37">
        <v>34</v>
      </c>
      <c r="E1178" s="37" t="s">
        <v>1088</v>
      </c>
      <c r="YS1178" s="38" t="e">
        <f>RIGHT(CONCATENATE(0,#REF!),7)</f>
        <v>#REF!</v>
      </c>
    </row>
    <row r="1179" spans="1:669" hidden="1">
      <c r="A1179" s="35">
        <v>897</v>
      </c>
      <c r="B1179" s="38">
        <v>18</v>
      </c>
      <c r="C1179" s="37" t="s">
        <v>123</v>
      </c>
      <c r="D1179" s="37">
        <v>35</v>
      </c>
      <c r="E1179" s="37" t="s">
        <v>1089</v>
      </c>
      <c r="YS1179" s="38" t="e">
        <f>RIGHT(CONCATENATE(0,#REF!),7)</f>
        <v>#REF!</v>
      </c>
    </row>
    <row r="1180" spans="1:669" hidden="1">
      <c r="A1180" s="35">
        <v>898</v>
      </c>
      <c r="B1180" s="38">
        <v>18</v>
      </c>
      <c r="C1180" s="37" t="s">
        <v>123</v>
      </c>
      <c r="D1180" s="37">
        <v>36</v>
      </c>
      <c r="E1180" s="37" t="s">
        <v>1090</v>
      </c>
      <c r="YS1180" s="38" t="e">
        <f>RIGHT(CONCATENATE(0,#REF!),7)</f>
        <v>#REF!</v>
      </c>
    </row>
    <row r="1181" spans="1:669" hidden="1">
      <c r="A1181" s="35">
        <v>899</v>
      </c>
      <c r="B1181" s="38">
        <v>18</v>
      </c>
      <c r="C1181" s="37" t="s">
        <v>123</v>
      </c>
      <c r="D1181" s="37">
        <v>37</v>
      </c>
      <c r="E1181" s="37" t="s">
        <v>1091</v>
      </c>
      <c r="YS1181" s="38" t="e">
        <f>RIGHT(CONCATENATE(0,#REF!),7)</f>
        <v>#REF!</v>
      </c>
    </row>
    <row r="1182" spans="1:669" hidden="1">
      <c r="A1182" s="35">
        <v>900</v>
      </c>
      <c r="B1182" s="38">
        <v>19</v>
      </c>
      <c r="C1182" s="37" t="s">
        <v>126</v>
      </c>
      <c r="D1182" s="37">
        <v>1</v>
      </c>
      <c r="E1182" s="37" t="s">
        <v>1092</v>
      </c>
      <c r="YS1182" s="38" t="e">
        <f>RIGHT(CONCATENATE(0,#REF!),7)</f>
        <v>#REF!</v>
      </c>
    </row>
    <row r="1183" spans="1:669" hidden="1">
      <c r="A1183" s="35">
        <v>901</v>
      </c>
      <c r="B1183" s="38">
        <v>19</v>
      </c>
      <c r="C1183" s="37" t="s">
        <v>126</v>
      </c>
      <c r="D1183" s="37">
        <v>2</v>
      </c>
      <c r="E1183" s="37" t="s">
        <v>1093</v>
      </c>
      <c r="YS1183" s="38" t="e">
        <f>RIGHT(CONCATENATE(0,#REF!),7)</f>
        <v>#REF!</v>
      </c>
    </row>
    <row r="1184" spans="1:669" hidden="1">
      <c r="A1184" s="35">
        <v>902</v>
      </c>
      <c r="B1184" s="38">
        <v>19</v>
      </c>
      <c r="C1184" s="37" t="s">
        <v>126</v>
      </c>
      <c r="D1184" s="37">
        <v>3</v>
      </c>
      <c r="E1184" s="37" t="s">
        <v>1094</v>
      </c>
      <c r="YS1184" s="38" t="e">
        <f>RIGHT(CONCATENATE(0,#REF!),7)</f>
        <v>#REF!</v>
      </c>
    </row>
    <row r="1185" spans="1:669" hidden="1">
      <c r="A1185" s="35">
        <v>903</v>
      </c>
      <c r="B1185" s="38">
        <v>19</v>
      </c>
      <c r="C1185" s="37" t="s">
        <v>126</v>
      </c>
      <c r="D1185" s="37">
        <v>4</v>
      </c>
      <c r="E1185" s="37" t="s">
        <v>1095</v>
      </c>
      <c r="YS1185" s="38" t="e">
        <f>RIGHT(CONCATENATE(0,#REF!),7)</f>
        <v>#REF!</v>
      </c>
    </row>
    <row r="1186" spans="1:669" hidden="1">
      <c r="A1186" s="35">
        <v>904</v>
      </c>
      <c r="B1186" s="38">
        <v>19</v>
      </c>
      <c r="C1186" s="37" t="s">
        <v>126</v>
      </c>
      <c r="D1186" s="37">
        <v>5</v>
      </c>
      <c r="E1186" s="37" t="s">
        <v>1096</v>
      </c>
      <c r="YS1186" s="38" t="e">
        <f>RIGHT(CONCATENATE(0,#REF!),7)</f>
        <v>#REF!</v>
      </c>
    </row>
    <row r="1187" spans="1:669" hidden="1">
      <c r="A1187" s="35">
        <v>905</v>
      </c>
      <c r="B1187" s="38">
        <v>19</v>
      </c>
      <c r="C1187" s="37" t="s">
        <v>126</v>
      </c>
      <c r="D1187" s="37">
        <v>6</v>
      </c>
      <c r="E1187" s="37" t="s">
        <v>1097</v>
      </c>
      <c r="YS1187" s="38" t="e">
        <f>RIGHT(CONCATENATE(0,#REF!),7)</f>
        <v>#REF!</v>
      </c>
    </row>
    <row r="1188" spans="1:669" hidden="1">
      <c r="A1188" s="35">
        <v>906</v>
      </c>
      <c r="B1188" s="38">
        <v>19</v>
      </c>
      <c r="C1188" s="37" t="s">
        <v>126</v>
      </c>
      <c r="D1188" s="37">
        <v>7</v>
      </c>
      <c r="E1188" s="37" t="s">
        <v>1098</v>
      </c>
      <c r="YS1188" s="38" t="e">
        <f>RIGHT(CONCATENATE(0,#REF!),7)</f>
        <v>#REF!</v>
      </c>
    </row>
    <row r="1189" spans="1:669" hidden="1">
      <c r="A1189" s="35">
        <v>907</v>
      </c>
      <c r="B1189" s="38">
        <v>19</v>
      </c>
      <c r="C1189" s="37" t="s">
        <v>126</v>
      </c>
      <c r="D1189" s="37">
        <v>8</v>
      </c>
      <c r="E1189" s="37" t="s">
        <v>1099</v>
      </c>
      <c r="YS1189" s="38" t="e">
        <f>RIGHT(CONCATENATE(0,#REF!),7)</f>
        <v>#REF!</v>
      </c>
    </row>
    <row r="1190" spans="1:669" hidden="1">
      <c r="A1190" s="35">
        <v>908</v>
      </c>
      <c r="B1190" s="38">
        <v>19</v>
      </c>
      <c r="C1190" s="37" t="s">
        <v>126</v>
      </c>
      <c r="D1190" s="37">
        <v>9</v>
      </c>
      <c r="E1190" s="37" t="s">
        <v>1100</v>
      </c>
      <c r="YS1190" s="38" t="e">
        <f>RIGHT(CONCATENATE(0,#REF!),7)</f>
        <v>#REF!</v>
      </c>
    </row>
    <row r="1191" spans="1:669" hidden="1">
      <c r="A1191" s="35">
        <v>909</v>
      </c>
      <c r="B1191" s="38">
        <v>19</v>
      </c>
      <c r="C1191" s="37" t="s">
        <v>126</v>
      </c>
      <c r="D1191" s="37">
        <v>10</v>
      </c>
      <c r="E1191" s="37" t="s">
        <v>1101</v>
      </c>
      <c r="YS1191" s="38" t="e">
        <f>RIGHT(CONCATENATE(0,#REF!),7)</f>
        <v>#REF!</v>
      </c>
    </row>
    <row r="1192" spans="1:669" hidden="1">
      <c r="A1192" s="35">
        <v>910</v>
      </c>
      <c r="B1192" s="38">
        <v>19</v>
      </c>
      <c r="C1192" s="37" t="s">
        <v>126</v>
      </c>
      <c r="D1192" s="37">
        <v>11</v>
      </c>
      <c r="E1192" s="37" t="s">
        <v>1102</v>
      </c>
      <c r="YS1192" s="38" t="e">
        <f>RIGHT(CONCATENATE(0,#REF!),7)</f>
        <v>#REF!</v>
      </c>
    </row>
    <row r="1193" spans="1:669" hidden="1">
      <c r="A1193" s="35">
        <v>911</v>
      </c>
      <c r="B1193" s="38">
        <v>19</v>
      </c>
      <c r="C1193" s="37" t="s">
        <v>126</v>
      </c>
      <c r="D1193" s="37">
        <v>12</v>
      </c>
      <c r="E1193" s="37" t="s">
        <v>1103</v>
      </c>
      <c r="YS1193" s="38" t="e">
        <f>RIGHT(CONCATENATE(0,#REF!),7)</f>
        <v>#REF!</v>
      </c>
    </row>
    <row r="1194" spans="1:669" hidden="1">
      <c r="A1194" s="35">
        <v>912</v>
      </c>
      <c r="B1194" s="38">
        <v>19</v>
      </c>
      <c r="C1194" s="37" t="s">
        <v>126</v>
      </c>
      <c r="D1194" s="37">
        <v>13</v>
      </c>
      <c r="E1194" s="37" t="s">
        <v>1104</v>
      </c>
      <c r="YS1194" s="38" t="e">
        <f>RIGHT(CONCATENATE(0,#REF!),7)</f>
        <v>#REF!</v>
      </c>
    </row>
    <row r="1195" spans="1:669" hidden="1">
      <c r="A1195" s="35">
        <v>913</v>
      </c>
      <c r="B1195" s="38">
        <v>19</v>
      </c>
      <c r="C1195" s="37" t="s">
        <v>126</v>
      </c>
      <c r="D1195" s="37">
        <v>14</v>
      </c>
      <c r="E1195" s="37" t="s">
        <v>1105</v>
      </c>
      <c r="YS1195" s="38" t="e">
        <f>RIGHT(CONCATENATE(0,#REF!),7)</f>
        <v>#REF!</v>
      </c>
    </row>
    <row r="1196" spans="1:669" hidden="1">
      <c r="A1196" s="35">
        <v>914</v>
      </c>
      <c r="B1196" s="38">
        <v>19</v>
      </c>
      <c r="C1196" s="37" t="s">
        <v>126</v>
      </c>
      <c r="D1196" s="37">
        <v>15</v>
      </c>
      <c r="E1196" s="37" t="s">
        <v>1106</v>
      </c>
      <c r="YS1196" s="38" t="e">
        <f>RIGHT(CONCATENATE(0,#REF!),7)</f>
        <v>#REF!</v>
      </c>
    </row>
    <row r="1197" spans="1:669" hidden="1">
      <c r="A1197" s="35">
        <v>915</v>
      </c>
      <c r="B1197" s="38">
        <v>19</v>
      </c>
      <c r="C1197" s="37" t="s">
        <v>126</v>
      </c>
      <c r="D1197" s="37">
        <v>16</v>
      </c>
      <c r="E1197" s="37" t="s">
        <v>1107</v>
      </c>
      <c r="YS1197" s="38" t="e">
        <f>RIGHT(CONCATENATE(0,#REF!),7)</f>
        <v>#REF!</v>
      </c>
    </row>
    <row r="1198" spans="1:669" hidden="1">
      <c r="A1198" s="35">
        <v>916</v>
      </c>
      <c r="B1198" s="38">
        <v>19</v>
      </c>
      <c r="C1198" s="37" t="s">
        <v>126</v>
      </c>
      <c r="D1198" s="37">
        <v>17</v>
      </c>
      <c r="E1198" s="37" t="s">
        <v>1108</v>
      </c>
      <c r="YS1198" s="38" t="e">
        <f>RIGHT(CONCATENATE(0,#REF!),7)</f>
        <v>#REF!</v>
      </c>
    </row>
    <row r="1199" spans="1:669" hidden="1">
      <c r="A1199" s="35">
        <v>917</v>
      </c>
      <c r="B1199" s="38">
        <v>19</v>
      </c>
      <c r="C1199" s="37" t="s">
        <v>126</v>
      </c>
      <c r="D1199" s="37">
        <v>18</v>
      </c>
      <c r="E1199" s="37" t="s">
        <v>1109</v>
      </c>
      <c r="YS1199" s="38" t="e">
        <f>RIGHT(CONCATENATE(0,#REF!),7)</f>
        <v>#REF!</v>
      </c>
    </row>
    <row r="1200" spans="1:669" hidden="1">
      <c r="A1200" s="35">
        <v>918</v>
      </c>
      <c r="B1200" s="38">
        <v>19</v>
      </c>
      <c r="C1200" s="37" t="s">
        <v>126</v>
      </c>
      <c r="D1200" s="37">
        <v>19</v>
      </c>
      <c r="E1200" s="37" t="s">
        <v>1110</v>
      </c>
      <c r="YS1200" s="38" t="e">
        <f>RIGHT(CONCATENATE(0,#REF!),7)</f>
        <v>#REF!</v>
      </c>
    </row>
    <row r="1201" spans="1:669" hidden="1">
      <c r="A1201" s="35">
        <v>919</v>
      </c>
      <c r="B1201" s="38">
        <v>19</v>
      </c>
      <c r="C1201" s="37" t="s">
        <v>126</v>
      </c>
      <c r="D1201" s="37">
        <v>20</v>
      </c>
      <c r="E1201" s="37" t="s">
        <v>1111</v>
      </c>
      <c r="YS1201" s="38" t="e">
        <f>RIGHT(CONCATENATE(0,#REF!),7)</f>
        <v>#REF!</v>
      </c>
    </row>
    <row r="1202" spans="1:669" hidden="1">
      <c r="A1202" s="35">
        <v>920</v>
      </c>
      <c r="B1202" s="38">
        <v>19</v>
      </c>
      <c r="C1202" s="37" t="s">
        <v>126</v>
      </c>
      <c r="D1202" s="37">
        <v>21</v>
      </c>
      <c r="E1202" s="37" t="s">
        <v>1112</v>
      </c>
      <c r="YS1202" s="38" t="e">
        <f>RIGHT(CONCATENATE(0,#REF!),7)</f>
        <v>#REF!</v>
      </c>
    </row>
    <row r="1203" spans="1:669" hidden="1">
      <c r="A1203" s="35">
        <v>921</v>
      </c>
      <c r="B1203" s="38">
        <v>19</v>
      </c>
      <c r="C1203" s="37" t="s">
        <v>126</v>
      </c>
      <c r="D1203" s="37">
        <v>22</v>
      </c>
      <c r="E1203" s="37" t="s">
        <v>1113</v>
      </c>
      <c r="YS1203" s="38" t="e">
        <f>RIGHT(CONCATENATE(0,#REF!),7)</f>
        <v>#REF!</v>
      </c>
    </row>
    <row r="1204" spans="1:669" hidden="1">
      <c r="A1204" s="35">
        <v>922</v>
      </c>
      <c r="B1204" s="38">
        <v>19</v>
      </c>
      <c r="C1204" s="37" t="s">
        <v>126</v>
      </c>
      <c r="D1204" s="37">
        <v>23</v>
      </c>
      <c r="E1204" s="37" t="s">
        <v>1114</v>
      </c>
      <c r="YS1204" s="38" t="e">
        <f>RIGHT(CONCATENATE(0,#REF!),7)</f>
        <v>#REF!</v>
      </c>
    </row>
    <row r="1205" spans="1:669" hidden="1">
      <c r="A1205" s="35">
        <v>923</v>
      </c>
      <c r="B1205" s="38">
        <v>19</v>
      </c>
      <c r="C1205" s="37" t="s">
        <v>126</v>
      </c>
      <c r="D1205" s="37">
        <v>24</v>
      </c>
      <c r="E1205" s="37" t="s">
        <v>1115</v>
      </c>
      <c r="YS1205" s="38" t="e">
        <f>RIGHT(CONCATENATE(0,#REF!),7)</f>
        <v>#REF!</v>
      </c>
    </row>
    <row r="1206" spans="1:669" hidden="1">
      <c r="A1206" s="35">
        <v>924</v>
      </c>
      <c r="B1206" s="38">
        <v>19</v>
      </c>
      <c r="C1206" s="37" t="s">
        <v>126</v>
      </c>
      <c r="D1206" s="37">
        <v>25</v>
      </c>
      <c r="E1206" s="37" t="s">
        <v>1116</v>
      </c>
      <c r="YS1206" s="38" t="e">
        <f>RIGHT(CONCATENATE(0,#REF!),7)</f>
        <v>#REF!</v>
      </c>
    </row>
    <row r="1207" spans="1:669" hidden="1">
      <c r="A1207" s="35">
        <v>925</v>
      </c>
      <c r="B1207" s="38">
        <v>19</v>
      </c>
      <c r="C1207" s="37" t="s">
        <v>126</v>
      </c>
      <c r="D1207" s="37">
        <v>26</v>
      </c>
      <c r="E1207" s="37" t="s">
        <v>1117</v>
      </c>
      <c r="YS1207" s="38" t="e">
        <f>RIGHT(CONCATENATE(0,#REF!),7)</f>
        <v>#REF!</v>
      </c>
    </row>
    <row r="1208" spans="1:669" hidden="1">
      <c r="A1208" s="35">
        <v>926</v>
      </c>
      <c r="B1208" s="38">
        <v>19</v>
      </c>
      <c r="C1208" s="37" t="s">
        <v>126</v>
      </c>
      <c r="D1208" s="37">
        <v>27</v>
      </c>
      <c r="E1208" s="37" t="s">
        <v>1118</v>
      </c>
      <c r="YS1208" s="38" t="e">
        <f>RIGHT(CONCATENATE(0,#REF!),7)</f>
        <v>#REF!</v>
      </c>
    </row>
    <row r="1209" spans="1:669" hidden="1">
      <c r="A1209" s="35">
        <v>927</v>
      </c>
      <c r="B1209" s="38">
        <v>19</v>
      </c>
      <c r="C1209" s="37" t="s">
        <v>126</v>
      </c>
      <c r="D1209" s="37">
        <v>28</v>
      </c>
      <c r="E1209" s="37" t="s">
        <v>1119</v>
      </c>
      <c r="YS1209" s="38" t="e">
        <f>RIGHT(CONCATENATE(0,#REF!),7)</f>
        <v>#REF!</v>
      </c>
    </row>
    <row r="1210" spans="1:669" hidden="1">
      <c r="A1210" s="35">
        <v>928</v>
      </c>
      <c r="B1210" s="38">
        <v>19</v>
      </c>
      <c r="C1210" s="37" t="s">
        <v>126</v>
      </c>
      <c r="D1210" s="37">
        <v>29</v>
      </c>
      <c r="E1210" s="37" t="s">
        <v>1120</v>
      </c>
      <c r="YS1210" s="38" t="e">
        <f>RIGHT(CONCATENATE(0,#REF!),7)</f>
        <v>#REF!</v>
      </c>
    </row>
    <row r="1211" spans="1:669" hidden="1">
      <c r="A1211" s="35">
        <v>929</v>
      </c>
      <c r="B1211" s="38">
        <v>19</v>
      </c>
      <c r="C1211" s="37" t="s">
        <v>126</v>
      </c>
      <c r="D1211" s="37">
        <v>30</v>
      </c>
      <c r="E1211" s="37" t="s">
        <v>1121</v>
      </c>
      <c r="YS1211" s="38" t="e">
        <f>RIGHT(CONCATENATE(0,#REF!),7)</f>
        <v>#REF!</v>
      </c>
    </row>
    <row r="1212" spans="1:669" hidden="1">
      <c r="A1212" s="35">
        <v>930</v>
      </c>
      <c r="B1212" s="38">
        <v>19</v>
      </c>
      <c r="C1212" s="37" t="s">
        <v>126</v>
      </c>
      <c r="D1212" s="37">
        <v>31</v>
      </c>
      <c r="E1212" s="37" t="s">
        <v>1122</v>
      </c>
      <c r="YS1212" s="38" t="e">
        <f>RIGHT(CONCATENATE(0,#REF!),7)</f>
        <v>#REF!</v>
      </c>
    </row>
    <row r="1213" spans="1:669" hidden="1">
      <c r="A1213" s="35">
        <v>931</v>
      </c>
      <c r="B1213" s="38">
        <v>19</v>
      </c>
      <c r="C1213" s="37" t="s">
        <v>126</v>
      </c>
      <c r="D1213" s="37">
        <v>32</v>
      </c>
      <c r="E1213" s="37" t="s">
        <v>1123</v>
      </c>
      <c r="YS1213" s="38" t="e">
        <f>RIGHT(CONCATENATE(0,#REF!),7)</f>
        <v>#REF!</v>
      </c>
    </row>
    <row r="1214" spans="1:669" hidden="1">
      <c r="A1214" s="35">
        <v>932</v>
      </c>
      <c r="B1214" s="38">
        <v>19</v>
      </c>
      <c r="C1214" s="37" t="s">
        <v>126</v>
      </c>
      <c r="D1214" s="37">
        <v>33</v>
      </c>
      <c r="E1214" s="37" t="s">
        <v>1124</v>
      </c>
      <c r="YS1214" s="38" t="e">
        <f>RIGHT(CONCATENATE(0,#REF!),7)</f>
        <v>#REF!</v>
      </c>
    </row>
    <row r="1215" spans="1:669" hidden="1">
      <c r="A1215" s="35">
        <v>933</v>
      </c>
      <c r="B1215" s="38">
        <v>19</v>
      </c>
      <c r="C1215" s="37" t="s">
        <v>126</v>
      </c>
      <c r="D1215" s="37">
        <v>34</v>
      </c>
      <c r="E1215" s="37" t="s">
        <v>1125</v>
      </c>
      <c r="YS1215" s="38" t="e">
        <f>RIGHT(CONCATENATE(0,#REF!),7)</f>
        <v>#REF!</v>
      </c>
    </row>
    <row r="1216" spans="1:669" hidden="1">
      <c r="A1216" s="35">
        <v>934</v>
      </c>
      <c r="B1216" s="38">
        <v>19</v>
      </c>
      <c r="C1216" s="37" t="s">
        <v>126</v>
      </c>
      <c r="D1216" s="37">
        <v>35</v>
      </c>
      <c r="E1216" s="37" t="s">
        <v>1126</v>
      </c>
      <c r="YS1216" s="38" t="e">
        <f>RIGHT(CONCATENATE(0,#REF!),7)</f>
        <v>#REF!</v>
      </c>
    </row>
    <row r="1217" spans="1:669" hidden="1">
      <c r="A1217" s="35">
        <v>935</v>
      </c>
      <c r="B1217" s="38">
        <v>19</v>
      </c>
      <c r="C1217" s="37" t="s">
        <v>126</v>
      </c>
      <c r="D1217" s="37">
        <v>36</v>
      </c>
      <c r="E1217" s="37" t="s">
        <v>1127</v>
      </c>
      <c r="YS1217" s="38" t="e">
        <f>RIGHT(CONCATENATE(0,#REF!),7)</f>
        <v>#REF!</v>
      </c>
    </row>
    <row r="1218" spans="1:669" hidden="1">
      <c r="A1218" s="35">
        <v>936</v>
      </c>
      <c r="B1218" s="38">
        <v>19</v>
      </c>
      <c r="C1218" s="37" t="s">
        <v>126</v>
      </c>
      <c r="D1218" s="37">
        <v>37</v>
      </c>
      <c r="E1218" s="37" t="s">
        <v>1128</v>
      </c>
      <c r="YS1218" s="38" t="e">
        <f>RIGHT(CONCATENATE(0,#REF!),7)</f>
        <v>#REF!</v>
      </c>
    </row>
    <row r="1219" spans="1:669" hidden="1">
      <c r="A1219" s="35">
        <v>937</v>
      </c>
      <c r="B1219" s="38">
        <v>19</v>
      </c>
      <c r="C1219" s="37" t="s">
        <v>126</v>
      </c>
      <c r="D1219" s="37">
        <v>38</v>
      </c>
      <c r="E1219" s="37" t="s">
        <v>1129</v>
      </c>
      <c r="YS1219" s="38" t="e">
        <f>RIGHT(CONCATENATE(0,#REF!),7)</f>
        <v>#REF!</v>
      </c>
    </row>
    <row r="1220" spans="1:669" hidden="1">
      <c r="A1220" s="35">
        <v>938</v>
      </c>
      <c r="B1220" s="38">
        <v>19</v>
      </c>
      <c r="C1220" s="37" t="s">
        <v>126</v>
      </c>
      <c r="D1220" s="37">
        <v>39</v>
      </c>
      <c r="E1220" s="37" t="s">
        <v>1130</v>
      </c>
      <c r="YS1220" s="38" t="e">
        <f>RIGHT(CONCATENATE(0,#REF!),7)</f>
        <v>#REF!</v>
      </c>
    </row>
    <row r="1221" spans="1:669" hidden="1">
      <c r="A1221" s="35">
        <v>939</v>
      </c>
      <c r="B1221" s="38">
        <v>19</v>
      </c>
      <c r="C1221" s="37" t="s">
        <v>126</v>
      </c>
      <c r="D1221" s="37">
        <v>40</v>
      </c>
      <c r="E1221" s="37" t="s">
        <v>1131</v>
      </c>
      <c r="YS1221" s="38" t="e">
        <f>RIGHT(CONCATENATE(0,#REF!),7)</f>
        <v>#REF!</v>
      </c>
    </row>
    <row r="1222" spans="1:669" hidden="1">
      <c r="A1222" s="35">
        <v>940</v>
      </c>
      <c r="B1222" s="38">
        <v>19</v>
      </c>
      <c r="C1222" s="37" t="s">
        <v>126</v>
      </c>
      <c r="D1222" s="37">
        <v>41</v>
      </c>
      <c r="E1222" s="37" t="s">
        <v>1132</v>
      </c>
      <c r="YS1222" s="38" t="e">
        <f>RIGHT(CONCATENATE(0,#REF!),7)</f>
        <v>#REF!</v>
      </c>
    </row>
    <row r="1223" spans="1:669" hidden="1">
      <c r="A1223" s="35">
        <v>941</v>
      </c>
      <c r="B1223" s="38">
        <v>19</v>
      </c>
      <c r="C1223" s="37" t="s">
        <v>126</v>
      </c>
      <c r="D1223" s="37">
        <v>42</v>
      </c>
      <c r="E1223" s="37" t="s">
        <v>1133</v>
      </c>
      <c r="YS1223" s="38" t="e">
        <f>RIGHT(CONCATENATE(0,#REF!),7)</f>
        <v>#REF!</v>
      </c>
    </row>
    <row r="1224" spans="1:669" hidden="1">
      <c r="A1224" s="35">
        <v>942</v>
      </c>
      <c r="B1224" s="38">
        <v>19</v>
      </c>
      <c r="C1224" s="37" t="s">
        <v>126</v>
      </c>
      <c r="D1224" s="37">
        <v>43</v>
      </c>
      <c r="E1224" s="37" t="s">
        <v>1134</v>
      </c>
      <c r="YS1224" s="38" t="e">
        <f>RIGHT(CONCATENATE(0,#REF!),7)</f>
        <v>#REF!</v>
      </c>
    </row>
    <row r="1225" spans="1:669" hidden="1">
      <c r="A1225" s="35">
        <v>943</v>
      </c>
      <c r="B1225" s="38">
        <v>20</v>
      </c>
      <c r="C1225" s="37" t="s">
        <v>129</v>
      </c>
      <c r="D1225" s="37">
        <v>1</v>
      </c>
      <c r="E1225" s="37" t="s">
        <v>1135</v>
      </c>
      <c r="YS1225" s="38" t="e">
        <f>RIGHT(CONCATENATE(0,#REF!),7)</f>
        <v>#REF!</v>
      </c>
    </row>
    <row r="1226" spans="1:669" hidden="1">
      <c r="A1226" s="35">
        <v>944</v>
      </c>
      <c r="B1226" s="38">
        <v>20</v>
      </c>
      <c r="C1226" s="37" t="s">
        <v>129</v>
      </c>
      <c r="D1226" s="37">
        <v>2</v>
      </c>
      <c r="E1226" s="37" t="s">
        <v>1136</v>
      </c>
      <c r="YS1226" s="38" t="e">
        <f>RIGHT(CONCATENATE(0,#REF!),7)</f>
        <v>#REF!</v>
      </c>
    </row>
    <row r="1227" spans="1:669" hidden="1">
      <c r="A1227" s="35">
        <v>945</v>
      </c>
      <c r="B1227" s="38">
        <v>20</v>
      </c>
      <c r="C1227" s="37" t="s">
        <v>129</v>
      </c>
      <c r="D1227" s="37">
        <v>3</v>
      </c>
      <c r="E1227" s="37" t="s">
        <v>1137</v>
      </c>
      <c r="YS1227" s="38" t="e">
        <f>RIGHT(CONCATENATE(0,#REF!),7)</f>
        <v>#REF!</v>
      </c>
    </row>
    <row r="1228" spans="1:669" hidden="1">
      <c r="A1228" s="35">
        <v>946</v>
      </c>
      <c r="B1228" s="38">
        <v>20</v>
      </c>
      <c r="C1228" s="37" t="s">
        <v>129</v>
      </c>
      <c r="D1228" s="37">
        <v>4</v>
      </c>
      <c r="E1228" s="37" t="s">
        <v>1138</v>
      </c>
      <c r="YS1228" s="38" t="e">
        <f>RIGHT(CONCATENATE(0,#REF!),7)</f>
        <v>#REF!</v>
      </c>
    </row>
    <row r="1229" spans="1:669" hidden="1">
      <c r="A1229" s="35">
        <v>947</v>
      </c>
      <c r="B1229" s="38">
        <v>20</v>
      </c>
      <c r="C1229" s="37" t="s">
        <v>129</v>
      </c>
      <c r="D1229" s="37">
        <v>5</v>
      </c>
      <c r="E1229" s="37" t="s">
        <v>1139</v>
      </c>
      <c r="YS1229" s="38" t="e">
        <f>RIGHT(CONCATENATE(0,#REF!),7)</f>
        <v>#REF!</v>
      </c>
    </row>
    <row r="1230" spans="1:669" hidden="1">
      <c r="A1230" s="35">
        <v>948</v>
      </c>
      <c r="B1230" s="38">
        <v>20</v>
      </c>
      <c r="C1230" s="37" t="s">
        <v>129</v>
      </c>
      <c r="D1230" s="37">
        <v>6</v>
      </c>
      <c r="E1230" s="37" t="s">
        <v>1140</v>
      </c>
      <c r="YS1230" s="38" t="e">
        <f>RIGHT(CONCATENATE(0,#REF!),7)</f>
        <v>#REF!</v>
      </c>
    </row>
    <row r="1231" spans="1:669" hidden="1">
      <c r="A1231" s="35">
        <v>949</v>
      </c>
      <c r="B1231" s="38">
        <v>20</v>
      </c>
      <c r="C1231" s="37" t="s">
        <v>129</v>
      </c>
      <c r="D1231" s="37">
        <v>7</v>
      </c>
      <c r="E1231" s="37" t="s">
        <v>1141</v>
      </c>
      <c r="YS1231" s="38" t="e">
        <f>RIGHT(CONCATENATE(0,#REF!),7)</f>
        <v>#REF!</v>
      </c>
    </row>
    <row r="1232" spans="1:669" hidden="1">
      <c r="A1232" s="35">
        <v>950</v>
      </c>
      <c r="B1232" s="38">
        <v>20</v>
      </c>
      <c r="C1232" s="37" t="s">
        <v>129</v>
      </c>
      <c r="D1232" s="37">
        <v>8</v>
      </c>
      <c r="E1232" s="37" t="s">
        <v>1142</v>
      </c>
      <c r="YS1232" s="38" t="e">
        <f>RIGHT(CONCATENATE(0,#REF!),7)</f>
        <v>#REF!</v>
      </c>
    </row>
    <row r="1233" spans="1:669" hidden="1">
      <c r="A1233" s="35">
        <v>951</v>
      </c>
      <c r="B1233" s="38">
        <v>20</v>
      </c>
      <c r="C1233" s="37" t="s">
        <v>129</v>
      </c>
      <c r="D1233" s="37">
        <v>9</v>
      </c>
      <c r="E1233" s="37" t="s">
        <v>1143</v>
      </c>
      <c r="YS1233" s="38" t="e">
        <f>RIGHT(CONCATENATE(0,#REF!),7)</f>
        <v>#REF!</v>
      </c>
    </row>
    <row r="1234" spans="1:669" hidden="1">
      <c r="A1234" s="35">
        <v>952</v>
      </c>
      <c r="B1234" s="38">
        <v>20</v>
      </c>
      <c r="C1234" s="37" t="s">
        <v>129</v>
      </c>
      <c r="D1234" s="37">
        <v>10</v>
      </c>
      <c r="E1234" s="37" t="s">
        <v>1144</v>
      </c>
      <c r="YS1234" s="38" t="e">
        <f>RIGHT(CONCATENATE(0,#REF!),7)</f>
        <v>#REF!</v>
      </c>
    </row>
    <row r="1235" spans="1:669" hidden="1">
      <c r="A1235" s="35">
        <v>953</v>
      </c>
      <c r="B1235" s="38">
        <v>20</v>
      </c>
      <c r="C1235" s="37" t="s">
        <v>129</v>
      </c>
      <c r="D1235" s="37">
        <v>11</v>
      </c>
      <c r="E1235" s="37" t="s">
        <v>1145</v>
      </c>
      <c r="YS1235" s="38" t="e">
        <f>RIGHT(CONCATENATE(0,#REF!),7)</f>
        <v>#REF!</v>
      </c>
    </row>
    <row r="1236" spans="1:669" hidden="1">
      <c r="A1236" s="35">
        <v>954</v>
      </c>
      <c r="B1236" s="38">
        <v>20</v>
      </c>
      <c r="C1236" s="37" t="s">
        <v>129</v>
      </c>
      <c r="D1236" s="37">
        <v>12</v>
      </c>
      <c r="E1236" s="37" t="s">
        <v>1146</v>
      </c>
      <c r="YS1236" s="38" t="e">
        <f>RIGHT(CONCATENATE(0,#REF!),7)</f>
        <v>#REF!</v>
      </c>
    </row>
    <row r="1237" spans="1:669" hidden="1">
      <c r="A1237" s="35">
        <v>955</v>
      </c>
      <c r="B1237" s="38">
        <v>20</v>
      </c>
      <c r="C1237" s="37" t="s">
        <v>129</v>
      </c>
      <c r="D1237" s="37">
        <v>13</v>
      </c>
      <c r="E1237" s="37" t="s">
        <v>1147</v>
      </c>
      <c r="YS1237" s="38" t="e">
        <f>RIGHT(CONCATENATE(0,#REF!),7)</f>
        <v>#REF!</v>
      </c>
    </row>
    <row r="1238" spans="1:669" hidden="1">
      <c r="A1238" s="35">
        <v>956</v>
      </c>
      <c r="B1238" s="38">
        <v>20</v>
      </c>
      <c r="C1238" s="37" t="s">
        <v>129</v>
      </c>
      <c r="D1238" s="37">
        <v>14</v>
      </c>
      <c r="E1238" s="37" t="s">
        <v>1148</v>
      </c>
      <c r="YS1238" s="38" t="e">
        <f>RIGHT(CONCATENATE(0,#REF!),7)</f>
        <v>#REF!</v>
      </c>
    </row>
    <row r="1239" spans="1:669" hidden="1">
      <c r="A1239" s="35">
        <v>957</v>
      </c>
      <c r="B1239" s="38">
        <v>20</v>
      </c>
      <c r="C1239" s="37" t="s">
        <v>129</v>
      </c>
      <c r="D1239" s="37">
        <v>15</v>
      </c>
      <c r="E1239" s="37" t="s">
        <v>1149</v>
      </c>
      <c r="YS1239" s="38" t="e">
        <f>RIGHT(CONCATENATE(0,#REF!),7)</f>
        <v>#REF!</v>
      </c>
    </row>
    <row r="1240" spans="1:669" hidden="1">
      <c r="A1240" s="35">
        <v>958</v>
      </c>
      <c r="B1240" s="38">
        <v>20</v>
      </c>
      <c r="C1240" s="37" t="s">
        <v>129</v>
      </c>
      <c r="D1240" s="37">
        <v>16</v>
      </c>
      <c r="E1240" s="37" t="s">
        <v>1150</v>
      </c>
      <c r="YS1240" s="38" t="e">
        <f>RIGHT(CONCATENATE(0,#REF!),7)</f>
        <v>#REF!</v>
      </c>
    </row>
    <row r="1241" spans="1:669" hidden="1">
      <c r="A1241" s="35">
        <v>959</v>
      </c>
      <c r="B1241" s="38">
        <v>20</v>
      </c>
      <c r="C1241" s="37" t="s">
        <v>129</v>
      </c>
      <c r="D1241" s="37">
        <v>17</v>
      </c>
      <c r="E1241" s="37" t="s">
        <v>1151</v>
      </c>
      <c r="YS1241" s="38" t="e">
        <f>RIGHT(CONCATENATE(0,#REF!),7)</f>
        <v>#REF!</v>
      </c>
    </row>
    <row r="1242" spans="1:669" hidden="1">
      <c r="A1242" s="35">
        <v>960</v>
      </c>
      <c r="B1242" s="38">
        <v>20</v>
      </c>
      <c r="C1242" s="37" t="s">
        <v>129</v>
      </c>
      <c r="D1242" s="37">
        <v>18</v>
      </c>
      <c r="E1242" s="37" t="s">
        <v>1152</v>
      </c>
      <c r="YS1242" s="38" t="e">
        <f>RIGHT(CONCATENATE(0,#REF!),7)</f>
        <v>#REF!</v>
      </c>
    </row>
    <row r="1243" spans="1:669" hidden="1">
      <c r="A1243" s="35">
        <v>961</v>
      </c>
      <c r="B1243" s="38">
        <v>20</v>
      </c>
      <c r="C1243" s="37" t="s">
        <v>129</v>
      </c>
      <c r="D1243" s="37">
        <v>19</v>
      </c>
      <c r="E1243" s="37" t="s">
        <v>1153</v>
      </c>
      <c r="YS1243" s="38" t="e">
        <f>RIGHT(CONCATENATE(0,#REF!),7)</f>
        <v>#REF!</v>
      </c>
    </row>
    <row r="1244" spans="1:669" hidden="1">
      <c r="A1244" s="35">
        <v>962</v>
      </c>
      <c r="B1244" s="38">
        <v>20</v>
      </c>
      <c r="C1244" s="37" t="s">
        <v>129</v>
      </c>
      <c r="D1244" s="37">
        <v>20</v>
      </c>
      <c r="E1244" s="37" t="s">
        <v>1154</v>
      </c>
      <c r="YS1244" s="38" t="e">
        <f>RIGHT(CONCATENATE(0,#REF!),7)</f>
        <v>#REF!</v>
      </c>
    </row>
    <row r="1245" spans="1:669" hidden="1">
      <c r="A1245" s="35">
        <v>963</v>
      </c>
      <c r="B1245" s="38">
        <v>20</v>
      </c>
      <c r="C1245" s="37" t="s">
        <v>129</v>
      </c>
      <c r="D1245" s="37">
        <v>21</v>
      </c>
      <c r="E1245" s="37" t="s">
        <v>1155</v>
      </c>
      <c r="YS1245" s="38" t="e">
        <f>RIGHT(CONCATENATE(0,#REF!),7)</f>
        <v>#REF!</v>
      </c>
    </row>
    <row r="1246" spans="1:669" hidden="1">
      <c r="A1246" s="35">
        <v>964</v>
      </c>
      <c r="B1246" s="38">
        <v>20</v>
      </c>
      <c r="C1246" s="37" t="s">
        <v>129</v>
      </c>
      <c r="D1246" s="37">
        <v>22</v>
      </c>
      <c r="E1246" s="37" t="s">
        <v>1156</v>
      </c>
      <c r="YS1246" s="38" t="e">
        <f>RIGHT(CONCATENATE(0,#REF!),7)</f>
        <v>#REF!</v>
      </c>
    </row>
    <row r="1247" spans="1:669" hidden="1">
      <c r="A1247" s="35">
        <v>965</v>
      </c>
      <c r="B1247" s="38">
        <v>20</v>
      </c>
      <c r="C1247" s="37" t="s">
        <v>129</v>
      </c>
      <c r="D1247" s="37">
        <v>23</v>
      </c>
      <c r="E1247" s="37" t="s">
        <v>1157</v>
      </c>
      <c r="YS1247" s="38" t="e">
        <f>RIGHT(CONCATENATE(0,#REF!),7)</f>
        <v>#REF!</v>
      </c>
    </row>
    <row r="1248" spans="1:669" hidden="1">
      <c r="A1248" s="35">
        <v>966</v>
      </c>
      <c r="B1248" s="38">
        <v>20</v>
      </c>
      <c r="C1248" s="37" t="s">
        <v>129</v>
      </c>
      <c r="D1248" s="37">
        <v>24</v>
      </c>
      <c r="E1248" s="37" t="s">
        <v>1158</v>
      </c>
      <c r="YS1248" s="38" t="e">
        <f>RIGHT(CONCATENATE(0,#REF!),7)</f>
        <v>#REF!</v>
      </c>
    </row>
    <row r="1249" spans="1:669" hidden="1">
      <c r="A1249" s="35">
        <v>967</v>
      </c>
      <c r="B1249" s="38">
        <v>20</v>
      </c>
      <c r="C1249" s="37" t="s">
        <v>129</v>
      </c>
      <c r="D1249" s="37">
        <v>25</v>
      </c>
      <c r="E1249" s="37" t="s">
        <v>1159</v>
      </c>
      <c r="YS1249" s="38" t="e">
        <f>RIGHT(CONCATENATE(0,#REF!),7)</f>
        <v>#REF!</v>
      </c>
    </row>
    <row r="1250" spans="1:669" hidden="1">
      <c r="A1250" s="35">
        <v>968</v>
      </c>
      <c r="B1250" s="38">
        <v>20</v>
      </c>
      <c r="C1250" s="37" t="s">
        <v>129</v>
      </c>
      <c r="D1250" s="37">
        <v>26</v>
      </c>
      <c r="E1250" s="37" t="s">
        <v>1160</v>
      </c>
      <c r="YS1250" s="38" t="e">
        <f>RIGHT(CONCATENATE(0,#REF!),7)</f>
        <v>#REF!</v>
      </c>
    </row>
    <row r="1251" spans="1:669" hidden="1">
      <c r="A1251" s="35">
        <v>969</v>
      </c>
      <c r="B1251" s="38">
        <v>20</v>
      </c>
      <c r="C1251" s="37" t="s">
        <v>129</v>
      </c>
      <c r="D1251" s="37">
        <v>27</v>
      </c>
      <c r="E1251" s="37" t="s">
        <v>1161</v>
      </c>
      <c r="YS1251" s="38" t="e">
        <f>RIGHT(CONCATENATE(0,#REF!),7)</f>
        <v>#REF!</v>
      </c>
    </row>
    <row r="1252" spans="1:669" hidden="1">
      <c r="A1252" s="35">
        <v>970</v>
      </c>
      <c r="B1252" s="38">
        <v>20</v>
      </c>
      <c r="C1252" s="37" t="s">
        <v>129</v>
      </c>
      <c r="D1252" s="37">
        <v>28</v>
      </c>
      <c r="E1252" s="37" t="s">
        <v>1162</v>
      </c>
      <c r="YS1252" s="38" t="e">
        <f>RIGHT(CONCATENATE(0,#REF!),7)</f>
        <v>#REF!</v>
      </c>
    </row>
    <row r="1253" spans="1:669" hidden="1">
      <c r="A1253" s="35">
        <v>971</v>
      </c>
      <c r="B1253" s="38">
        <v>20</v>
      </c>
      <c r="C1253" s="37" t="s">
        <v>129</v>
      </c>
      <c r="D1253" s="37">
        <v>29</v>
      </c>
      <c r="E1253" s="37" t="s">
        <v>1163</v>
      </c>
      <c r="YS1253" s="38" t="e">
        <f>RIGHT(CONCATENATE(0,#REF!),7)</f>
        <v>#REF!</v>
      </c>
    </row>
    <row r="1254" spans="1:669" hidden="1">
      <c r="A1254" s="35">
        <v>972</v>
      </c>
      <c r="B1254" s="38">
        <v>20</v>
      </c>
      <c r="C1254" s="37" t="s">
        <v>129</v>
      </c>
      <c r="D1254" s="37">
        <v>30</v>
      </c>
      <c r="E1254" s="37" t="s">
        <v>1164</v>
      </c>
      <c r="YS1254" s="38" t="e">
        <f>RIGHT(CONCATENATE(0,#REF!),7)</f>
        <v>#REF!</v>
      </c>
    </row>
    <row r="1255" spans="1:669" hidden="1">
      <c r="A1255" s="35">
        <v>973</v>
      </c>
      <c r="B1255" s="38">
        <v>20</v>
      </c>
      <c r="C1255" s="37" t="s">
        <v>129</v>
      </c>
      <c r="D1255" s="37">
        <v>31</v>
      </c>
      <c r="E1255" s="37" t="s">
        <v>1165</v>
      </c>
      <c r="YS1255" s="38" t="e">
        <f>RIGHT(CONCATENATE(0,#REF!),7)</f>
        <v>#REF!</v>
      </c>
    </row>
    <row r="1256" spans="1:669" hidden="1">
      <c r="A1256" s="35">
        <v>974</v>
      </c>
      <c r="B1256" s="38">
        <v>20</v>
      </c>
      <c r="C1256" s="37" t="s">
        <v>129</v>
      </c>
      <c r="D1256" s="37">
        <v>32</v>
      </c>
      <c r="E1256" s="37" t="s">
        <v>1166</v>
      </c>
      <c r="YS1256" s="38" t="e">
        <f>RIGHT(CONCATENATE(0,#REF!),7)</f>
        <v>#REF!</v>
      </c>
    </row>
    <row r="1257" spans="1:669" hidden="1">
      <c r="A1257" s="35">
        <v>975</v>
      </c>
      <c r="B1257" s="38">
        <v>20</v>
      </c>
      <c r="C1257" s="37" t="s">
        <v>129</v>
      </c>
      <c r="D1257" s="37">
        <v>33</v>
      </c>
      <c r="E1257" s="37" t="s">
        <v>1167</v>
      </c>
      <c r="YS1257" s="38" t="e">
        <f>RIGHT(CONCATENATE(0,#REF!),7)</f>
        <v>#REF!</v>
      </c>
    </row>
    <row r="1258" spans="1:669" hidden="1">
      <c r="A1258" s="35">
        <v>976</v>
      </c>
      <c r="B1258" s="38">
        <v>20</v>
      </c>
      <c r="C1258" s="37" t="s">
        <v>129</v>
      </c>
      <c r="D1258" s="37">
        <v>34</v>
      </c>
      <c r="E1258" s="37" t="s">
        <v>129</v>
      </c>
      <c r="YS1258" s="38" t="e">
        <f>RIGHT(CONCATENATE(0,#REF!),7)</f>
        <v>#REF!</v>
      </c>
    </row>
    <row r="1259" spans="1:669" hidden="1">
      <c r="A1259" s="35">
        <v>977</v>
      </c>
      <c r="B1259" s="38">
        <v>21</v>
      </c>
      <c r="C1259" s="37" t="s">
        <v>132</v>
      </c>
      <c r="D1259" s="37">
        <v>1</v>
      </c>
      <c r="E1259" s="37" t="s">
        <v>673</v>
      </c>
      <c r="YS1259" s="38" t="e">
        <f>RIGHT(CONCATENATE(0,#REF!),7)</f>
        <v>#REF!</v>
      </c>
    </row>
    <row r="1260" spans="1:669" hidden="1">
      <c r="A1260" s="35">
        <v>978</v>
      </c>
      <c r="B1260" s="38">
        <v>21</v>
      </c>
      <c r="C1260" s="37" t="s">
        <v>132</v>
      </c>
      <c r="D1260" s="37">
        <v>2</v>
      </c>
      <c r="E1260" s="37" t="s">
        <v>1168</v>
      </c>
      <c r="YS1260" s="38" t="e">
        <f>RIGHT(CONCATENATE(0,#REF!),7)</f>
        <v>#REF!</v>
      </c>
    </row>
    <row r="1261" spans="1:669" hidden="1">
      <c r="A1261" s="35">
        <v>979</v>
      </c>
      <c r="B1261" s="38">
        <v>21</v>
      </c>
      <c r="C1261" s="37" t="s">
        <v>132</v>
      </c>
      <c r="D1261" s="37">
        <v>3</v>
      </c>
      <c r="E1261" s="37" t="s">
        <v>1169</v>
      </c>
      <c r="YS1261" s="38" t="e">
        <f>RIGHT(CONCATENATE(0,#REF!),7)</f>
        <v>#REF!</v>
      </c>
    </row>
    <row r="1262" spans="1:669" hidden="1">
      <c r="A1262" s="35">
        <v>980</v>
      </c>
      <c r="B1262" s="38">
        <v>21</v>
      </c>
      <c r="C1262" s="37" t="s">
        <v>132</v>
      </c>
      <c r="D1262" s="37">
        <v>4</v>
      </c>
      <c r="E1262" s="37" t="s">
        <v>1170</v>
      </c>
      <c r="YS1262" s="38" t="e">
        <f>RIGHT(CONCATENATE(0,#REF!),7)</f>
        <v>#REF!</v>
      </c>
    </row>
    <row r="1263" spans="1:669" hidden="1">
      <c r="A1263" s="35">
        <v>981</v>
      </c>
      <c r="B1263" s="38">
        <v>21</v>
      </c>
      <c r="C1263" s="37" t="s">
        <v>132</v>
      </c>
      <c r="D1263" s="37">
        <v>5</v>
      </c>
      <c r="E1263" s="37" t="s">
        <v>1171</v>
      </c>
      <c r="YS1263" s="38" t="e">
        <f>RIGHT(CONCATENATE(0,#REF!),7)</f>
        <v>#REF!</v>
      </c>
    </row>
    <row r="1264" spans="1:669" hidden="1">
      <c r="A1264" s="35">
        <v>982</v>
      </c>
      <c r="B1264" s="38">
        <v>21</v>
      </c>
      <c r="C1264" s="37" t="s">
        <v>132</v>
      </c>
      <c r="D1264" s="37">
        <v>6</v>
      </c>
      <c r="E1264" s="37" t="s">
        <v>1172</v>
      </c>
      <c r="YS1264" s="38" t="e">
        <f>RIGHT(CONCATENATE(0,#REF!),7)</f>
        <v>#REF!</v>
      </c>
    </row>
    <row r="1265" spans="1:669" hidden="1">
      <c r="A1265" s="35">
        <v>983</v>
      </c>
      <c r="B1265" s="38">
        <v>21</v>
      </c>
      <c r="C1265" s="37" t="s">
        <v>132</v>
      </c>
      <c r="D1265" s="37">
        <v>7</v>
      </c>
      <c r="E1265" s="37" t="s">
        <v>1173</v>
      </c>
      <c r="YS1265" s="38" t="e">
        <f>RIGHT(CONCATENATE(0,#REF!),7)</f>
        <v>#REF!</v>
      </c>
    </row>
    <row r="1266" spans="1:669" hidden="1">
      <c r="A1266" s="35">
        <v>984</v>
      </c>
      <c r="B1266" s="38">
        <v>21</v>
      </c>
      <c r="C1266" s="37" t="s">
        <v>132</v>
      </c>
      <c r="D1266" s="37">
        <v>8</v>
      </c>
      <c r="E1266" s="37" t="s">
        <v>1174</v>
      </c>
      <c r="YS1266" s="38" t="e">
        <f>RIGHT(CONCATENATE(0,#REF!),7)</f>
        <v>#REF!</v>
      </c>
    </row>
    <row r="1267" spans="1:669" hidden="1">
      <c r="A1267" s="35">
        <v>985</v>
      </c>
      <c r="B1267" s="38">
        <v>21</v>
      </c>
      <c r="C1267" s="37" t="s">
        <v>132</v>
      </c>
      <c r="D1267" s="37">
        <v>9</v>
      </c>
      <c r="E1267" s="37" t="s">
        <v>1175</v>
      </c>
      <c r="YS1267" s="38" t="e">
        <f>RIGHT(CONCATENATE(0,#REF!),7)</f>
        <v>#REF!</v>
      </c>
    </row>
    <row r="1268" spans="1:669" hidden="1">
      <c r="A1268" s="35">
        <v>986</v>
      </c>
      <c r="B1268" s="38">
        <v>21</v>
      </c>
      <c r="C1268" s="37" t="s">
        <v>132</v>
      </c>
      <c r="D1268" s="37">
        <v>10</v>
      </c>
      <c r="E1268" s="37" t="s">
        <v>1176</v>
      </c>
      <c r="YS1268" s="38" t="e">
        <f>RIGHT(CONCATENATE(0,#REF!),7)</f>
        <v>#REF!</v>
      </c>
    </row>
    <row r="1269" spans="1:669" hidden="1">
      <c r="A1269" s="35">
        <v>987</v>
      </c>
      <c r="B1269" s="38">
        <v>21</v>
      </c>
      <c r="C1269" s="37" t="s">
        <v>132</v>
      </c>
      <c r="D1269" s="37">
        <v>11</v>
      </c>
      <c r="E1269" s="37" t="s">
        <v>1177</v>
      </c>
      <c r="YS1269" s="38" t="e">
        <f>RIGHT(CONCATENATE(0,#REF!),7)</f>
        <v>#REF!</v>
      </c>
    </row>
    <row r="1270" spans="1:669" hidden="1">
      <c r="A1270" s="35">
        <v>988</v>
      </c>
      <c r="B1270" s="38">
        <v>21</v>
      </c>
      <c r="C1270" s="37" t="s">
        <v>132</v>
      </c>
      <c r="D1270" s="37">
        <v>12</v>
      </c>
      <c r="E1270" s="37" t="s">
        <v>1178</v>
      </c>
      <c r="YS1270" s="38" t="e">
        <f>RIGHT(CONCATENATE(0,#REF!),7)</f>
        <v>#REF!</v>
      </c>
    </row>
    <row r="1271" spans="1:669" hidden="1">
      <c r="A1271" s="35">
        <v>989</v>
      </c>
      <c r="B1271" s="38">
        <v>21</v>
      </c>
      <c r="C1271" s="37" t="s">
        <v>132</v>
      </c>
      <c r="D1271" s="37">
        <v>13</v>
      </c>
      <c r="E1271" s="37" t="s">
        <v>1179</v>
      </c>
      <c r="YS1271" s="38" t="e">
        <f>RIGHT(CONCATENATE(0,#REF!),7)</f>
        <v>#REF!</v>
      </c>
    </row>
    <row r="1272" spans="1:669" hidden="1">
      <c r="A1272" s="35">
        <v>990</v>
      </c>
      <c r="B1272" s="38">
        <v>21</v>
      </c>
      <c r="C1272" s="37" t="s">
        <v>132</v>
      </c>
      <c r="D1272" s="37">
        <v>14</v>
      </c>
      <c r="E1272" s="37" t="s">
        <v>1180</v>
      </c>
      <c r="YS1272" s="38" t="e">
        <f>RIGHT(CONCATENATE(0,#REF!),7)</f>
        <v>#REF!</v>
      </c>
    </row>
    <row r="1273" spans="1:669" hidden="1">
      <c r="A1273" s="35">
        <v>991</v>
      </c>
      <c r="B1273" s="38">
        <v>21</v>
      </c>
      <c r="C1273" s="37" t="s">
        <v>132</v>
      </c>
      <c r="D1273" s="37">
        <v>15</v>
      </c>
      <c r="E1273" s="37" t="s">
        <v>1181</v>
      </c>
      <c r="YS1273" s="38" t="e">
        <f>RIGHT(CONCATENATE(0,#REF!),7)</f>
        <v>#REF!</v>
      </c>
    </row>
    <row r="1274" spans="1:669" hidden="1">
      <c r="A1274" s="35">
        <v>992</v>
      </c>
      <c r="B1274" s="38">
        <v>21</v>
      </c>
      <c r="C1274" s="37" t="s">
        <v>132</v>
      </c>
      <c r="D1274" s="37">
        <v>16</v>
      </c>
      <c r="E1274" s="37" t="s">
        <v>635</v>
      </c>
      <c r="YS1274" s="38" t="e">
        <f>RIGHT(CONCATENATE(0,#REF!),7)</f>
        <v>#REF!</v>
      </c>
    </row>
    <row r="1275" spans="1:669" hidden="1">
      <c r="A1275" s="35">
        <v>993</v>
      </c>
      <c r="B1275" s="38">
        <v>21</v>
      </c>
      <c r="C1275" s="37" t="s">
        <v>132</v>
      </c>
      <c r="D1275" s="37">
        <v>17</v>
      </c>
      <c r="E1275" s="37" t="s">
        <v>1182</v>
      </c>
      <c r="YS1275" s="38" t="e">
        <f>RIGHT(CONCATENATE(0,#REF!),7)</f>
        <v>#REF!</v>
      </c>
    </row>
    <row r="1276" spans="1:669" hidden="1">
      <c r="A1276" s="35">
        <v>994</v>
      </c>
      <c r="B1276" s="38">
        <v>21</v>
      </c>
      <c r="C1276" s="37" t="s">
        <v>132</v>
      </c>
      <c r="D1276" s="37">
        <v>18</v>
      </c>
      <c r="E1276" s="37" t="s">
        <v>1183</v>
      </c>
      <c r="YS1276" s="38" t="e">
        <f>RIGHT(CONCATENATE(0,#REF!),7)</f>
        <v>#REF!</v>
      </c>
    </row>
    <row r="1277" spans="1:669" hidden="1">
      <c r="A1277" s="35">
        <v>995</v>
      </c>
      <c r="B1277" s="38">
        <v>21</v>
      </c>
      <c r="C1277" s="37" t="s">
        <v>132</v>
      </c>
      <c r="D1277" s="37">
        <v>19</v>
      </c>
      <c r="E1277" s="37" t="s">
        <v>1184</v>
      </c>
      <c r="YS1277" s="38" t="e">
        <f>RIGHT(CONCATENATE(0,#REF!),7)</f>
        <v>#REF!</v>
      </c>
    </row>
    <row r="1278" spans="1:669" hidden="1">
      <c r="A1278" s="35">
        <v>996</v>
      </c>
      <c r="B1278" s="38">
        <v>21</v>
      </c>
      <c r="C1278" s="37" t="s">
        <v>132</v>
      </c>
      <c r="D1278" s="37">
        <v>20</v>
      </c>
      <c r="E1278" s="37" t="s">
        <v>1185</v>
      </c>
      <c r="YS1278" s="38" t="e">
        <f>RIGHT(CONCATENATE(0,#REF!),7)</f>
        <v>#REF!</v>
      </c>
    </row>
    <row r="1279" spans="1:669" hidden="1">
      <c r="A1279" s="35">
        <v>997</v>
      </c>
      <c r="B1279" s="38">
        <v>21</v>
      </c>
      <c r="C1279" s="37" t="s">
        <v>132</v>
      </c>
      <c r="D1279" s="37">
        <v>21</v>
      </c>
      <c r="E1279" s="37" t="s">
        <v>1186</v>
      </c>
      <c r="YS1279" s="38" t="e">
        <f>RIGHT(CONCATENATE(0,#REF!),7)</f>
        <v>#REF!</v>
      </c>
    </row>
    <row r="1280" spans="1:669" hidden="1">
      <c r="A1280" s="35">
        <v>998</v>
      </c>
      <c r="B1280" s="38">
        <v>21</v>
      </c>
      <c r="C1280" s="37" t="s">
        <v>132</v>
      </c>
      <c r="D1280" s="37">
        <v>22</v>
      </c>
      <c r="E1280" s="37" t="s">
        <v>1187</v>
      </c>
      <c r="YS1280" s="38" t="e">
        <f>RIGHT(CONCATENATE(0,#REF!),7)</f>
        <v>#REF!</v>
      </c>
    </row>
    <row r="1281" spans="1:669" hidden="1">
      <c r="A1281" s="35">
        <v>999</v>
      </c>
      <c r="B1281" s="38">
        <v>21</v>
      </c>
      <c r="C1281" s="37" t="s">
        <v>132</v>
      </c>
      <c r="D1281" s="37">
        <v>23</v>
      </c>
      <c r="E1281" s="37" t="s">
        <v>596</v>
      </c>
      <c r="YS1281" s="38" t="e">
        <f>RIGHT(CONCATENATE(0,#REF!),7)</f>
        <v>#REF!</v>
      </c>
    </row>
    <row r="1282" spans="1:669" hidden="1">
      <c r="A1282" s="35">
        <v>1000</v>
      </c>
      <c r="B1282" s="38">
        <v>21</v>
      </c>
      <c r="C1282" s="37" t="s">
        <v>132</v>
      </c>
      <c r="D1282" s="37">
        <v>24</v>
      </c>
      <c r="E1282" s="37" t="s">
        <v>1188</v>
      </c>
      <c r="YS1282" s="38" t="e">
        <f>RIGHT(CONCATENATE(0,#REF!),7)</f>
        <v>#REF!</v>
      </c>
    </row>
    <row r="1283" spans="1:669" hidden="1">
      <c r="A1283" s="35">
        <v>1001</v>
      </c>
      <c r="B1283" s="38">
        <v>21</v>
      </c>
      <c r="C1283" s="37" t="s">
        <v>132</v>
      </c>
      <c r="D1283" s="37">
        <v>25</v>
      </c>
      <c r="E1283" s="37" t="s">
        <v>1189</v>
      </c>
      <c r="YS1283" s="38" t="e">
        <f>RIGHT(CONCATENATE(0,#REF!),7)</f>
        <v>#REF!</v>
      </c>
    </row>
    <row r="1284" spans="1:669" hidden="1">
      <c r="A1284" s="35">
        <v>1002</v>
      </c>
      <c r="B1284" s="38">
        <v>21</v>
      </c>
      <c r="C1284" s="37" t="s">
        <v>132</v>
      </c>
      <c r="D1284" s="37">
        <v>26</v>
      </c>
      <c r="E1284" s="37" t="s">
        <v>758</v>
      </c>
      <c r="YS1284" s="38" t="e">
        <f>RIGHT(CONCATENATE(0,#REF!),7)</f>
        <v>#REF!</v>
      </c>
    </row>
    <row r="1285" spans="1:669" hidden="1">
      <c r="A1285" s="35">
        <v>1003</v>
      </c>
      <c r="B1285" s="38">
        <v>21</v>
      </c>
      <c r="C1285" s="37" t="s">
        <v>132</v>
      </c>
      <c r="D1285" s="37">
        <v>27</v>
      </c>
      <c r="E1285" s="37" t="s">
        <v>1190</v>
      </c>
      <c r="YS1285" s="38" t="e">
        <f>RIGHT(CONCATENATE(0,#REF!),7)</f>
        <v>#REF!</v>
      </c>
    </row>
    <row r="1286" spans="1:669" hidden="1">
      <c r="A1286" s="35">
        <v>1004</v>
      </c>
      <c r="B1286" s="38">
        <v>21</v>
      </c>
      <c r="C1286" s="37" t="s">
        <v>132</v>
      </c>
      <c r="D1286" s="37">
        <v>28</v>
      </c>
      <c r="E1286" s="37" t="s">
        <v>1191</v>
      </c>
      <c r="YS1286" s="38" t="e">
        <f>RIGHT(CONCATENATE(0,#REF!),7)</f>
        <v>#REF!</v>
      </c>
    </row>
    <row r="1287" spans="1:669" hidden="1">
      <c r="A1287" s="35">
        <v>1005</v>
      </c>
      <c r="B1287" s="38">
        <v>21</v>
      </c>
      <c r="C1287" s="37" t="s">
        <v>132</v>
      </c>
      <c r="D1287" s="37">
        <v>29</v>
      </c>
      <c r="E1287" s="37" t="s">
        <v>1192</v>
      </c>
      <c r="YS1287" s="38" t="e">
        <f>RIGHT(CONCATENATE(0,#REF!),7)</f>
        <v>#REF!</v>
      </c>
    </row>
    <row r="1288" spans="1:669" hidden="1">
      <c r="A1288" s="35">
        <v>1006</v>
      </c>
      <c r="B1288" s="38">
        <v>21</v>
      </c>
      <c r="C1288" s="37" t="s">
        <v>132</v>
      </c>
      <c r="D1288" s="37">
        <v>30</v>
      </c>
      <c r="E1288" s="37" t="s">
        <v>1193</v>
      </c>
      <c r="YS1288" s="38" t="e">
        <f>RIGHT(CONCATENATE(0,#REF!),7)</f>
        <v>#REF!</v>
      </c>
    </row>
    <row r="1289" spans="1:669" hidden="1">
      <c r="A1289" s="35">
        <v>1007</v>
      </c>
      <c r="B1289" s="38">
        <v>21</v>
      </c>
      <c r="C1289" s="37" t="s">
        <v>132</v>
      </c>
      <c r="D1289" s="37">
        <v>31</v>
      </c>
      <c r="E1289" s="37" t="s">
        <v>806</v>
      </c>
      <c r="YS1289" s="38" t="e">
        <f>RIGHT(CONCATENATE(0,#REF!),7)</f>
        <v>#REF!</v>
      </c>
    </row>
    <row r="1290" spans="1:669" hidden="1">
      <c r="A1290" s="35">
        <v>1008</v>
      </c>
      <c r="B1290" s="38">
        <v>21</v>
      </c>
      <c r="C1290" s="37" t="s">
        <v>132</v>
      </c>
      <c r="D1290" s="37">
        <v>32</v>
      </c>
      <c r="E1290" s="37" t="s">
        <v>1194</v>
      </c>
      <c r="YS1290" s="38" t="e">
        <f>RIGHT(CONCATENATE(0,#REF!),7)</f>
        <v>#REF!</v>
      </c>
    </row>
    <row r="1291" spans="1:669" hidden="1">
      <c r="A1291" s="35">
        <v>1009</v>
      </c>
      <c r="B1291" s="38">
        <v>21</v>
      </c>
      <c r="C1291" s="37" t="s">
        <v>132</v>
      </c>
      <c r="D1291" s="37">
        <v>33</v>
      </c>
      <c r="E1291" s="37" t="s">
        <v>1195</v>
      </c>
      <c r="YS1291" s="38" t="e">
        <f>RIGHT(CONCATENATE(0,#REF!),7)</f>
        <v>#REF!</v>
      </c>
    </row>
    <row r="1292" spans="1:669" hidden="1">
      <c r="A1292" s="35">
        <v>1010</v>
      </c>
      <c r="B1292" s="38">
        <v>21</v>
      </c>
      <c r="C1292" s="37" t="s">
        <v>132</v>
      </c>
      <c r="D1292" s="37">
        <v>34</v>
      </c>
      <c r="E1292" s="37" t="s">
        <v>1196</v>
      </c>
      <c r="YS1292" s="38" t="e">
        <f>RIGHT(CONCATENATE(0,#REF!),7)</f>
        <v>#REF!</v>
      </c>
    </row>
    <row r="1293" spans="1:669" hidden="1">
      <c r="A1293" s="35">
        <v>1011</v>
      </c>
      <c r="B1293" s="38">
        <v>21</v>
      </c>
      <c r="C1293" s="37" t="s">
        <v>132</v>
      </c>
      <c r="D1293" s="37">
        <v>35</v>
      </c>
      <c r="E1293" s="37" t="s">
        <v>1197</v>
      </c>
      <c r="YS1293" s="38" t="e">
        <f>RIGHT(CONCATENATE(0,#REF!),7)</f>
        <v>#REF!</v>
      </c>
    </row>
    <row r="1294" spans="1:669" hidden="1">
      <c r="A1294" s="35">
        <v>1012</v>
      </c>
      <c r="B1294" s="38">
        <v>21</v>
      </c>
      <c r="C1294" s="37" t="s">
        <v>132</v>
      </c>
      <c r="D1294" s="37">
        <v>36</v>
      </c>
      <c r="E1294" s="37" t="s">
        <v>1198</v>
      </c>
      <c r="YS1294" s="38" t="e">
        <f>RIGHT(CONCATENATE(0,#REF!),7)</f>
        <v>#REF!</v>
      </c>
    </row>
    <row r="1295" spans="1:669" hidden="1">
      <c r="A1295" s="35">
        <v>1013</v>
      </c>
      <c r="B1295" s="38">
        <v>21</v>
      </c>
      <c r="C1295" s="37" t="s">
        <v>132</v>
      </c>
      <c r="D1295" s="37">
        <v>37</v>
      </c>
      <c r="E1295" s="37" t="s">
        <v>1199</v>
      </c>
      <c r="YS1295" s="38" t="e">
        <f>RIGHT(CONCATENATE(0,#REF!),7)</f>
        <v>#REF!</v>
      </c>
    </row>
    <row r="1296" spans="1:669" hidden="1">
      <c r="A1296" s="35">
        <v>1014</v>
      </c>
      <c r="B1296" s="38">
        <v>21</v>
      </c>
      <c r="C1296" s="37" t="s">
        <v>132</v>
      </c>
      <c r="D1296" s="37">
        <v>38</v>
      </c>
      <c r="E1296" s="37" t="s">
        <v>1200</v>
      </c>
      <c r="YS1296" s="38" t="e">
        <f>RIGHT(CONCATENATE(0,#REF!),7)</f>
        <v>#REF!</v>
      </c>
    </row>
    <row r="1297" spans="1:669" hidden="1">
      <c r="A1297" s="35">
        <v>1015</v>
      </c>
      <c r="B1297" s="38">
        <v>21</v>
      </c>
      <c r="C1297" s="37" t="s">
        <v>132</v>
      </c>
      <c r="D1297" s="37">
        <v>39</v>
      </c>
      <c r="E1297" s="37" t="s">
        <v>1201</v>
      </c>
      <c r="YS1297" s="38" t="e">
        <f>RIGHT(CONCATENATE(0,#REF!),7)</f>
        <v>#REF!</v>
      </c>
    </row>
    <row r="1298" spans="1:669" hidden="1">
      <c r="A1298" s="35">
        <v>1016</v>
      </c>
      <c r="B1298" s="38">
        <v>21</v>
      </c>
      <c r="C1298" s="37" t="s">
        <v>132</v>
      </c>
      <c r="D1298" s="37">
        <v>40</v>
      </c>
      <c r="E1298" s="37" t="s">
        <v>1202</v>
      </c>
      <c r="YS1298" s="38" t="e">
        <f>RIGHT(CONCATENATE(0,#REF!),7)</f>
        <v>#REF!</v>
      </c>
    </row>
    <row r="1299" spans="1:669" hidden="1">
      <c r="A1299" s="35">
        <v>1017</v>
      </c>
      <c r="B1299" s="38">
        <v>21</v>
      </c>
      <c r="C1299" s="37" t="s">
        <v>132</v>
      </c>
      <c r="D1299" s="37">
        <v>41</v>
      </c>
      <c r="E1299" s="37" t="s">
        <v>1203</v>
      </c>
      <c r="YS1299" s="38" t="e">
        <f>RIGHT(CONCATENATE(0,#REF!),7)</f>
        <v>#REF!</v>
      </c>
    </row>
    <row r="1300" spans="1:669" hidden="1">
      <c r="A1300" s="35">
        <v>1018</v>
      </c>
      <c r="B1300" s="38">
        <v>21</v>
      </c>
      <c r="C1300" s="37" t="s">
        <v>132</v>
      </c>
      <c r="D1300" s="37">
        <v>42</v>
      </c>
      <c r="E1300" s="37" t="s">
        <v>1204</v>
      </c>
      <c r="YS1300" s="38" t="e">
        <f>RIGHT(CONCATENATE(0,#REF!),7)</f>
        <v>#REF!</v>
      </c>
    </row>
    <row r="1301" spans="1:669" hidden="1">
      <c r="A1301" s="35">
        <v>1019</v>
      </c>
      <c r="B1301" s="38">
        <v>21</v>
      </c>
      <c r="C1301" s="37" t="s">
        <v>132</v>
      </c>
      <c r="D1301" s="37">
        <v>43</v>
      </c>
      <c r="E1301" s="37" t="s">
        <v>1205</v>
      </c>
      <c r="YS1301" s="38" t="e">
        <f>RIGHT(CONCATENATE(0,#REF!),7)</f>
        <v>#REF!</v>
      </c>
    </row>
    <row r="1302" spans="1:669" hidden="1">
      <c r="A1302" s="35">
        <v>1020</v>
      </c>
      <c r="B1302" s="38">
        <v>21</v>
      </c>
      <c r="C1302" s="37" t="s">
        <v>132</v>
      </c>
      <c r="D1302" s="37">
        <v>44</v>
      </c>
      <c r="E1302" s="37" t="s">
        <v>1206</v>
      </c>
      <c r="YS1302" s="38" t="e">
        <f>RIGHT(CONCATENATE(0,#REF!),7)</f>
        <v>#REF!</v>
      </c>
    </row>
    <row r="1303" spans="1:669" hidden="1">
      <c r="A1303" s="35">
        <v>1021</v>
      </c>
      <c r="B1303" s="38">
        <v>21</v>
      </c>
      <c r="C1303" s="37" t="s">
        <v>132</v>
      </c>
      <c r="D1303" s="37">
        <v>45</v>
      </c>
      <c r="E1303" s="37" t="s">
        <v>1207</v>
      </c>
      <c r="YS1303" s="38" t="e">
        <f>RIGHT(CONCATENATE(0,#REF!),7)</f>
        <v>#REF!</v>
      </c>
    </row>
    <row r="1304" spans="1:669" hidden="1">
      <c r="A1304" s="35">
        <v>1022</v>
      </c>
      <c r="B1304" s="38">
        <v>21</v>
      </c>
      <c r="C1304" s="37" t="s">
        <v>132</v>
      </c>
      <c r="D1304" s="37">
        <v>46</v>
      </c>
      <c r="E1304" s="37" t="s">
        <v>1208</v>
      </c>
      <c r="YS1304" s="38" t="e">
        <f>RIGHT(CONCATENATE(0,#REF!),7)</f>
        <v>#REF!</v>
      </c>
    </row>
    <row r="1305" spans="1:669" hidden="1">
      <c r="A1305" s="35">
        <v>1023</v>
      </c>
      <c r="B1305" s="38">
        <v>21</v>
      </c>
      <c r="C1305" s="37" t="s">
        <v>132</v>
      </c>
      <c r="D1305" s="37">
        <v>47</v>
      </c>
      <c r="E1305" s="37" t="s">
        <v>1209</v>
      </c>
      <c r="YS1305" s="38" t="e">
        <f>RIGHT(CONCATENATE(0,#REF!),7)</f>
        <v>#REF!</v>
      </c>
    </row>
    <row r="1306" spans="1:669" hidden="1">
      <c r="A1306" s="35">
        <v>1024</v>
      </c>
      <c r="B1306" s="38">
        <v>21</v>
      </c>
      <c r="C1306" s="37" t="s">
        <v>132</v>
      </c>
      <c r="D1306" s="37">
        <v>48</v>
      </c>
      <c r="E1306" s="37" t="s">
        <v>1210</v>
      </c>
      <c r="YS1306" s="38" t="e">
        <f>RIGHT(CONCATENATE(0,#REF!),7)</f>
        <v>#REF!</v>
      </c>
    </row>
    <row r="1307" spans="1:669" hidden="1">
      <c r="A1307" s="35">
        <v>1025</v>
      </c>
      <c r="B1307" s="38">
        <v>21</v>
      </c>
      <c r="C1307" s="37" t="s">
        <v>132</v>
      </c>
      <c r="D1307" s="37">
        <v>49</v>
      </c>
      <c r="E1307" s="37" t="s">
        <v>1211</v>
      </c>
      <c r="YS1307" s="38" t="e">
        <f>RIGHT(CONCATENATE(0,#REF!),7)</f>
        <v>#REF!</v>
      </c>
    </row>
    <row r="1308" spans="1:669" hidden="1">
      <c r="A1308" s="35">
        <v>1026</v>
      </c>
      <c r="B1308" s="38">
        <v>21</v>
      </c>
      <c r="C1308" s="37" t="s">
        <v>132</v>
      </c>
      <c r="D1308" s="37">
        <v>50</v>
      </c>
      <c r="E1308" s="37" t="s">
        <v>1212</v>
      </c>
      <c r="YS1308" s="38" t="e">
        <f>RIGHT(CONCATENATE(0,#REF!),7)</f>
        <v>#REF!</v>
      </c>
    </row>
    <row r="1309" spans="1:669" hidden="1">
      <c r="A1309" s="35">
        <v>1027</v>
      </c>
      <c r="B1309" s="38">
        <v>22</v>
      </c>
      <c r="C1309" s="37" t="s">
        <v>135</v>
      </c>
      <c r="D1309" s="37">
        <v>1</v>
      </c>
      <c r="E1309" s="37" t="s">
        <v>1213</v>
      </c>
      <c r="YS1309" s="38" t="e">
        <f>RIGHT(CONCATENATE(0,#REF!),7)</f>
        <v>#REF!</v>
      </c>
    </row>
    <row r="1310" spans="1:669" hidden="1">
      <c r="A1310" s="35">
        <v>1028</v>
      </c>
      <c r="B1310" s="38">
        <v>22</v>
      </c>
      <c r="C1310" s="37" t="s">
        <v>135</v>
      </c>
      <c r="D1310" s="37">
        <v>2</v>
      </c>
      <c r="E1310" s="37" t="s">
        <v>1214</v>
      </c>
      <c r="YS1310" s="38" t="e">
        <f>RIGHT(CONCATENATE(0,#REF!),7)</f>
        <v>#REF!</v>
      </c>
    </row>
    <row r="1311" spans="1:669" hidden="1">
      <c r="A1311" s="35">
        <v>1029</v>
      </c>
      <c r="B1311" s="38">
        <v>22</v>
      </c>
      <c r="C1311" s="37" t="s">
        <v>135</v>
      </c>
      <c r="D1311" s="37">
        <v>3</v>
      </c>
      <c r="E1311" s="37" t="s">
        <v>1215</v>
      </c>
      <c r="YS1311" s="38" t="e">
        <f>RIGHT(CONCATENATE(0,#REF!),7)</f>
        <v>#REF!</v>
      </c>
    </row>
    <row r="1312" spans="1:669" hidden="1">
      <c r="A1312" s="35">
        <v>1030</v>
      </c>
      <c r="B1312" s="38">
        <v>22</v>
      </c>
      <c r="C1312" s="37" t="s">
        <v>135</v>
      </c>
      <c r="D1312" s="37">
        <v>4</v>
      </c>
      <c r="E1312" s="37" t="s">
        <v>1216</v>
      </c>
      <c r="YS1312" s="38" t="e">
        <f>RIGHT(CONCATENATE(0,#REF!),7)</f>
        <v>#REF!</v>
      </c>
    </row>
    <row r="1313" spans="1:669" hidden="1">
      <c r="A1313" s="35">
        <v>1031</v>
      </c>
      <c r="B1313" s="38">
        <v>22</v>
      </c>
      <c r="C1313" s="37" t="s">
        <v>135</v>
      </c>
      <c r="D1313" s="37">
        <v>5</v>
      </c>
      <c r="E1313" s="37" t="s">
        <v>1217</v>
      </c>
      <c r="YS1313" s="38" t="e">
        <f>RIGHT(CONCATENATE(0,#REF!),7)</f>
        <v>#REF!</v>
      </c>
    </row>
    <row r="1314" spans="1:669" hidden="1">
      <c r="A1314" s="35">
        <v>1032</v>
      </c>
      <c r="B1314" s="38">
        <v>22</v>
      </c>
      <c r="C1314" s="37" t="s">
        <v>135</v>
      </c>
      <c r="D1314" s="37">
        <v>6</v>
      </c>
      <c r="E1314" s="37" t="s">
        <v>1218</v>
      </c>
      <c r="YS1314" s="38" t="e">
        <f>RIGHT(CONCATENATE(0,#REF!),7)</f>
        <v>#REF!</v>
      </c>
    </row>
    <row r="1315" spans="1:669" hidden="1">
      <c r="A1315" s="35">
        <v>1033</v>
      </c>
      <c r="B1315" s="38">
        <v>22</v>
      </c>
      <c r="C1315" s="37" t="s">
        <v>135</v>
      </c>
      <c r="D1315" s="37">
        <v>7</v>
      </c>
      <c r="E1315" s="37" t="s">
        <v>1219</v>
      </c>
      <c r="YS1315" s="38" t="e">
        <f>RIGHT(CONCATENATE(0,#REF!),7)</f>
        <v>#REF!</v>
      </c>
    </row>
    <row r="1316" spans="1:669" hidden="1">
      <c r="A1316" s="35">
        <v>1034</v>
      </c>
      <c r="B1316" s="38">
        <v>22</v>
      </c>
      <c r="C1316" s="37" t="s">
        <v>135</v>
      </c>
      <c r="D1316" s="37">
        <v>8</v>
      </c>
      <c r="E1316" s="37" t="s">
        <v>1220</v>
      </c>
      <c r="YS1316" s="38" t="e">
        <f>RIGHT(CONCATENATE(0,#REF!),7)</f>
        <v>#REF!</v>
      </c>
    </row>
    <row r="1317" spans="1:669" hidden="1">
      <c r="A1317" s="35">
        <v>1035</v>
      </c>
      <c r="B1317" s="38">
        <v>22</v>
      </c>
      <c r="C1317" s="37" t="s">
        <v>135</v>
      </c>
      <c r="D1317" s="37">
        <v>9</v>
      </c>
      <c r="E1317" s="37" t="s">
        <v>1221</v>
      </c>
      <c r="YS1317" s="38" t="e">
        <f>RIGHT(CONCATENATE(0,#REF!),7)</f>
        <v>#REF!</v>
      </c>
    </row>
    <row r="1318" spans="1:669" hidden="1">
      <c r="A1318" s="35">
        <v>1036</v>
      </c>
      <c r="B1318" s="38">
        <v>22</v>
      </c>
      <c r="C1318" s="37" t="s">
        <v>135</v>
      </c>
      <c r="D1318" s="37">
        <v>10</v>
      </c>
      <c r="E1318" s="37" t="s">
        <v>1222</v>
      </c>
      <c r="YS1318" s="38" t="e">
        <f>RIGHT(CONCATENATE(0,#REF!),7)</f>
        <v>#REF!</v>
      </c>
    </row>
    <row r="1319" spans="1:669" hidden="1">
      <c r="A1319" s="35">
        <v>1037</v>
      </c>
      <c r="B1319" s="38">
        <v>22</v>
      </c>
      <c r="C1319" s="37" t="s">
        <v>135</v>
      </c>
      <c r="D1319" s="37">
        <v>11</v>
      </c>
      <c r="E1319" s="37" t="s">
        <v>1223</v>
      </c>
      <c r="YS1319" s="38" t="e">
        <f>RIGHT(CONCATENATE(0,#REF!),7)</f>
        <v>#REF!</v>
      </c>
    </row>
    <row r="1320" spans="1:669" hidden="1">
      <c r="A1320" s="35">
        <v>1038</v>
      </c>
      <c r="B1320" s="38">
        <v>22</v>
      </c>
      <c r="C1320" s="37" t="s">
        <v>135</v>
      </c>
      <c r="D1320" s="37">
        <v>12</v>
      </c>
      <c r="E1320" s="37" t="s">
        <v>1224</v>
      </c>
      <c r="YS1320" s="38" t="e">
        <f>RIGHT(CONCATENATE(0,#REF!),7)</f>
        <v>#REF!</v>
      </c>
    </row>
    <row r="1321" spans="1:669" hidden="1">
      <c r="A1321" s="35">
        <v>1039</v>
      </c>
      <c r="B1321" s="38">
        <v>22</v>
      </c>
      <c r="C1321" s="37" t="s">
        <v>135</v>
      </c>
      <c r="D1321" s="37">
        <v>13</v>
      </c>
      <c r="E1321" s="37" t="s">
        <v>1225</v>
      </c>
      <c r="YS1321" s="38" t="e">
        <f>RIGHT(CONCATENATE(0,#REF!),7)</f>
        <v>#REF!</v>
      </c>
    </row>
    <row r="1322" spans="1:669" hidden="1">
      <c r="A1322" s="35">
        <v>1040</v>
      </c>
      <c r="B1322" s="38">
        <v>22</v>
      </c>
      <c r="C1322" s="37" t="s">
        <v>135</v>
      </c>
      <c r="D1322" s="37">
        <v>14</v>
      </c>
      <c r="E1322" s="37" t="s">
        <v>1226</v>
      </c>
      <c r="YS1322" s="38" t="e">
        <f>RIGHT(CONCATENATE(0,#REF!),7)</f>
        <v>#REF!</v>
      </c>
    </row>
    <row r="1323" spans="1:669" hidden="1">
      <c r="A1323" s="35">
        <v>1041</v>
      </c>
      <c r="B1323" s="38">
        <v>22</v>
      </c>
      <c r="C1323" s="37" t="s">
        <v>135</v>
      </c>
      <c r="D1323" s="37">
        <v>15</v>
      </c>
      <c r="E1323" s="37" t="s">
        <v>1227</v>
      </c>
      <c r="YS1323" s="38" t="e">
        <f>RIGHT(CONCATENATE(0,#REF!),7)</f>
        <v>#REF!</v>
      </c>
    </row>
    <row r="1324" spans="1:669" hidden="1">
      <c r="A1324" s="35">
        <v>1042</v>
      </c>
      <c r="B1324" s="38">
        <v>22</v>
      </c>
      <c r="C1324" s="37" t="s">
        <v>135</v>
      </c>
      <c r="D1324" s="37">
        <v>16</v>
      </c>
      <c r="E1324" s="37" t="s">
        <v>1228</v>
      </c>
      <c r="YS1324" s="38" t="e">
        <f>RIGHT(CONCATENATE(0,#REF!),7)</f>
        <v>#REF!</v>
      </c>
    </row>
    <row r="1325" spans="1:669" hidden="1">
      <c r="A1325" s="35">
        <v>1043</v>
      </c>
      <c r="B1325" s="38">
        <v>22</v>
      </c>
      <c r="C1325" s="37" t="s">
        <v>135</v>
      </c>
      <c r="D1325" s="37">
        <v>17</v>
      </c>
      <c r="E1325" s="37" t="s">
        <v>1229</v>
      </c>
      <c r="YS1325" s="38" t="e">
        <f>RIGHT(CONCATENATE(0,#REF!),7)</f>
        <v>#REF!</v>
      </c>
    </row>
    <row r="1326" spans="1:669" hidden="1">
      <c r="A1326" s="35">
        <v>1044</v>
      </c>
      <c r="B1326" s="38">
        <v>22</v>
      </c>
      <c r="C1326" s="37" t="s">
        <v>135</v>
      </c>
      <c r="D1326" s="37">
        <v>18</v>
      </c>
      <c r="E1326" s="37" t="s">
        <v>1230</v>
      </c>
      <c r="YS1326" s="38" t="e">
        <f>RIGHT(CONCATENATE(0,#REF!),7)</f>
        <v>#REF!</v>
      </c>
    </row>
    <row r="1327" spans="1:669" hidden="1">
      <c r="A1327" s="35">
        <v>1045</v>
      </c>
      <c r="B1327" s="38">
        <v>22</v>
      </c>
      <c r="C1327" s="37" t="s">
        <v>135</v>
      </c>
      <c r="D1327" s="37">
        <v>19</v>
      </c>
      <c r="E1327" s="37" t="s">
        <v>1231</v>
      </c>
      <c r="YS1327" s="38" t="e">
        <f>RIGHT(CONCATENATE(0,#REF!),7)</f>
        <v>#REF!</v>
      </c>
    </row>
    <row r="1328" spans="1:669" hidden="1">
      <c r="A1328" s="35">
        <v>1046</v>
      </c>
      <c r="B1328" s="38">
        <v>22</v>
      </c>
      <c r="C1328" s="37" t="s">
        <v>135</v>
      </c>
      <c r="D1328" s="37">
        <v>20</v>
      </c>
      <c r="E1328" s="37" t="s">
        <v>1232</v>
      </c>
      <c r="YS1328" s="38" t="e">
        <f>RIGHT(CONCATENATE(0,#REF!),7)</f>
        <v>#REF!</v>
      </c>
    </row>
    <row r="1329" spans="1:669" hidden="1">
      <c r="A1329" s="35">
        <v>1047</v>
      </c>
      <c r="B1329" s="38">
        <v>22</v>
      </c>
      <c r="C1329" s="37" t="s">
        <v>135</v>
      </c>
      <c r="D1329" s="37">
        <v>21</v>
      </c>
      <c r="E1329" s="37" t="s">
        <v>1233</v>
      </c>
      <c r="YS1329" s="38" t="e">
        <f>RIGHT(CONCATENATE(0,#REF!),7)</f>
        <v>#REF!</v>
      </c>
    </row>
    <row r="1330" spans="1:669" hidden="1">
      <c r="A1330" s="35">
        <v>1048</v>
      </c>
      <c r="B1330" s="38">
        <v>22</v>
      </c>
      <c r="C1330" s="37" t="s">
        <v>135</v>
      </c>
      <c r="D1330" s="37">
        <v>22</v>
      </c>
      <c r="E1330" s="37" t="s">
        <v>1234</v>
      </c>
      <c r="YS1330" s="38" t="e">
        <f>RIGHT(CONCATENATE(0,#REF!),7)</f>
        <v>#REF!</v>
      </c>
    </row>
    <row r="1331" spans="1:669" hidden="1">
      <c r="A1331" s="35">
        <v>1049</v>
      </c>
      <c r="B1331" s="38">
        <v>22</v>
      </c>
      <c r="C1331" s="37" t="s">
        <v>135</v>
      </c>
      <c r="D1331" s="37">
        <v>23</v>
      </c>
      <c r="E1331" s="37" t="s">
        <v>1235</v>
      </c>
      <c r="YS1331" s="38" t="e">
        <f>RIGHT(CONCATENATE(0,#REF!),7)</f>
        <v>#REF!</v>
      </c>
    </row>
    <row r="1332" spans="1:669" hidden="1">
      <c r="A1332" s="35">
        <v>1050</v>
      </c>
      <c r="B1332" s="38">
        <v>22</v>
      </c>
      <c r="C1332" s="37" t="s">
        <v>135</v>
      </c>
      <c r="D1332" s="37">
        <v>24</v>
      </c>
      <c r="E1332" s="37" t="s">
        <v>1236</v>
      </c>
      <c r="YS1332" s="38" t="e">
        <f>RIGHT(CONCATENATE(0,#REF!),7)</f>
        <v>#REF!</v>
      </c>
    </row>
    <row r="1333" spans="1:669" hidden="1">
      <c r="A1333" s="35">
        <v>1051</v>
      </c>
      <c r="B1333" s="38">
        <v>22</v>
      </c>
      <c r="C1333" s="37" t="s">
        <v>135</v>
      </c>
      <c r="D1333" s="37">
        <v>25</v>
      </c>
      <c r="E1333" s="37" t="s">
        <v>1237</v>
      </c>
      <c r="YS1333" s="38" t="e">
        <f>RIGHT(CONCATENATE(0,#REF!),7)</f>
        <v>#REF!</v>
      </c>
    </row>
    <row r="1334" spans="1:669" hidden="1">
      <c r="A1334" s="35">
        <v>1052</v>
      </c>
      <c r="B1334" s="38">
        <v>22</v>
      </c>
      <c r="C1334" s="37" t="s">
        <v>135</v>
      </c>
      <c r="D1334" s="37">
        <v>26</v>
      </c>
      <c r="E1334" s="37" t="s">
        <v>1238</v>
      </c>
      <c r="YS1334" s="38" t="e">
        <f>RIGHT(CONCATENATE(0,#REF!),7)</f>
        <v>#REF!</v>
      </c>
    </row>
    <row r="1335" spans="1:669" hidden="1">
      <c r="A1335" s="35">
        <v>1053</v>
      </c>
      <c r="B1335" s="38">
        <v>22</v>
      </c>
      <c r="C1335" s="37" t="s">
        <v>135</v>
      </c>
      <c r="D1335" s="37">
        <v>27</v>
      </c>
      <c r="E1335" s="37" t="s">
        <v>1239</v>
      </c>
      <c r="YS1335" s="38" t="e">
        <f>RIGHT(CONCATENATE(0,#REF!),7)</f>
        <v>#REF!</v>
      </c>
    </row>
    <row r="1336" spans="1:669" hidden="1">
      <c r="A1336" s="35">
        <v>1054</v>
      </c>
      <c r="B1336" s="38">
        <v>22</v>
      </c>
      <c r="C1336" s="37" t="s">
        <v>135</v>
      </c>
      <c r="D1336" s="37">
        <v>28</v>
      </c>
      <c r="E1336" s="37" t="s">
        <v>1240</v>
      </c>
      <c r="YS1336" s="38" t="e">
        <f>RIGHT(CONCATENATE(0,#REF!),7)</f>
        <v>#REF!</v>
      </c>
    </row>
    <row r="1337" spans="1:669" hidden="1">
      <c r="A1337" s="35">
        <v>1055</v>
      </c>
      <c r="B1337" s="38">
        <v>22</v>
      </c>
      <c r="C1337" s="37" t="s">
        <v>135</v>
      </c>
      <c r="D1337" s="37">
        <v>29</v>
      </c>
      <c r="E1337" s="37" t="s">
        <v>1241</v>
      </c>
      <c r="YS1337" s="38" t="e">
        <f>RIGHT(CONCATENATE(0,#REF!),7)</f>
        <v>#REF!</v>
      </c>
    </row>
    <row r="1338" spans="1:669" hidden="1">
      <c r="A1338" s="35">
        <v>1056</v>
      </c>
      <c r="B1338" s="38">
        <v>22</v>
      </c>
      <c r="C1338" s="37" t="s">
        <v>135</v>
      </c>
      <c r="D1338" s="37">
        <v>30</v>
      </c>
      <c r="E1338" s="37" t="s">
        <v>1242</v>
      </c>
      <c r="YS1338" s="38" t="e">
        <f>RIGHT(CONCATENATE(0,#REF!),7)</f>
        <v>#REF!</v>
      </c>
    </row>
    <row r="1339" spans="1:669" hidden="1">
      <c r="A1339" s="35">
        <v>1057</v>
      </c>
      <c r="B1339" s="38">
        <v>22</v>
      </c>
      <c r="C1339" s="37" t="s">
        <v>135</v>
      </c>
      <c r="D1339" s="37">
        <v>31</v>
      </c>
      <c r="E1339" s="37" t="s">
        <v>1243</v>
      </c>
      <c r="YS1339" s="38" t="e">
        <f>RIGHT(CONCATENATE(0,#REF!),7)</f>
        <v>#REF!</v>
      </c>
    </row>
    <row r="1340" spans="1:669" hidden="1">
      <c r="A1340" s="35">
        <v>1058</v>
      </c>
      <c r="B1340" s="38">
        <v>22</v>
      </c>
      <c r="C1340" s="37" t="s">
        <v>135</v>
      </c>
      <c r="D1340" s="37">
        <v>32</v>
      </c>
      <c r="E1340" s="37" t="s">
        <v>1244</v>
      </c>
      <c r="YS1340" s="38" t="e">
        <f>RIGHT(CONCATENATE(0,#REF!),7)</f>
        <v>#REF!</v>
      </c>
    </row>
    <row r="1341" spans="1:669" hidden="1">
      <c r="A1341" s="35">
        <v>1059</v>
      </c>
      <c r="B1341" s="38">
        <v>22</v>
      </c>
      <c r="C1341" s="37" t="s">
        <v>135</v>
      </c>
      <c r="D1341" s="37">
        <v>33</v>
      </c>
      <c r="E1341" s="37" t="s">
        <v>1245</v>
      </c>
      <c r="YS1341" s="38" t="e">
        <f>RIGHT(CONCATENATE(0,#REF!),7)</f>
        <v>#REF!</v>
      </c>
    </row>
    <row r="1342" spans="1:669" hidden="1">
      <c r="A1342" s="35">
        <v>1060</v>
      </c>
      <c r="B1342" s="38">
        <v>22</v>
      </c>
      <c r="C1342" s="37" t="s">
        <v>135</v>
      </c>
      <c r="D1342" s="37">
        <v>34</v>
      </c>
      <c r="E1342" s="37" t="s">
        <v>1246</v>
      </c>
      <c r="YS1342" s="38" t="e">
        <f>RIGHT(CONCATENATE(0,#REF!),7)</f>
        <v>#REF!</v>
      </c>
    </row>
    <row r="1343" spans="1:669" hidden="1">
      <c r="A1343" s="35">
        <v>1061</v>
      </c>
      <c r="B1343" s="38">
        <v>22</v>
      </c>
      <c r="C1343" s="37" t="s">
        <v>135</v>
      </c>
      <c r="D1343" s="37">
        <v>35</v>
      </c>
      <c r="E1343" s="37" t="s">
        <v>1247</v>
      </c>
      <c r="YS1343" s="38" t="e">
        <f>RIGHT(CONCATENATE(0,#REF!),7)</f>
        <v>#REF!</v>
      </c>
    </row>
    <row r="1344" spans="1:669" hidden="1">
      <c r="A1344" s="35">
        <v>1062</v>
      </c>
      <c r="B1344" s="38">
        <v>22</v>
      </c>
      <c r="C1344" s="37" t="s">
        <v>135</v>
      </c>
      <c r="D1344" s="37">
        <v>36</v>
      </c>
      <c r="E1344" s="37" t="s">
        <v>1248</v>
      </c>
      <c r="YS1344" s="38" t="e">
        <f>RIGHT(CONCATENATE(0,#REF!),7)</f>
        <v>#REF!</v>
      </c>
    </row>
    <row r="1345" spans="1:669" hidden="1">
      <c r="A1345" s="35">
        <v>1063</v>
      </c>
      <c r="B1345" s="38">
        <v>22</v>
      </c>
      <c r="C1345" s="37" t="s">
        <v>135</v>
      </c>
      <c r="D1345" s="37">
        <v>37</v>
      </c>
      <c r="E1345" s="37" t="s">
        <v>1249</v>
      </c>
      <c r="YS1345" s="38" t="e">
        <f>RIGHT(CONCATENATE(0,#REF!),7)</f>
        <v>#REF!</v>
      </c>
    </row>
    <row r="1346" spans="1:669" hidden="1">
      <c r="A1346" s="35">
        <v>1064</v>
      </c>
      <c r="B1346" s="38">
        <v>22</v>
      </c>
      <c r="C1346" s="37" t="s">
        <v>135</v>
      </c>
      <c r="D1346" s="37">
        <v>38</v>
      </c>
      <c r="E1346" s="37" t="s">
        <v>1250</v>
      </c>
      <c r="YS1346" s="38" t="e">
        <f>RIGHT(CONCATENATE(0,#REF!),7)</f>
        <v>#REF!</v>
      </c>
    </row>
    <row r="1347" spans="1:669" hidden="1">
      <c r="A1347" s="35">
        <v>1065</v>
      </c>
      <c r="B1347" s="38">
        <v>22</v>
      </c>
      <c r="C1347" s="37" t="s">
        <v>135</v>
      </c>
      <c r="D1347" s="37">
        <v>39</v>
      </c>
      <c r="E1347" s="37" t="s">
        <v>1251</v>
      </c>
      <c r="YS1347" s="38" t="e">
        <f>RIGHT(CONCATENATE(0,#REF!),7)</f>
        <v>#REF!</v>
      </c>
    </row>
    <row r="1348" spans="1:669" hidden="1">
      <c r="A1348" s="35">
        <v>1066</v>
      </c>
      <c r="B1348" s="38">
        <v>22</v>
      </c>
      <c r="C1348" s="37" t="s">
        <v>135</v>
      </c>
      <c r="D1348" s="37">
        <v>40</v>
      </c>
      <c r="E1348" s="37" t="s">
        <v>1252</v>
      </c>
      <c r="YS1348" s="38" t="e">
        <f>RIGHT(CONCATENATE(0,#REF!),7)</f>
        <v>#REF!</v>
      </c>
    </row>
    <row r="1349" spans="1:669" hidden="1">
      <c r="A1349" s="35">
        <v>1067</v>
      </c>
      <c r="B1349" s="38">
        <v>22</v>
      </c>
      <c r="C1349" s="37" t="s">
        <v>135</v>
      </c>
      <c r="D1349" s="37">
        <v>41</v>
      </c>
      <c r="E1349" s="37" t="s">
        <v>1253</v>
      </c>
      <c r="YS1349" s="38" t="e">
        <f>RIGHT(CONCATENATE(0,#REF!),7)</f>
        <v>#REF!</v>
      </c>
    </row>
    <row r="1350" spans="1:669" hidden="1">
      <c r="A1350" s="35">
        <v>1068</v>
      </c>
      <c r="B1350" s="38">
        <v>22</v>
      </c>
      <c r="C1350" s="37" t="s">
        <v>135</v>
      </c>
      <c r="D1350" s="37">
        <v>42</v>
      </c>
      <c r="E1350" s="37" t="s">
        <v>1254</v>
      </c>
      <c r="YS1350" s="38" t="e">
        <f>RIGHT(CONCATENATE(0,#REF!),7)</f>
        <v>#REF!</v>
      </c>
    </row>
    <row r="1351" spans="1:669" hidden="1">
      <c r="A1351" s="35">
        <v>1069</v>
      </c>
      <c r="B1351" s="38">
        <v>22</v>
      </c>
      <c r="C1351" s="37" t="s">
        <v>135</v>
      </c>
      <c r="D1351" s="37">
        <v>43</v>
      </c>
      <c r="E1351" s="37" t="s">
        <v>1255</v>
      </c>
      <c r="YS1351" s="38" t="e">
        <f>RIGHT(CONCATENATE(0,#REF!),7)</f>
        <v>#REF!</v>
      </c>
    </row>
    <row r="1352" spans="1:669" hidden="1">
      <c r="A1352" s="35">
        <v>1070</v>
      </c>
      <c r="B1352" s="38">
        <v>22</v>
      </c>
      <c r="C1352" s="37" t="s">
        <v>135</v>
      </c>
      <c r="D1352" s="37">
        <v>44</v>
      </c>
      <c r="E1352" s="37" t="s">
        <v>662</v>
      </c>
      <c r="YS1352" s="38" t="e">
        <f>RIGHT(CONCATENATE(0,#REF!),7)</f>
        <v>#REF!</v>
      </c>
    </row>
    <row r="1353" spans="1:669" hidden="1">
      <c r="A1353" s="35">
        <v>1071</v>
      </c>
      <c r="B1353" s="38">
        <v>22</v>
      </c>
      <c r="C1353" s="37" t="s">
        <v>135</v>
      </c>
      <c r="D1353" s="37">
        <v>45</v>
      </c>
      <c r="E1353" s="37" t="s">
        <v>1256</v>
      </c>
      <c r="YS1353" s="38" t="e">
        <f>RIGHT(CONCATENATE(0,#REF!),7)</f>
        <v>#REF!</v>
      </c>
    </row>
    <row r="1354" spans="1:669" hidden="1">
      <c r="A1354" s="35">
        <v>1072</v>
      </c>
      <c r="B1354" s="38">
        <v>22</v>
      </c>
      <c r="C1354" s="37" t="s">
        <v>135</v>
      </c>
      <c r="D1354" s="37">
        <v>46</v>
      </c>
      <c r="E1354" s="37" t="s">
        <v>1257</v>
      </c>
      <c r="YS1354" s="38" t="e">
        <f>RIGHT(CONCATENATE(0,#REF!),7)</f>
        <v>#REF!</v>
      </c>
    </row>
    <row r="1355" spans="1:669" hidden="1">
      <c r="A1355" s="35">
        <v>1073</v>
      </c>
      <c r="B1355" s="38">
        <v>23</v>
      </c>
      <c r="C1355" s="37" t="s">
        <v>138</v>
      </c>
      <c r="D1355" s="37">
        <v>1</v>
      </c>
      <c r="E1355" s="37" t="s">
        <v>1258</v>
      </c>
      <c r="YS1355" s="38" t="e">
        <f>RIGHT(CONCATENATE(0,#REF!),7)</f>
        <v>#REF!</v>
      </c>
    </row>
    <row r="1356" spans="1:669" hidden="1">
      <c r="A1356" s="35">
        <v>1074</v>
      </c>
      <c r="B1356" s="38">
        <v>23</v>
      </c>
      <c r="C1356" s="37" t="s">
        <v>138</v>
      </c>
      <c r="D1356" s="37">
        <v>2</v>
      </c>
      <c r="E1356" s="37" t="s">
        <v>1259</v>
      </c>
      <c r="YS1356" s="38" t="e">
        <f>RIGHT(CONCATENATE(0,#REF!),7)</f>
        <v>#REF!</v>
      </c>
    </row>
    <row r="1357" spans="1:669" hidden="1">
      <c r="A1357" s="35">
        <v>1075</v>
      </c>
      <c r="B1357" s="38">
        <v>23</v>
      </c>
      <c r="C1357" s="37" t="s">
        <v>138</v>
      </c>
      <c r="D1357" s="37">
        <v>3</v>
      </c>
      <c r="E1357" s="37" t="s">
        <v>1260</v>
      </c>
      <c r="YS1357" s="38" t="e">
        <f>RIGHT(CONCATENATE(0,#REF!),7)</f>
        <v>#REF!</v>
      </c>
    </row>
    <row r="1358" spans="1:669" hidden="1">
      <c r="A1358" s="35">
        <v>1076</v>
      </c>
      <c r="B1358" s="38">
        <v>23</v>
      </c>
      <c r="C1358" s="37" t="s">
        <v>138</v>
      </c>
      <c r="D1358" s="37">
        <v>4</v>
      </c>
      <c r="E1358" s="37" t="s">
        <v>1261</v>
      </c>
      <c r="YS1358" s="38" t="e">
        <f>RIGHT(CONCATENATE(0,#REF!),7)</f>
        <v>#REF!</v>
      </c>
    </row>
    <row r="1359" spans="1:669" hidden="1">
      <c r="A1359" s="35">
        <v>1077</v>
      </c>
      <c r="B1359" s="38">
        <v>23</v>
      </c>
      <c r="C1359" s="37" t="s">
        <v>138</v>
      </c>
      <c r="D1359" s="37">
        <v>5</v>
      </c>
      <c r="E1359" s="37" t="s">
        <v>1262</v>
      </c>
      <c r="YS1359" s="38" t="e">
        <f>RIGHT(CONCATENATE(0,#REF!),7)</f>
        <v>#REF!</v>
      </c>
    </row>
    <row r="1360" spans="1:669" hidden="1">
      <c r="A1360" s="35">
        <v>1078</v>
      </c>
      <c r="B1360" s="38">
        <v>23</v>
      </c>
      <c r="C1360" s="37" t="s">
        <v>138</v>
      </c>
      <c r="D1360" s="37">
        <v>6</v>
      </c>
      <c r="E1360" s="37" t="s">
        <v>1263</v>
      </c>
      <c r="YS1360" s="38" t="e">
        <f>RIGHT(CONCATENATE(0,#REF!),7)</f>
        <v>#REF!</v>
      </c>
    </row>
    <row r="1361" spans="1:669" hidden="1">
      <c r="A1361" s="35">
        <v>1079</v>
      </c>
      <c r="B1361" s="38">
        <v>23</v>
      </c>
      <c r="C1361" s="37" t="s">
        <v>138</v>
      </c>
      <c r="D1361" s="37">
        <v>7</v>
      </c>
      <c r="E1361" s="37" t="s">
        <v>96</v>
      </c>
      <c r="YS1361" s="38" t="e">
        <f>RIGHT(CONCATENATE(0,#REF!),7)</f>
        <v>#REF!</v>
      </c>
    </row>
    <row r="1362" spans="1:669" hidden="1">
      <c r="A1362" s="35">
        <v>1080</v>
      </c>
      <c r="B1362" s="38">
        <v>23</v>
      </c>
      <c r="C1362" s="37" t="s">
        <v>138</v>
      </c>
      <c r="D1362" s="37">
        <v>8</v>
      </c>
      <c r="E1362" s="37" t="s">
        <v>1264</v>
      </c>
      <c r="YS1362" s="38" t="e">
        <f>RIGHT(CONCATENATE(0,#REF!),7)</f>
        <v>#REF!</v>
      </c>
    </row>
    <row r="1363" spans="1:669" hidden="1">
      <c r="A1363" s="35">
        <v>1081</v>
      </c>
      <c r="B1363" s="38">
        <v>23</v>
      </c>
      <c r="C1363" s="37" t="s">
        <v>138</v>
      </c>
      <c r="D1363" s="37">
        <v>9</v>
      </c>
      <c r="E1363" s="37" t="s">
        <v>1265</v>
      </c>
      <c r="YS1363" s="38" t="e">
        <f>RIGHT(CONCATENATE(0,#REF!),7)</f>
        <v>#REF!</v>
      </c>
    </row>
    <row r="1364" spans="1:669" hidden="1">
      <c r="A1364" s="35">
        <v>1082</v>
      </c>
      <c r="B1364" s="38">
        <v>23</v>
      </c>
      <c r="C1364" s="37" t="s">
        <v>138</v>
      </c>
      <c r="D1364" s="37">
        <v>10</v>
      </c>
      <c r="E1364" s="37" t="s">
        <v>1266</v>
      </c>
      <c r="YS1364" s="38" t="e">
        <f>RIGHT(CONCATENATE(0,#REF!),7)</f>
        <v>#REF!</v>
      </c>
    </row>
    <row r="1365" spans="1:669" hidden="1">
      <c r="A1365" s="35">
        <v>1083</v>
      </c>
      <c r="B1365" s="38">
        <v>23</v>
      </c>
      <c r="C1365" s="37" t="s">
        <v>138</v>
      </c>
      <c r="D1365" s="37">
        <v>11</v>
      </c>
      <c r="E1365" s="37" t="s">
        <v>1267</v>
      </c>
      <c r="YS1365" s="38" t="e">
        <f>RIGHT(CONCATENATE(0,#REF!),7)</f>
        <v>#REF!</v>
      </c>
    </row>
    <row r="1366" spans="1:669" hidden="1">
      <c r="A1366" s="35">
        <v>1084</v>
      </c>
      <c r="B1366" s="38">
        <v>23</v>
      </c>
      <c r="C1366" s="37" t="s">
        <v>138</v>
      </c>
      <c r="D1366" s="37">
        <v>12</v>
      </c>
      <c r="E1366" s="37" t="s">
        <v>1268</v>
      </c>
      <c r="YS1366" s="38" t="e">
        <f>RIGHT(CONCATENATE(0,#REF!),7)</f>
        <v>#REF!</v>
      </c>
    </row>
    <row r="1367" spans="1:669" hidden="1">
      <c r="A1367" s="35">
        <v>1085</v>
      </c>
      <c r="B1367" s="38">
        <v>23</v>
      </c>
      <c r="C1367" s="37" t="s">
        <v>138</v>
      </c>
      <c r="D1367" s="37">
        <v>13</v>
      </c>
      <c r="E1367" s="37" t="s">
        <v>1269</v>
      </c>
      <c r="YS1367" s="38" t="e">
        <f>RIGHT(CONCATENATE(0,#REF!),7)</f>
        <v>#REF!</v>
      </c>
    </row>
    <row r="1368" spans="1:669" hidden="1">
      <c r="A1368" s="35">
        <v>1086</v>
      </c>
      <c r="B1368" s="38">
        <v>23</v>
      </c>
      <c r="C1368" s="37" t="s">
        <v>138</v>
      </c>
      <c r="D1368" s="37">
        <v>14</v>
      </c>
      <c r="E1368" s="37" t="s">
        <v>1270</v>
      </c>
      <c r="YS1368" s="38" t="e">
        <f>RIGHT(CONCATENATE(0,#REF!),7)</f>
        <v>#REF!</v>
      </c>
    </row>
    <row r="1369" spans="1:669" hidden="1">
      <c r="A1369" s="35">
        <v>1087</v>
      </c>
      <c r="B1369" s="38">
        <v>23</v>
      </c>
      <c r="C1369" s="37" t="s">
        <v>138</v>
      </c>
      <c r="D1369" s="37">
        <v>15</v>
      </c>
      <c r="E1369" s="37" t="s">
        <v>1271</v>
      </c>
      <c r="YS1369" s="38" t="e">
        <f>RIGHT(CONCATENATE(0,#REF!),7)</f>
        <v>#REF!</v>
      </c>
    </row>
    <row r="1370" spans="1:669" hidden="1">
      <c r="A1370" s="35">
        <v>1088</v>
      </c>
      <c r="B1370" s="38">
        <v>23</v>
      </c>
      <c r="C1370" s="37" t="s">
        <v>138</v>
      </c>
      <c r="D1370" s="37">
        <v>16</v>
      </c>
      <c r="E1370" s="37" t="s">
        <v>1272</v>
      </c>
      <c r="YS1370" s="38" t="e">
        <f>RIGHT(CONCATENATE(0,#REF!),7)</f>
        <v>#REF!</v>
      </c>
    </row>
    <row r="1371" spans="1:669" hidden="1">
      <c r="A1371" s="35">
        <v>1089</v>
      </c>
      <c r="B1371" s="38">
        <v>23</v>
      </c>
      <c r="C1371" s="37" t="s">
        <v>138</v>
      </c>
      <c r="D1371" s="37">
        <v>17</v>
      </c>
      <c r="E1371" s="37" t="s">
        <v>1273</v>
      </c>
      <c r="YS1371" s="38" t="e">
        <f>RIGHT(CONCATENATE(0,#REF!),7)</f>
        <v>#REF!</v>
      </c>
    </row>
    <row r="1372" spans="1:669" hidden="1">
      <c r="A1372" s="35">
        <v>1090</v>
      </c>
      <c r="B1372" s="38">
        <v>23</v>
      </c>
      <c r="C1372" s="37" t="s">
        <v>138</v>
      </c>
      <c r="D1372" s="37">
        <v>18</v>
      </c>
      <c r="E1372" s="37" t="s">
        <v>1274</v>
      </c>
      <c r="YS1372" s="38" t="e">
        <f>RIGHT(CONCATENATE(0,#REF!),7)</f>
        <v>#REF!</v>
      </c>
    </row>
    <row r="1373" spans="1:669" hidden="1">
      <c r="A1373" s="35">
        <v>1091</v>
      </c>
      <c r="B1373" s="38">
        <v>23</v>
      </c>
      <c r="C1373" s="37" t="s">
        <v>138</v>
      </c>
      <c r="D1373" s="37">
        <v>19</v>
      </c>
      <c r="E1373" s="37" t="s">
        <v>1275</v>
      </c>
      <c r="YS1373" s="38" t="e">
        <f>RIGHT(CONCATENATE(0,#REF!),7)</f>
        <v>#REF!</v>
      </c>
    </row>
    <row r="1374" spans="1:669" hidden="1">
      <c r="A1374" s="35">
        <v>1092</v>
      </c>
      <c r="B1374" s="38">
        <v>23</v>
      </c>
      <c r="C1374" s="37" t="s">
        <v>138</v>
      </c>
      <c r="D1374" s="37">
        <v>20</v>
      </c>
      <c r="E1374" s="37" t="s">
        <v>1276</v>
      </c>
      <c r="YS1374" s="38" t="e">
        <f>RIGHT(CONCATENATE(0,#REF!),7)</f>
        <v>#REF!</v>
      </c>
    </row>
    <row r="1375" spans="1:669" hidden="1">
      <c r="A1375" s="35">
        <v>1093</v>
      </c>
      <c r="B1375" s="38">
        <v>23</v>
      </c>
      <c r="C1375" s="37" t="s">
        <v>138</v>
      </c>
      <c r="D1375" s="37">
        <v>21</v>
      </c>
      <c r="E1375" s="37" t="s">
        <v>1277</v>
      </c>
      <c r="YS1375" s="38" t="e">
        <f>RIGHT(CONCATENATE(0,#REF!),7)</f>
        <v>#REF!</v>
      </c>
    </row>
    <row r="1376" spans="1:669" hidden="1">
      <c r="A1376" s="35">
        <v>1094</v>
      </c>
      <c r="B1376" s="38">
        <v>23</v>
      </c>
      <c r="C1376" s="37" t="s">
        <v>138</v>
      </c>
      <c r="D1376" s="37">
        <v>22</v>
      </c>
      <c r="E1376" s="37" t="s">
        <v>1278</v>
      </c>
      <c r="YS1376" s="38" t="e">
        <f>RIGHT(CONCATENATE(0,#REF!),7)</f>
        <v>#REF!</v>
      </c>
    </row>
    <row r="1377" spans="1:669" hidden="1">
      <c r="A1377" s="35">
        <v>1095</v>
      </c>
      <c r="B1377" s="38">
        <v>23</v>
      </c>
      <c r="C1377" s="37" t="s">
        <v>138</v>
      </c>
      <c r="D1377" s="37">
        <v>23</v>
      </c>
      <c r="E1377" s="37" t="s">
        <v>1279</v>
      </c>
      <c r="YS1377" s="38" t="e">
        <f>RIGHT(CONCATENATE(0,#REF!),7)</f>
        <v>#REF!</v>
      </c>
    </row>
    <row r="1378" spans="1:669" hidden="1">
      <c r="A1378" s="35">
        <v>1096</v>
      </c>
      <c r="B1378" s="38">
        <v>23</v>
      </c>
      <c r="C1378" s="37" t="s">
        <v>138</v>
      </c>
      <c r="D1378" s="37">
        <v>24</v>
      </c>
      <c r="E1378" s="37" t="s">
        <v>649</v>
      </c>
      <c r="YS1378" s="38" t="e">
        <f>RIGHT(CONCATENATE(0,#REF!),7)</f>
        <v>#REF!</v>
      </c>
    </row>
    <row r="1379" spans="1:669" hidden="1">
      <c r="A1379" s="35">
        <v>1097</v>
      </c>
      <c r="B1379" s="38">
        <v>23</v>
      </c>
      <c r="C1379" s="37" t="s">
        <v>138</v>
      </c>
      <c r="D1379" s="37">
        <v>25</v>
      </c>
      <c r="E1379" s="37" t="s">
        <v>1280</v>
      </c>
      <c r="YS1379" s="38" t="e">
        <f>RIGHT(CONCATENATE(0,#REF!),7)</f>
        <v>#REF!</v>
      </c>
    </row>
    <row r="1380" spans="1:669" hidden="1">
      <c r="A1380" s="35">
        <v>1098</v>
      </c>
      <c r="B1380" s="38">
        <v>23</v>
      </c>
      <c r="C1380" s="37" t="s">
        <v>138</v>
      </c>
      <c r="D1380" s="37">
        <v>26</v>
      </c>
      <c r="E1380" s="37" t="s">
        <v>1281</v>
      </c>
      <c r="YS1380" s="38" t="e">
        <f>RIGHT(CONCATENATE(0,#REF!),7)</f>
        <v>#REF!</v>
      </c>
    </row>
    <row r="1381" spans="1:669" hidden="1">
      <c r="A1381" s="35">
        <v>1099</v>
      </c>
      <c r="B1381" s="38">
        <v>23</v>
      </c>
      <c r="C1381" s="37" t="s">
        <v>138</v>
      </c>
      <c r="D1381" s="37">
        <v>27</v>
      </c>
      <c r="E1381" s="37" t="s">
        <v>1282</v>
      </c>
      <c r="YS1381" s="38" t="e">
        <f>RIGHT(CONCATENATE(0,#REF!),7)</f>
        <v>#REF!</v>
      </c>
    </row>
    <row r="1382" spans="1:669" hidden="1">
      <c r="A1382" s="35">
        <v>1100</v>
      </c>
      <c r="B1382" s="38">
        <v>23</v>
      </c>
      <c r="C1382" s="37" t="s">
        <v>138</v>
      </c>
      <c r="D1382" s="37">
        <v>28</v>
      </c>
      <c r="E1382" s="37" t="s">
        <v>1283</v>
      </c>
      <c r="YS1382" s="38" t="e">
        <f>RIGHT(CONCATENATE(0,#REF!),7)</f>
        <v>#REF!</v>
      </c>
    </row>
    <row r="1383" spans="1:669" hidden="1">
      <c r="A1383" s="35">
        <v>1101</v>
      </c>
      <c r="B1383" s="38">
        <v>23</v>
      </c>
      <c r="C1383" s="37" t="s">
        <v>138</v>
      </c>
      <c r="D1383" s="37">
        <v>29</v>
      </c>
      <c r="E1383" s="37" t="s">
        <v>1284</v>
      </c>
      <c r="YS1383" s="38" t="e">
        <f>RIGHT(CONCATENATE(0,#REF!),7)</f>
        <v>#REF!</v>
      </c>
    </row>
    <row r="1384" spans="1:669" hidden="1">
      <c r="A1384" s="35">
        <v>1102</v>
      </c>
      <c r="B1384" s="38">
        <v>23</v>
      </c>
      <c r="C1384" s="37" t="s">
        <v>138</v>
      </c>
      <c r="D1384" s="37">
        <v>30</v>
      </c>
      <c r="E1384" s="37" t="s">
        <v>1285</v>
      </c>
      <c r="YS1384" s="38" t="e">
        <f>RIGHT(CONCATENATE(0,#REF!),7)</f>
        <v>#REF!</v>
      </c>
    </row>
    <row r="1385" spans="1:669" hidden="1">
      <c r="A1385" s="35">
        <v>1103</v>
      </c>
      <c r="B1385" s="38">
        <v>23</v>
      </c>
      <c r="C1385" s="37" t="s">
        <v>138</v>
      </c>
      <c r="D1385" s="37">
        <v>31</v>
      </c>
      <c r="E1385" s="37" t="s">
        <v>1286</v>
      </c>
      <c r="YS1385" s="38" t="e">
        <f>RIGHT(CONCATENATE(0,#REF!),7)</f>
        <v>#REF!</v>
      </c>
    </row>
    <row r="1386" spans="1:669" hidden="1">
      <c r="A1386" s="35">
        <v>1104</v>
      </c>
      <c r="B1386" s="38">
        <v>23</v>
      </c>
      <c r="C1386" s="37" t="s">
        <v>138</v>
      </c>
      <c r="D1386" s="37">
        <v>32</v>
      </c>
      <c r="E1386" s="37" t="s">
        <v>1287</v>
      </c>
      <c r="YS1386" s="38" t="e">
        <f>RIGHT(CONCATENATE(0,#REF!),7)</f>
        <v>#REF!</v>
      </c>
    </row>
    <row r="1387" spans="1:669" hidden="1">
      <c r="A1387" s="35">
        <v>1105</v>
      </c>
      <c r="B1387" s="38">
        <v>23</v>
      </c>
      <c r="C1387" s="37" t="s">
        <v>138</v>
      </c>
      <c r="D1387" s="37">
        <v>33</v>
      </c>
      <c r="E1387" s="37" t="s">
        <v>1288</v>
      </c>
      <c r="YS1387" s="38" t="e">
        <f>RIGHT(CONCATENATE(0,#REF!),7)</f>
        <v>#REF!</v>
      </c>
    </row>
    <row r="1388" spans="1:669" hidden="1">
      <c r="A1388" s="35">
        <v>1106</v>
      </c>
      <c r="B1388" s="38">
        <v>23</v>
      </c>
      <c r="C1388" s="37" t="s">
        <v>138</v>
      </c>
      <c r="D1388" s="37">
        <v>34</v>
      </c>
      <c r="E1388" s="37" t="s">
        <v>1289</v>
      </c>
      <c r="YS1388" s="38" t="e">
        <f>RIGHT(CONCATENATE(0,#REF!),7)</f>
        <v>#REF!</v>
      </c>
    </row>
    <row r="1389" spans="1:669" hidden="1">
      <c r="A1389" s="35">
        <v>1107</v>
      </c>
      <c r="B1389" s="38">
        <v>23</v>
      </c>
      <c r="C1389" s="37" t="s">
        <v>138</v>
      </c>
      <c r="D1389" s="37">
        <v>35</v>
      </c>
      <c r="E1389" s="37" t="s">
        <v>1290</v>
      </c>
      <c r="YS1389" s="38" t="e">
        <f>RIGHT(CONCATENATE(0,#REF!),7)</f>
        <v>#REF!</v>
      </c>
    </row>
    <row r="1390" spans="1:669" hidden="1">
      <c r="A1390" s="35">
        <v>1108</v>
      </c>
      <c r="B1390" s="38">
        <v>23</v>
      </c>
      <c r="C1390" s="37" t="s">
        <v>138</v>
      </c>
      <c r="D1390" s="37">
        <v>36</v>
      </c>
      <c r="E1390" s="37" t="s">
        <v>1291</v>
      </c>
      <c r="YS1390" s="38" t="e">
        <f>RIGHT(CONCATENATE(0,#REF!),7)</f>
        <v>#REF!</v>
      </c>
    </row>
    <row r="1391" spans="1:669" hidden="1">
      <c r="A1391" s="35">
        <v>1109</v>
      </c>
      <c r="B1391" s="38">
        <v>23</v>
      </c>
      <c r="C1391" s="37" t="s">
        <v>138</v>
      </c>
      <c r="D1391" s="37">
        <v>37</v>
      </c>
      <c r="E1391" s="37" t="s">
        <v>1292</v>
      </c>
      <c r="YS1391" s="38" t="e">
        <f>RIGHT(CONCATENATE(0,#REF!),7)</f>
        <v>#REF!</v>
      </c>
    </row>
    <row r="1392" spans="1:669" hidden="1">
      <c r="A1392" s="35">
        <v>1110</v>
      </c>
      <c r="B1392" s="38">
        <v>23</v>
      </c>
      <c r="C1392" s="37" t="s">
        <v>138</v>
      </c>
      <c r="D1392" s="37">
        <v>38</v>
      </c>
      <c r="E1392" s="37" t="s">
        <v>1293</v>
      </c>
      <c r="YS1392" s="38" t="e">
        <f>RIGHT(CONCATENATE(0,#REF!),7)</f>
        <v>#REF!</v>
      </c>
    </row>
    <row r="1393" spans="1:669" hidden="1">
      <c r="A1393" s="35">
        <v>1111</v>
      </c>
      <c r="B1393" s="38">
        <v>23</v>
      </c>
      <c r="C1393" s="37" t="s">
        <v>138</v>
      </c>
      <c r="D1393" s="37">
        <v>39</v>
      </c>
      <c r="E1393" s="37" t="s">
        <v>1294</v>
      </c>
      <c r="YS1393" s="38" t="e">
        <f>RIGHT(CONCATENATE(0,#REF!),7)</f>
        <v>#REF!</v>
      </c>
    </row>
    <row r="1394" spans="1:669" hidden="1">
      <c r="A1394" s="35">
        <v>1112</v>
      </c>
      <c r="B1394" s="38">
        <v>23</v>
      </c>
      <c r="C1394" s="37" t="s">
        <v>138</v>
      </c>
      <c r="D1394" s="37">
        <v>40</v>
      </c>
      <c r="E1394" s="37" t="s">
        <v>1295</v>
      </c>
      <c r="YS1394" s="38" t="e">
        <f>RIGHT(CONCATENATE(0,#REF!),7)</f>
        <v>#REF!</v>
      </c>
    </row>
    <row r="1395" spans="1:669" hidden="1">
      <c r="A1395" s="35">
        <v>1113</v>
      </c>
      <c r="B1395" s="38">
        <v>23</v>
      </c>
      <c r="C1395" s="37" t="s">
        <v>138</v>
      </c>
      <c r="D1395" s="37">
        <v>41</v>
      </c>
      <c r="E1395" s="37" t="s">
        <v>1296</v>
      </c>
      <c r="YS1395" s="38" t="e">
        <f>RIGHT(CONCATENATE(0,#REF!),7)</f>
        <v>#REF!</v>
      </c>
    </row>
    <row r="1396" spans="1:669" hidden="1">
      <c r="A1396" s="35">
        <v>1114</v>
      </c>
      <c r="B1396" s="38">
        <v>23</v>
      </c>
      <c r="C1396" s="37" t="s">
        <v>138</v>
      </c>
      <c r="D1396" s="37">
        <v>42</v>
      </c>
      <c r="E1396" s="37" t="s">
        <v>1297</v>
      </c>
      <c r="YS1396" s="38" t="e">
        <f>RIGHT(CONCATENATE(0,#REF!),7)</f>
        <v>#REF!</v>
      </c>
    </row>
    <row r="1397" spans="1:669" hidden="1">
      <c r="A1397" s="35">
        <v>1115</v>
      </c>
      <c r="B1397" s="38">
        <v>23</v>
      </c>
      <c r="C1397" s="37" t="s">
        <v>138</v>
      </c>
      <c r="D1397" s="37">
        <v>43</v>
      </c>
      <c r="E1397" s="37" t="s">
        <v>1298</v>
      </c>
      <c r="YS1397" s="38" t="e">
        <f>RIGHT(CONCATENATE(0,#REF!),7)</f>
        <v>#REF!</v>
      </c>
    </row>
    <row r="1398" spans="1:669" hidden="1">
      <c r="A1398" s="35">
        <v>1116</v>
      </c>
      <c r="B1398" s="38">
        <v>23</v>
      </c>
      <c r="C1398" s="37" t="s">
        <v>138</v>
      </c>
      <c r="D1398" s="37">
        <v>44</v>
      </c>
      <c r="E1398" s="37" t="s">
        <v>1299</v>
      </c>
      <c r="YS1398" s="38" t="e">
        <f>RIGHT(CONCATENATE(0,#REF!),7)</f>
        <v>#REF!</v>
      </c>
    </row>
    <row r="1399" spans="1:669" hidden="1">
      <c r="A1399" s="35">
        <v>1117</v>
      </c>
      <c r="B1399" s="38">
        <v>23</v>
      </c>
      <c r="C1399" s="37" t="s">
        <v>138</v>
      </c>
      <c r="D1399" s="37">
        <v>45</v>
      </c>
      <c r="E1399" s="37" t="s">
        <v>1300</v>
      </c>
      <c r="YS1399" s="38" t="e">
        <f>RIGHT(CONCATENATE(0,#REF!),7)</f>
        <v>#REF!</v>
      </c>
    </row>
    <row r="1400" spans="1:669" hidden="1">
      <c r="A1400" s="35">
        <v>1118</v>
      </c>
      <c r="B1400" s="38">
        <v>23</v>
      </c>
      <c r="C1400" s="37" t="s">
        <v>138</v>
      </c>
      <c r="D1400" s="37">
        <v>46</v>
      </c>
      <c r="E1400" s="37" t="s">
        <v>1301</v>
      </c>
      <c r="YS1400" s="38" t="e">
        <f>RIGHT(CONCATENATE(0,#REF!),7)</f>
        <v>#REF!</v>
      </c>
    </row>
    <row r="1401" spans="1:669" hidden="1">
      <c r="A1401" s="35">
        <v>1119</v>
      </c>
      <c r="B1401" s="38">
        <v>23</v>
      </c>
      <c r="C1401" s="37" t="s">
        <v>138</v>
      </c>
      <c r="D1401" s="37">
        <v>47</v>
      </c>
      <c r="E1401" s="37" t="s">
        <v>1302</v>
      </c>
      <c r="YS1401" s="38" t="e">
        <f>RIGHT(CONCATENATE(0,#REF!),7)</f>
        <v>#REF!</v>
      </c>
    </row>
    <row r="1402" spans="1:669" hidden="1">
      <c r="A1402" s="35">
        <v>1120</v>
      </c>
      <c r="B1402" s="38">
        <v>23</v>
      </c>
      <c r="C1402" s="37" t="s">
        <v>138</v>
      </c>
      <c r="D1402" s="37">
        <v>48</v>
      </c>
      <c r="E1402" s="37" t="s">
        <v>1303</v>
      </c>
      <c r="YS1402" s="38" t="e">
        <f>RIGHT(CONCATENATE(0,#REF!),7)</f>
        <v>#REF!</v>
      </c>
    </row>
    <row r="1403" spans="1:669" hidden="1">
      <c r="A1403" s="35">
        <v>1121</v>
      </c>
      <c r="B1403" s="38">
        <v>23</v>
      </c>
      <c r="C1403" s="37" t="s">
        <v>138</v>
      </c>
      <c r="D1403" s="37">
        <v>49</v>
      </c>
      <c r="E1403" s="37" t="s">
        <v>1304</v>
      </c>
      <c r="YS1403" s="38" t="e">
        <f>RIGHT(CONCATENATE(0,#REF!),7)</f>
        <v>#REF!</v>
      </c>
    </row>
    <row r="1404" spans="1:669" hidden="1">
      <c r="A1404" s="35">
        <v>1122</v>
      </c>
      <c r="B1404" s="38">
        <v>23</v>
      </c>
      <c r="C1404" s="37" t="s">
        <v>138</v>
      </c>
      <c r="D1404" s="37">
        <v>50</v>
      </c>
      <c r="E1404" s="37" t="s">
        <v>1305</v>
      </c>
      <c r="YS1404" s="38" t="e">
        <f>RIGHT(CONCATENATE(0,#REF!),7)</f>
        <v>#REF!</v>
      </c>
    </row>
    <row r="1405" spans="1:669" hidden="1">
      <c r="YS1405" s="38" t="e">
        <f>RIGHT(CONCATENATE(0,#REF!),7)</f>
        <v>#REF!</v>
      </c>
    </row>
    <row r="1406" spans="1:669" hidden="1">
      <c r="YS1406" s="38" t="e">
        <f>RIGHT(CONCATENATE(0,#REF!),7)</f>
        <v>#REF!</v>
      </c>
    </row>
    <row r="1407" spans="1:669" hidden="1">
      <c r="YS1407" s="38" t="e">
        <f>RIGHT(CONCATENATE(0,#REF!),7)</f>
        <v>#REF!</v>
      </c>
    </row>
    <row r="1408" spans="1:669" hidden="1">
      <c r="YS1408" s="38" t="e">
        <f>RIGHT(CONCATENATE(0,#REF!),7)</f>
        <v>#REF!</v>
      </c>
    </row>
    <row r="1409" spans="669:669" hidden="1">
      <c r="YS1409" s="38" t="e">
        <f>RIGHT(CONCATENATE(0,#REF!),7)</f>
        <v>#REF!</v>
      </c>
    </row>
    <row r="1410" spans="669:669" hidden="1">
      <c r="YS1410" s="38" t="e">
        <f>RIGHT(CONCATENATE(0,#REF!),7)</f>
        <v>#REF!</v>
      </c>
    </row>
    <row r="1411" spans="669:669" hidden="1">
      <c r="YS1411" s="38" t="e">
        <f>RIGHT(CONCATENATE(0,#REF!),7)</f>
        <v>#REF!</v>
      </c>
    </row>
    <row r="1412" spans="669:669" hidden="1">
      <c r="YS1412" s="38" t="e">
        <f>RIGHT(CONCATENATE(0,#REF!),7)</f>
        <v>#REF!</v>
      </c>
    </row>
    <row r="1413" spans="669:669" hidden="1">
      <c r="YS1413" s="38" t="e">
        <f>RIGHT(CONCATENATE(0,#REF!),7)</f>
        <v>#REF!</v>
      </c>
    </row>
    <row r="1414" spans="669:669" hidden="1">
      <c r="YS1414" s="38" t="e">
        <f>RIGHT(CONCATENATE(0,#REF!),7)</f>
        <v>#REF!</v>
      </c>
    </row>
    <row r="1415" spans="669:669" hidden="1">
      <c r="YS1415" s="38" t="e">
        <f>RIGHT(CONCATENATE(0,#REF!),7)</f>
        <v>#REF!</v>
      </c>
    </row>
    <row r="1416" spans="669:669" hidden="1">
      <c r="YS1416" s="38" t="e">
        <f>RIGHT(CONCATENATE(0,#REF!),7)</f>
        <v>#REF!</v>
      </c>
    </row>
    <row r="1417" spans="669:669" hidden="1">
      <c r="YS1417" s="38" t="e">
        <f>RIGHT(CONCATENATE(0,#REF!),7)</f>
        <v>#REF!</v>
      </c>
    </row>
    <row r="1418" spans="669:669" hidden="1">
      <c r="YS1418" s="38" t="e">
        <f>RIGHT(CONCATENATE(0,#REF!),7)</f>
        <v>#REF!</v>
      </c>
    </row>
    <row r="1419" spans="669:669" hidden="1">
      <c r="YS1419" s="38" t="e">
        <f>RIGHT(CONCATENATE(0,#REF!),7)</f>
        <v>#REF!</v>
      </c>
    </row>
    <row r="1420" spans="669:669" hidden="1">
      <c r="YS1420" s="38" t="e">
        <f>RIGHT(CONCATENATE(0,#REF!),7)</f>
        <v>#REF!</v>
      </c>
    </row>
    <row r="1421" spans="669:669" hidden="1">
      <c r="YS1421" s="38" t="e">
        <f>RIGHT(CONCATENATE(0,#REF!),7)</f>
        <v>#REF!</v>
      </c>
    </row>
    <row r="1422" spans="669:669" hidden="1">
      <c r="YS1422" s="38" t="e">
        <f>RIGHT(CONCATENATE(0,#REF!),7)</f>
        <v>#REF!</v>
      </c>
    </row>
    <row r="1423" spans="669:669" hidden="1">
      <c r="YS1423" s="38" t="e">
        <f>RIGHT(CONCATENATE(0,#REF!),7)</f>
        <v>#REF!</v>
      </c>
    </row>
    <row r="1424" spans="669:669" hidden="1">
      <c r="YS1424" s="38" t="e">
        <f>RIGHT(CONCATENATE(0,#REF!),7)</f>
        <v>#REF!</v>
      </c>
    </row>
    <row r="1425" spans="669:669" hidden="1">
      <c r="YS1425" s="38" t="e">
        <f>RIGHT(CONCATENATE(0,#REF!),7)</f>
        <v>#REF!</v>
      </c>
    </row>
    <row r="1426" spans="669:669" hidden="1">
      <c r="YS1426" s="38" t="e">
        <f>RIGHT(CONCATENATE(0,#REF!),7)</f>
        <v>#REF!</v>
      </c>
    </row>
    <row r="1427" spans="669:669" hidden="1">
      <c r="YS1427" s="38" t="e">
        <f>RIGHT(CONCATENATE(0,#REF!),7)</f>
        <v>#REF!</v>
      </c>
    </row>
    <row r="1428" spans="669:669" hidden="1">
      <c r="YS1428" s="38" t="e">
        <f>RIGHT(CONCATENATE(0,#REF!),7)</f>
        <v>#REF!</v>
      </c>
    </row>
    <row r="1429" spans="669:669" hidden="1">
      <c r="YS1429" s="38" t="e">
        <f>RIGHT(CONCATENATE(0,#REF!),7)</f>
        <v>#REF!</v>
      </c>
    </row>
    <row r="1430" spans="669:669" hidden="1">
      <c r="YS1430" s="38" t="e">
        <f>RIGHT(CONCATENATE(0,#REF!),7)</f>
        <v>#REF!</v>
      </c>
    </row>
    <row r="1431" spans="669:669" hidden="1">
      <c r="YS1431" s="38" t="e">
        <f>RIGHT(CONCATENATE(0,#REF!),7)</f>
        <v>#REF!</v>
      </c>
    </row>
    <row r="1432" spans="669:669" hidden="1">
      <c r="YS1432" s="38" t="e">
        <f>RIGHT(CONCATENATE(0,#REF!),7)</f>
        <v>#REF!</v>
      </c>
    </row>
    <row r="1433" spans="669:669" hidden="1">
      <c r="YS1433" s="38" t="e">
        <f>RIGHT(CONCATENATE(0,#REF!),7)</f>
        <v>#REF!</v>
      </c>
    </row>
    <row r="1434" spans="669:669" hidden="1">
      <c r="YS1434" s="38" t="e">
        <f>RIGHT(CONCATENATE(0,#REF!),7)</f>
        <v>#REF!</v>
      </c>
    </row>
    <row r="1435" spans="669:669" hidden="1">
      <c r="YS1435" s="38" t="e">
        <f>RIGHT(CONCATENATE(0,#REF!),7)</f>
        <v>#REF!</v>
      </c>
    </row>
    <row r="1436" spans="669:669" hidden="1">
      <c r="YS1436" s="38" t="e">
        <f>RIGHT(CONCATENATE(0,#REF!),7)</f>
        <v>#REF!</v>
      </c>
    </row>
    <row r="1437" spans="669:669" hidden="1">
      <c r="YS1437" s="38" t="e">
        <f>RIGHT(CONCATENATE(0,#REF!),7)</f>
        <v>#REF!</v>
      </c>
    </row>
    <row r="1438" spans="669:669" hidden="1">
      <c r="YS1438" s="38" t="e">
        <f>RIGHT(CONCATENATE(0,#REF!),7)</f>
        <v>#REF!</v>
      </c>
    </row>
    <row r="1439" spans="669:669" hidden="1">
      <c r="YS1439" s="38" t="e">
        <f>RIGHT(CONCATENATE(0,#REF!),7)</f>
        <v>#REF!</v>
      </c>
    </row>
    <row r="1440" spans="669:669" hidden="1">
      <c r="YS1440" s="38" t="e">
        <f>RIGHT(CONCATENATE(0,#REF!),7)</f>
        <v>#REF!</v>
      </c>
    </row>
    <row r="1441" spans="669:669" hidden="1">
      <c r="YS1441" s="38" t="e">
        <f>RIGHT(CONCATENATE(0,#REF!),7)</f>
        <v>#REF!</v>
      </c>
    </row>
    <row r="1442" spans="669:669" hidden="1">
      <c r="YS1442" s="38" t="e">
        <f>RIGHT(CONCATENATE(0,#REF!),7)</f>
        <v>#REF!</v>
      </c>
    </row>
    <row r="1443" spans="669:669" hidden="1">
      <c r="YS1443" s="38" t="e">
        <f>RIGHT(CONCATENATE(0,#REF!),7)</f>
        <v>#REF!</v>
      </c>
    </row>
    <row r="1444" spans="669:669" hidden="1">
      <c r="YS1444" s="38" t="e">
        <f>RIGHT(CONCATENATE(0,#REF!),7)</f>
        <v>#REF!</v>
      </c>
    </row>
    <row r="1445" spans="669:669" hidden="1">
      <c r="YS1445" s="38" t="e">
        <f>RIGHT(CONCATENATE(0,#REF!),7)</f>
        <v>#REF!</v>
      </c>
    </row>
    <row r="1446" spans="669:669" hidden="1">
      <c r="YS1446" s="38" t="e">
        <f>RIGHT(CONCATENATE(0,#REF!),7)</f>
        <v>#REF!</v>
      </c>
    </row>
    <row r="1447" spans="669:669" hidden="1">
      <c r="YS1447" s="38" t="e">
        <f>RIGHT(CONCATENATE(0,#REF!),7)</f>
        <v>#REF!</v>
      </c>
    </row>
    <row r="1448" spans="669:669" hidden="1">
      <c r="YS1448" s="38" t="e">
        <f>RIGHT(CONCATENATE(0,#REF!),7)</f>
        <v>#REF!</v>
      </c>
    </row>
    <row r="1449" spans="669:669" hidden="1">
      <c r="YS1449" s="38" t="e">
        <f>RIGHT(CONCATENATE(0,#REF!),7)</f>
        <v>#REF!</v>
      </c>
    </row>
    <row r="1450" spans="669:669" hidden="1">
      <c r="YS1450" s="38" t="e">
        <f>RIGHT(CONCATENATE(0,#REF!),7)</f>
        <v>#REF!</v>
      </c>
    </row>
    <row r="1451" spans="669:669" hidden="1">
      <c r="YS1451" s="38" t="e">
        <f>RIGHT(CONCATENATE(0,#REF!),7)</f>
        <v>#REF!</v>
      </c>
    </row>
    <row r="1452" spans="669:669" hidden="1">
      <c r="YS1452" s="38" t="e">
        <f>RIGHT(CONCATENATE(0,#REF!),7)</f>
        <v>#REF!</v>
      </c>
    </row>
    <row r="1453" spans="669:669" hidden="1">
      <c r="YS1453" s="38" t="e">
        <f>RIGHT(CONCATENATE(0,#REF!),7)</f>
        <v>#REF!</v>
      </c>
    </row>
    <row r="1454" spans="669:669" hidden="1">
      <c r="YS1454" s="38" t="e">
        <f>RIGHT(CONCATENATE(0,#REF!),7)</f>
        <v>#REF!</v>
      </c>
    </row>
    <row r="1455" spans="669:669" hidden="1">
      <c r="YS1455" s="38" t="e">
        <f>RIGHT(CONCATENATE(0,#REF!),7)</f>
        <v>#REF!</v>
      </c>
    </row>
    <row r="1456" spans="669:669" hidden="1">
      <c r="YS1456" s="38" t="e">
        <f>RIGHT(CONCATENATE(0,#REF!),7)</f>
        <v>#REF!</v>
      </c>
    </row>
    <row r="1457" spans="669:669" hidden="1">
      <c r="YS1457" s="38" t="e">
        <f>RIGHT(CONCATENATE(0,#REF!),7)</f>
        <v>#REF!</v>
      </c>
    </row>
    <row r="1458" spans="669:669" hidden="1">
      <c r="YS1458" s="38" t="e">
        <f>RIGHT(CONCATENATE(0,#REF!),7)</f>
        <v>#REF!</v>
      </c>
    </row>
    <row r="1459" spans="669:669" hidden="1">
      <c r="YS1459" s="38" t="e">
        <f>RIGHT(CONCATENATE(0,#REF!),7)</f>
        <v>#REF!</v>
      </c>
    </row>
    <row r="1460" spans="669:669" hidden="1">
      <c r="YS1460" s="38" t="e">
        <f>RIGHT(CONCATENATE(0,#REF!),7)</f>
        <v>#REF!</v>
      </c>
    </row>
    <row r="1461" spans="669:669" hidden="1">
      <c r="YS1461" s="38" t="e">
        <f>RIGHT(CONCATENATE(0,#REF!),7)</f>
        <v>#REF!</v>
      </c>
    </row>
    <row r="1462" spans="669:669" hidden="1">
      <c r="YS1462" s="38" t="e">
        <f>RIGHT(CONCATENATE(0,#REF!),7)</f>
        <v>#REF!</v>
      </c>
    </row>
    <row r="1463" spans="669:669" hidden="1">
      <c r="YS1463" s="38" t="e">
        <f>RIGHT(CONCATENATE(0,#REF!),7)</f>
        <v>#REF!</v>
      </c>
    </row>
    <row r="1464" spans="669:669" hidden="1">
      <c r="YS1464" s="38" t="e">
        <f>RIGHT(CONCATENATE(0,#REF!),7)</f>
        <v>#REF!</v>
      </c>
    </row>
    <row r="1465" spans="669:669" hidden="1">
      <c r="YS1465" s="38" t="e">
        <f>RIGHT(CONCATENATE(0,#REF!),7)</f>
        <v>#REF!</v>
      </c>
    </row>
    <row r="1466" spans="669:669" hidden="1">
      <c r="YS1466" s="38" t="e">
        <f>RIGHT(CONCATENATE(0,#REF!),7)</f>
        <v>#REF!</v>
      </c>
    </row>
    <row r="1467" spans="669:669" hidden="1">
      <c r="YS1467" s="38" t="e">
        <f>RIGHT(CONCATENATE(0,#REF!),7)</f>
        <v>#REF!</v>
      </c>
    </row>
    <row r="1468" spans="669:669" hidden="1">
      <c r="YS1468" s="38" t="e">
        <f>RIGHT(CONCATENATE(0,#REF!),7)</f>
        <v>#REF!</v>
      </c>
    </row>
    <row r="1469" spans="669:669" hidden="1">
      <c r="YS1469" s="38" t="e">
        <f>RIGHT(CONCATENATE(0,#REF!),7)</f>
        <v>#REF!</v>
      </c>
    </row>
    <row r="1470" spans="669:669" hidden="1">
      <c r="YS1470" s="38" t="e">
        <f>RIGHT(CONCATENATE(0,#REF!),7)</f>
        <v>#REF!</v>
      </c>
    </row>
    <row r="1471" spans="669:669" hidden="1">
      <c r="YS1471" s="38" t="e">
        <f>RIGHT(CONCATENATE(0,#REF!),7)</f>
        <v>#REF!</v>
      </c>
    </row>
    <row r="1472" spans="669:669" hidden="1">
      <c r="YS1472" s="38" t="e">
        <f>RIGHT(CONCATENATE(0,#REF!),7)</f>
        <v>#REF!</v>
      </c>
    </row>
    <row r="1473" spans="669:669" hidden="1">
      <c r="YS1473" s="38" t="e">
        <f>RIGHT(CONCATENATE(0,#REF!),7)</f>
        <v>#REF!</v>
      </c>
    </row>
    <row r="1474" spans="669:669" hidden="1">
      <c r="YS1474" s="38" t="e">
        <f>RIGHT(CONCATENATE(0,#REF!),7)</f>
        <v>#REF!</v>
      </c>
    </row>
    <row r="1475" spans="669:669" hidden="1">
      <c r="YS1475" s="38" t="e">
        <f>RIGHT(CONCATENATE(0,#REF!),7)</f>
        <v>#REF!</v>
      </c>
    </row>
    <row r="1476" spans="669:669" hidden="1">
      <c r="YS1476" s="38" t="e">
        <f>RIGHT(CONCATENATE(0,#REF!),7)</f>
        <v>#REF!</v>
      </c>
    </row>
    <row r="1477" spans="669:669" hidden="1">
      <c r="YS1477" s="38" t="e">
        <f>RIGHT(CONCATENATE(0,#REF!),7)</f>
        <v>#REF!</v>
      </c>
    </row>
    <row r="1478" spans="669:669" hidden="1">
      <c r="YS1478" s="38" t="e">
        <f>RIGHT(CONCATENATE(0,#REF!),7)</f>
        <v>#REF!</v>
      </c>
    </row>
    <row r="1479" spans="669:669" hidden="1">
      <c r="YS1479" s="38" t="e">
        <f>RIGHT(CONCATENATE(0,#REF!),7)</f>
        <v>#REF!</v>
      </c>
    </row>
    <row r="1480" spans="669:669" hidden="1">
      <c r="YS1480" s="38" t="e">
        <f>RIGHT(CONCATENATE(0,#REF!),7)</f>
        <v>#REF!</v>
      </c>
    </row>
    <row r="1481" spans="669:669" hidden="1">
      <c r="YS1481" s="38" t="e">
        <f>RIGHT(CONCATENATE(0,#REF!),7)</f>
        <v>#REF!</v>
      </c>
    </row>
    <row r="1482" spans="669:669" hidden="1">
      <c r="YS1482" s="38" t="e">
        <f>RIGHT(CONCATENATE(0,#REF!),7)</f>
        <v>#REF!</v>
      </c>
    </row>
    <row r="1483" spans="669:669" hidden="1">
      <c r="YS1483" s="38" t="e">
        <f>RIGHT(CONCATENATE(0,#REF!),7)</f>
        <v>#REF!</v>
      </c>
    </row>
    <row r="1484" spans="669:669" hidden="1">
      <c r="YS1484" s="38" t="e">
        <f>RIGHT(CONCATENATE(0,#REF!),7)</f>
        <v>#REF!</v>
      </c>
    </row>
    <row r="1485" spans="669:669" hidden="1">
      <c r="YS1485" s="38" t="e">
        <f>RIGHT(CONCATENATE(0,#REF!),7)</f>
        <v>#REF!</v>
      </c>
    </row>
    <row r="1486" spans="669:669" hidden="1">
      <c r="YS1486" s="38" t="e">
        <f>RIGHT(CONCATENATE(0,#REF!),7)</f>
        <v>#REF!</v>
      </c>
    </row>
    <row r="1487" spans="669:669" hidden="1">
      <c r="YS1487" s="38" t="e">
        <f>RIGHT(CONCATENATE(0,#REF!),7)</f>
        <v>#REF!</v>
      </c>
    </row>
    <row r="1488" spans="669:669" hidden="1">
      <c r="YS1488" s="38" t="e">
        <f>RIGHT(CONCATENATE(0,#REF!),7)</f>
        <v>#REF!</v>
      </c>
    </row>
    <row r="1489" spans="669:669" hidden="1">
      <c r="YS1489" s="38" t="e">
        <f>RIGHT(CONCATENATE(0,#REF!),7)</f>
        <v>#REF!</v>
      </c>
    </row>
    <row r="1490" spans="669:669" hidden="1">
      <c r="YS1490" s="38" t="e">
        <f>RIGHT(CONCATENATE(0,#REF!),7)</f>
        <v>#REF!</v>
      </c>
    </row>
    <row r="1491" spans="669:669" hidden="1">
      <c r="YS1491" s="38" t="e">
        <f>RIGHT(CONCATENATE(0,#REF!),7)</f>
        <v>#REF!</v>
      </c>
    </row>
    <row r="1492" spans="669:669" hidden="1">
      <c r="YS1492" s="38" t="e">
        <f>RIGHT(CONCATENATE(0,#REF!),7)</f>
        <v>#REF!</v>
      </c>
    </row>
    <row r="1493" spans="669:669" hidden="1">
      <c r="YS1493" s="38" t="e">
        <f>RIGHT(CONCATENATE(0,#REF!),7)</f>
        <v>#REF!</v>
      </c>
    </row>
    <row r="1494" spans="669:669" hidden="1">
      <c r="YS1494" s="38" t="e">
        <f>RIGHT(CONCATENATE(0,#REF!),7)</f>
        <v>#REF!</v>
      </c>
    </row>
    <row r="1495" spans="669:669" hidden="1">
      <c r="YS1495" s="38" t="e">
        <f>RIGHT(CONCATENATE(0,#REF!),7)</f>
        <v>#REF!</v>
      </c>
    </row>
    <row r="1496" spans="669:669" hidden="1">
      <c r="YS1496" s="38" t="e">
        <f>RIGHT(CONCATENATE(0,#REF!),7)</f>
        <v>#REF!</v>
      </c>
    </row>
    <row r="1497" spans="669:669" hidden="1">
      <c r="YS1497" s="38" t="e">
        <f>RIGHT(CONCATENATE(0,#REF!),7)</f>
        <v>#REF!</v>
      </c>
    </row>
    <row r="1498" spans="669:669" hidden="1">
      <c r="YS1498" s="38" t="e">
        <f>RIGHT(CONCATENATE(0,#REF!),7)</f>
        <v>#REF!</v>
      </c>
    </row>
    <row r="1499" spans="669:669" hidden="1">
      <c r="YS1499" s="38" t="e">
        <f>RIGHT(CONCATENATE(0,#REF!),7)</f>
        <v>#REF!</v>
      </c>
    </row>
    <row r="1500" spans="669:669" hidden="1">
      <c r="YS1500" s="38" t="e">
        <f>RIGHT(CONCATENATE(0,#REF!),7)</f>
        <v>#REF!</v>
      </c>
    </row>
    <row r="1501" spans="669:669" hidden="1">
      <c r="YS1501" s="38" t="e">
        <f>RIGHT(CONCATENATE(0,#REF!),7)</f>
        <v>#REF!</v>
      </c>
    </row>
    <row r="1502" spans="669:669" hidden="1">
      <c r="YS1502" s="38" t="e">
        <f>RIGHT(CONCATENATE(0,#REF!),7)</f>
        <v>#REF!</v>
      </c>
    </row>
    <row r="1503" spans="669:669" hidden="1">
      <c r="YS1503" s="38" t="e">
        <f>RIGHT(CONCATENATE(0,#REF!),7)</f>
        <v>#REF!</v>
      </c>
    </row>
    <row r="1504" spans="669:669" hidden="1">
      <c r="YS1504" s="38" t="e">
        <f>RIGHT(CONCATENATE(0,#REF!),7)</f>
        <v>#REF!</v>
      </c>
    </row>
    <row r="1505" spans="669:669" hidden="1">
      <c r="YS1505" s="38" t="e">
        <f>RIGHT(CONCATENATE(0,#REF!),7)</f>
        <v>#REF!</v>
      </c>
    </row>
    <row r="1506" spans="669:669" hidden="1">
      <c r="YS1506" s="38" t="e">
        <f>RIGHT(CONCATENATE(0,#REF!),7)</f>
        <v>#REF!</v>
      </c>
    </row>
    <row r="1507" spans="669:669" hidden="1">
      <c r="YS1507" s="38" t="e">
        <f>RIGHT(CONCATENATE(0,#REF!),7)</f>
        <v>#REF!</v>
      </c>
    </row>
    <row r="1508" spans="669:669" hidden="1">
      <c r="YS1508" s="38" t="e">
        <f>RIGHT(CONCATENATE(0,#REF!),7)</f>
        <v>#REF!</v>
      </c>
    </row>
    <row r="1509" spans="669:669" hidden="1">
      <c r="YS1509" s="38" t="e">
        <f>RIGHT(CONCATENATE(0,#REF!),7)</f>
        <v>#REF!</v>
      </c>
    </row>
    <row r="1510" spans="669:669" hidden="1">
      <c r="YS1510" s="38" t="e">
        <f>RIGHT(CONCATENATE(0,#REF!),7)</f>
        <v>#REF!</v>
      </c>
    </row>
    <row r="1511" spans="669:669" hidden="1">
      <c r="YS1511" s="38" t="e">
        <f>RIGHT(CONCATENATE(0,#REF!),7)</f>
        <v>#REF!</v>
      </c>
    </row>
    <row r="1512" spans="669:669" hidden="1">
      <c r="YS1512" s="38" t="e">
        <f>RIGHT(CONCATENATE(0,#REF!),7)</f>
        <v>#REF!</v>
      </c>
    </row>
    <row r="1513" spans="669:669" hidden="1">
      <c r="YS1513" s="38" t="e">
        <f>RIGHT(CONCATENATE(0,#REF!),7)</f>
        <v>#REF!</v>
      </c>
    </row>
    <row r="1514" spans="669:669" hidden="1">
      <c r="YS1514" s="38" t="e">
        <f>RIGHT(CONCATENATE(0,#REF!),7)</f>
        <v>#REF!</v>
      </c>
    </row>
    <row r="1515" spans="669:669" hidden="1">
      <c r="YS1515" s="38" t="e">
        <f>RIGHT(CONCATENATE(0,#REF!),7)</f>
        <v>#REF!</v>
      </c>
    </row>
    <row r="1516" spans="669:669" hidden="1">
      <c r="YS1516" s="38" t="e">
        <f>RIGHT(CONCATENATE(0,#REF!),7)</f>
        <v>#REF!</v>
      </c>
    </row>
    <row r="1517" spans="669:669" hidden="1">
      <c r="YS1517" s="38" t="e">
        <f>RIGHT(CONCATENATE(0,#REF!),7)</f>
        <v>#REF!</v>
      </c>
    </row>
    <row r="1518" spans="669:669" hidden="1">
      <c r="YS1518" s="38" t="e">
        <f>RIGHT(CONCATENATE(0,#REF!),7)</f>
        <v>#REF!</v>
      </c>
    </row>
    <row r="1519" spans="669:669" hidden="1">
      <c r="YS1519" s="38" t="e">
        <f>RIGHT(CONCATENATE(0,#REF!),7)</f>
        <v>#REF!</v>
      </c>
    </row>
    <row r="1520" spans="669:669" hidden="1">
      <c r="YS1520" s="38" t="e">
        <f>RIGHT(CONCATENATE(0,#REF!),7)</f>
        <v>#REF!</v>
      </c>
    </row>
    <row r="1521" spans="669:669" hidden="1">
      <c r="YS1521" s="38" t="e">
        <f>RIGHT(CONCATENATE(0,#REF!),7)</f>
        <v>#REF!</v>
      </c>
    </row>
    <row r="1522" spans="669:669" hidden="1">
      <c r="YS1522" s="38" t="e">
        <f>RIGHT(CONCATENATE(0,#REF!),7)</f>
        <v>#REF!</v>
      </c>
    </row>
    <row r="1523" spans="669:669" hidden="1">
      <c r="YS1523" s="38" t="e">
        <f>RIGHT(CONCATENATE(0,#REF!),7)</f>
        <v>#REF!</v>
      </c>
    </row>
    <row r="1524" spans="669:669" hidden="1">
      <c r="YS1524" s="38" t="e">
        <f>RIGHT(CONCATENATE(0,#REF!),7)</f>
        <v>#REF!</v>
      </c>
    </row>
    <row r="1525" spans="669:669" hidden="1">
      <c r="YS1525" s="38" t="e">
        <f>RIGHT(CONCATENATE(0,#REF!),7)</f>
        <v>#REF!</v>
      </c>
    </row>
    <row r="1526" spans="669:669" hidden="1">
      <c r="YS1526" s="38" t="e">
        <f>RIGHT(CONCATENATE(0,#REF!),7)</f>
        <v>#REF!</v>
      </c>
    </row>
    <row r="1527" spans="669:669" hidden="1">
      <c r="YS1527" s="38" t="e">
        <f>RIGHT(CONCATENATE(0,#REF!),7)</f>
        <v>#REF!</v>
      </c>
    </row>
    <row r="1528" spans="669:669" hidden="1">
      <c r="YS1528" s="38" t="e">
        <f>RIGHT(CONCATENATE(0,#REF!),7)</f>
        <v>#REF!</v>
      </c>
    </row>
    <row r="1529" spans="669:669" hidden="1">
      <c r="YS1529" s="38" t="e">
        <f>RIGHT(CONCATENATE(0,#REF!),7)</f>
        <v>#REF!</v>
      </c>
    </row>
    <row r="1530" spans="669:669" hidden="1">
      <c r="YS1530" s="38" t="e">
        <f>RIGHT(CONCATENATE(0,#REF!),7)</f>
        <v>#REF!</v>
      </c>
    </row>
    <row r="1531" spans="669:669" hidden="1">
      <c r="YS1531" s="38" t="e">
        <f>RIGHT(CONCATENATE(0,#REF!),7)</f>
        <v>#REF!</v>
      </c>
    </row>
    <row r="1532" spans="669:669" hidden="1">
      <c r="YS1532" s="38" t="e">
        <f>RIGHT(CONCATENATE(0,#REF!),7)</f>
        <v>#REF!</v>
      </c>
    </row>
    <row r="1533" spans="669:669" hidden="1">
      <c r="YS1533" s="38" t="e">
        <f>RIGHT(CONCATENATE(0,#REF!),7)</f>
        <v>#REF!</v>
      </c>
    </row>
    <row r="1534" spans="669:669" hidden="1">
      <c r="YS1534" s="38" t="e">
        <f>RIGHT(CONCATENATE(0,#REF!),7)</f>
        <v>#REF!</v>
      </c>
    </row>
    <row r="1535" spans="669:669" hidden="1">
      <c r="YS1535" s="38" t="e">
        <f>RIGHT(CONCATENATE(0,#REF!),7)</f>
        <v>#REF!</v>
      </c>
    </row>
    <row r="1536" spans="669:669" hidden="1">
      <c r="YS1536" s="38" t="e">
        <f>RIGHT(CONCATENATE(0,#REF!),7)</f>
        <v>#REF!</v>
      </c>
    </row>
    <row r="1537" spans="669:669" hidden="1">
      <c r="YS1537" s="38" t="e">
        <f>RIGHT(CONCATENATE(0,#REF!),7)</f>
        <v>#REF!</v>
      </c>
    </row>
    <row r="1538" spans="669:669" hidden="1">
      <c r="YS1538" s="38" t="e">
        <f>RIGHT(CONCATENATE(0,#REF!),7)</f>
        <v>#REF!</v>
      </c>
    </row>
    <row r="1539" spans="669:669" hidden="1">
      <c r="YS1539" s="38" t="e">
        <f>RIGHT(CONCATENATE(0,#REF!),7)</f>
        <v>#REF!</v>
      </c>
    </row>
    <row r="1540" spans="669:669" hidden="1">
      <c r="YS1540" s="38" t="e">
        <f>RIGHT(CONCATENATE(0,#REF!),7)</f>
        <v>#REF!</v>
      </c>
    </row>
    <row r="1541" spans="669:669" hidden="1">
      <c r="YS1541" s="38" t="e">
        <f>RIGHT(CONCATENATE(0,#REF!),7)</f>
        <v>#REF!</v>
      </c>
    </row>
    <row r="1542" spans="669:669" hidden="1">
      <c r="YS1542" s="38" t="e">
        <f>RIGHT(CONCATENATE(0,#REF!),7)</f>
        <v>#REF!</v>
      </c>
    </row>
    <row r="1543" spans="669:669" hidden="1">
      <c r="YS1543" s="38" t="e">
        <f>RIGHT(CONCATENATE(0,#REF!),7)</f>
        <v>#REF!</v>
      </c>
    </row>
    <row r="1544" spans="669:669" hidden="1">
      <c r="YS1544" s="38" t="e">
        <f>RIGHT(CONCATENATE(0,#REF!),7)</f>
        <v>#REF!</v>
      </c>
    </row>
    <row r="1545" spans="669:669" hidden="1">
      <c r="YS1545" s="38" t="e">
        <f>RIGHT(CONCATENATE(0,#REF!),7)</f>
        <v>#REF!</v>
      </c>
    </row>
    <row r="1546" spans="669:669" hidden="1">
      <c r="YS1546" s="38" t="e">
        <f>RIGHT(CONCATENATE(0,#REF!),7)</f>
        <v>#REF!</v>
      </c>
    </row>
    <row r="1547" spans="669:669" hidden="1">
      <c r="YS1547" s="38" t="e">
        <f>RIGHT(CONCATENATE(0,#REF!),7)</f>
        <v>#REF!</v>
      </c>
    </row>
    <row r="1548" spans="669:669" hidden="1">
      <c r="YS1548" s="38" t="e">
        <f>RIGHT(CONCATENATE(0,#REF!),7)</f>
        <v>#REF!</v>
      </c>
    </row>
    <row r="1549" spans="669:669" hidden="1">
      <c r="YS1549" s="38" t="e">
        <f>RIGHT(CONCATENATE(0,#REF!),7)</f>
        <v>#REF!</v>
      </c>
    </row>
    <row r="1550" spans="669:669" hidden="1">
      <c r="YS1550" s="38" t="e">
        <f>RIGHT(CONCATENATE(0,#REF!),7)</f>
        <v>#REF!</v>
      </c>
    </row>
    <row r="1551" spans="669:669" hidden="1">
      <c r="YS1551" s="38" t="e">
        <f>RIGHT(CONCATENATE(0,#REF!),7)</f>
        <v>#REF!</v>
      </c>
    </row>
    <row r="1552" spans="669:669" hidden="1">
      <c r="YS1552" s="38" t="e">
        <f>RIGHT(CONCATENATE(0,#REF!),7)</f>
        <v>#REF!</v>
      </c>
    </row>
    <row r="1553" spans="669:669" hidden="1">
      <c r="YS1553" s="38" t="e">
        <f>RIGHT(CONCATENATE(0,#REF!),7)</f>
        <v>#REF!</v>
      </c>
    </row>
    <row r="1554" spans="669:669" hidden="1">
      <c r="YS1554" s="38" t="e">
        <f>RIGHT(CONCATENATE(0,#REF!),7)</f>
        <v>#REF!</v>
      </c>
    </row>
    <row r="1555" spans="669:669" hidden="1">
      <c r="YS1555" s="38" t="e">
        <f>RIGHT(CONCATENATE(0,#REF!),7)</f>
        <v>#REF!</v>
      </c>
    </row>
    <row r="1556" spans="669:669" hidden="1">
      <c r="YS1556" s="38" t="e">
        <f>RIGHT(CONCATENATE(0,#REF!),7)</f>
        <v>#REF!</v>
      </c>
    </row>
    <row r="1557" spans="669:669" hidden="1">
      <c r="YS1557" s="38" t="e">
        <f>RIGHT(CONCATENATE(0,#REF!),7)</f>
        <v>#REF!</v>
      </c>
    </row>
    <row r="1558" spans="669:669" hidden="1">
      <c r="YS1558" s="38" t="e">
        <f>RIGHT(CONCATENATE(0,#REF!),7)</f>
        <v>#REF!</v>
      </c>
    </row>
    <row r="1559" spans="669:669" hidden="1">
      <c r="YS1559" s="38" t="e">
        <f>RIGHT(CONCATENATE(0,#REF!),7)</f>
        <v>#REF!</v>
      </c>
    </row>
    <row r="1560" spans="669:669" hidden="1">
      <c r="YS1560" s="38" t="e">
        <f>RIGHT(CONCATENATE(0,#REF!),7)</f>
        <v>#REF!</v>
      </c>
    </row>
    <row r="1561" spans="669:669" hidden="1">
      <c r="YS1561" s="38" t="e">
        <f>RIGHT(CONCATENATE(0,#REF!),7)</f>
        <v>#REF!</v>
      </c>
    </row>
    <row r="1562" spans="669:669" hidden="1">
      <c r="YS1562" s="38" t="e">
        <f>RIGHT(CONCATENATE(0,#REF!),7)</f>
        <v>#REF!</v>
      </c>
    </row>
    <row r="1563" spans="669:669" hidden="1">
      <c r="YS1563" s="38" t="e">
        <f>RIGHT(CONCATENATE(0,#REF!),7)</f>
        <v>#REF!</v>
      </c>
    </row>
    <row r="1564" spans="669:669" hidden="1">
      <c r="YS1564" s="38" t="e">
        <f>RIGHT(CONCATENATE(0,#REF!),7)</f>
        <v>#REF!</v>
      </c>
    </row>
    <row r="1565" spans="669:669" hidden="1">
      <c r="YS1565" s="38" t="e">
        <f>RIGHT(CONCATENATE(0,#REF!),7)</f>
        <v>#REF!</v>
      </c>
    </row>
    <row r="1566" spans="669:669" hidden="1">
      <c r="YS1566" s="38" t="e">
        <f>RIGHT(CONCATENATE(0,#REF!),7)</f>
        <v>#REF!</v>
      </c>
    </row>
    <row r="1567" spans="669:669" hidden="1">
      <c r="YS1567" s="38" t="e">
        <f>RIGHT(CONCATENATE(0,#REF!),7)</f>
        <v>#REF!</v>
      </c>
    </row>
    <row r="1568" spans="669:669" hidden="1">
      <c r="YS1568" s="38" t="e">
        <f>RIGHT(CONCATENATE(0,#REF!),7)</f>
        <v>#REF!</v>
      </c>
    </row>
    <row r="1569" spans="669:669" hidden="1">
      <c r="YS1569" s="38" t="e">
        <f>RIGHT(CONCATENATE(0,#REF!),7)</f>
        <v>#REF!</v>
      </c>
    </row>
    <row r="1570" spans="669:669" hidden="1">
      <c r="YS1570" s="38" t="e">
        <f>RIGHT(CONCATENATE(0,#REF!),7)</f>
        <v>#REF!</v>
      </c>
    </row>
    <row r="1571" spans="669:669" hidden="1">
      <c r="YS1571" s="38" t="e">
        <f>RIGHT(CONCATENATE(0,#REF!),7)</f>
        <v>#REF!</v>
      </c>
    </row>
    <row r="1572" spans="669:669" hidden="1">
      <c r="YS1572" s="38" t="e">
        <f>RIGHT(CONCATENATE(0,#REF!),7)</f>
        <v>#REF!</v>
      </c>
    </row>
    <row r="1573" spans="669:669" hidden="1">
      <c r="YS1573" s="38" t="e">
        <f>RIGHT(CONCATENATE(0,#REF!),7)</f>
        <v>#REF!</v>
      </c>
    </row>
    <row r="1574" spans="669:669" hidden="1">
      <c r="YS1574" s="38" t="e">
        <f>RIGHT(CONCATENATE(0,#REF!),7)</f>
        <v>#REF!</v>
      </c>
    </row>
    <row r="1575" spans="669:669" hidden="1">
      <c r="YS1575" s="38" t="e">
        <f>RIGHT(CONCATENATE(0,#REF!),7)</f>
        <v>#REF!</v>
      </c>
    </row>
    <row r="1576" spans="669:669" hidden="1">
      <c r="YS1576" s="38" t="e">
        <f>RIGHT(CONCATENATE(0,#REF!),7)</f>
        <v>#REF!</v>
      </c>
    </row>
    <row r="1577" spans="669:669" hidden="1">
      <c r="YS1577" s="38" t="e">
        <f>RIGHT(CONCATENATE(0,#REF!),7)</f>
        <v>#REF!</v>
      </c>
    </row>
    <row r="1578" spans="669:669" hidden="1">
      <c r="YS1578" s="38" t="e">
        <f>RIGHT(CONCATENATE(0,#REF!),7)</f>
        <v>#REF!</v>
      </c>
    </row>
    <row r="1579" spans="669:669" hidden="1">
      <c r="YS1579" s="38" t="e">
        <f>RIGHT(CONCATENATE(0,#REF!),7)</f>
        <v>#REF!</v>
      </c>
    </row>
    <row r="1580" spans="669:669" hidden="1">
      <c r="YS1580" s="38" t="e">
        <f>RIGHT(CONCATENATE(0,#REF!),7)</f>
        <v>#REF!</v>
      </c>
    </row>
    <row r="1581" spans="669:669" hidden="1">
      <c r="YS1581" s="38" t="e">
        <f>RIGHT(CONCATENATE(0,#REF!),7)</f>
        <v>#REF!</v>
      </c>
    </row>
    <row r="1582" spans="669:669" hidden="1">
      <c r="YS1582" s="38" t="e">
        <f>RIGHT(CONCATENATE(0,#REF!),7)</f>
        <v>#REF!</v>
      </c>
    </row>
    <row r="1583" spans="669:669" hidden="1">
      <c r="YS1583" s="38" t="e">
        <f>RIGHT(CONCATENATE(0,#REF!),7)</f>
        <v>#REF!</v>
      </c>
    </row>
    <row r="1584" spans="669:669" hidden="1">
      <c r="YS1584" s="38" t="e">
        <f>RIGHT(CONCATENATE(0,#REF!),7)</f>
        <v>#REF!</v>
      </c>
    </row>
    <row r="1585" spans="669:669" hidden="1">
      <c r="YS1585" s="38" t="e">
        <f>RIGHT(CONCATENATE(0,#REF!),7)</f>
        <v>#REF!</v>
      </c>
    </row>
    <row r="1586" spans="669:669" hidden="1">
      <c r="YS1586" s="38" t="e">
        <f>RIGHT(CONCATENATE(0,#REF!),7)</f>
        <v>#REF!</v>
      </c>
    </row>
    <row r="1587" spans="669:669" hidden="1">
      <c r="YS1587" s="38" t="e">
        <f>RIGHT(CONCATENATE(0,#REF!),7)</f>
        <v>#REF!</v>
      </c>
    </row>
    <row r="1588" spans="669:669" hidden="1">
      <c r="YS1588" s="38" t="e">
        <f>RIGHT(CONCATENATE(0,#REF!),7)</f>
        <v>#REF!</v>
      </c>
    </row>
    <row r="1589" spans="669:669" hidden="1">
      <c r="YS1589" s="38" t="e">
        <f>RIGHT(CONCATENATE(0,#REF!),7)</f>
        <v>#REF!</v>
      </c>
    </row>
    <row r="1590" spans="669:669" hidden="1">
      <c r="YS1590" s="38" t="e">
        <f>RIGHT(CONCATENATE(0,#REF!),7)</f>
        <v>#REF!</v>
      </c>
    </row>
    <row r="1591" spans="669:669" hidden="1">
      <c r="YS1591" s="38" t="e">
        <f>RIGHT(CONCATENATE(0,#REF!),7)</f>
        <v>#REF!</v>
      </c>
    </row>
    <row r="1592" spans="669:669" hidden="1">
      <c r="YS1592" s="38" t="e">
        <f>RIGHT(CONCATENATE(0,#REF!),7)</f>
        <v>#REF!</v>
      </c>
    </row>
    <row r="1593" spans="669:669" hidden="1">
      <c r="YS1593" s="38" t="e">
        <f>RIGHT(CONCATENATE(0,#REF!),7)</f>
        <v>#REF!</v>
      </c>
    </row>
    <row r="1594" spans="669:669" hidden="1">
      <c r="YS1594" s="38" t="e">
        <f>RIGHT(CONCATENATE(0,#REF!),7)</f>
        <v>#REF!</v>
      </c>
    </row>
    <row r="1595" spans="669:669" hidden="1">
      <c r="YS1595" s="38" t="e">
        <f>RIGHT(CONCATENATE(0,#REF!),7)</f>
        <v>#REF!</v>
      </c>
    </row>
    <row r="1596" spans="669:669" hidden="1">
      <c r="YS1596" s="38" t="e">
        <f>RIGHT(CONCATENATE(0,#REF!),7)</f>
        <v>#REF!</v>
      </c>
    </row>
    <row r="1597" spans="669:669" hidden="1">
      <c r="YS1597" s="38" t="e">
        <f>RIGHT(CONCATENATE(0,#REF!),7)</f>
        <v>#REF!</v>
      </c>
    </row>
    <row r="1598" spans="669:669" hidden="1">
      <c r="YS1598" s="38" t="e">
        <f>RIGHT(CONCATENATE(0,#REF!),7)</f>
        <v>#REF!</v>
      </c>
    </row>
    <row r="1599" spans="669:669" hidden="1">
      <c r="YS1599" s="38" t="e">
        <f>RIGHT(CONCATENATE(0,#REF!),7)</f>
        <v>#REF!</v>
      </c>
    </row>
    <row r="1600" spans="669:669" hidden="1">
      <c r="YS1600" s="38" t="e">
        <f>RIGHT(CONCATENATE(0,#REF!),7)</f>
        <v>#REF!</v>
      </c>
    </row>
    <row r="1601" spans="669:669" hidden="1">
      <c r="YS1601" s="38" t="e">
        <f>RIGHT(CONCATENATE(0,#REF!),7)</f>
        <v>#REF!</v>
      </c>
    </row>
    <row r="1602" spans="669:669" hidden="1">
      <c r="YS1602" s="38" t="e">
        <f>RIGHT(CONCATENATE(0,#REF!),7)</f>
        <v>#REF!</v>
      </c>
    </row>
    <row r="1603" spans="669:669" hidden="1">
      <c r="YS1603" s="38" t="e">
        <f>RIGHT(CONCATENATE(0,#REF!),7)</f>
        <v>#REF!</v>
      </c>
    </row>
    <row r="1604" spans="669:669" hidden="1">
      <c r="YS1604" s="38" t="e">
        <f>RIGHT(CONCATENATE(0,#REF!),7)</f>
        <v>#REF!</v>
      </c>
    </row>
    <row r="1605" spans="669:669" hidden="1">
      <c r="YS1605" s="38" t="e">
        <f>RIGHT(CONCATENATE(0,#REF!),7)</f>
        <v>#REF!</v>
      </c>
    </row>
    <row r="1606" spans="669:669" hidden="1">
      <c r="YS1606" s="38" t="e">
        <f>RIGHT(CONCATENATE(0,#REF!),7)</f>
        <v>#REF!</v>
      </c>
    </row>
    <row r="1607" spans="669:669" hidden="1">
      <c r="YS1607" s="38" t="e">
        <f>RIGHT(CONCATENATE(0,#REF!),7)</f>
        <v>#REF!</v>
      </c>
    </row>
    <row r="1608" spans="669:669" hidden="1">
      <c r="YS1608" s="38" t="e">
        <f>RIGHT(CONCATENATE(0,#REF!),7)</f>
        <v>#REF!</v>
      </c>
    </row>
    <row r="1609" spans="669:669" hidden="1">
      <c r="YS1609" s="38" t="e">
        <f>RIGHT(CONCATENATE(0,#REF!),7)</f>
        <v>#REF!</v>
      </c>
    </row>
    <row r="1610" spans="669:669" hidden="1">
      <c r="YS1610" s="38" t="e">
        <f>RIGHT(CONCATENATE(0,#REF!),7)</f>
        <v>#REF!</v>
      </c>
    </row>
    <row r="1611" spans="669:669" hidden="1">
      <c r="YS1611" s="38" t="e">
        <f>RIGHT(CONCATENATE(0,#REF!),7)</f>
        <v>#REF!</v>
      </c>
    </row>
    <row r="1612" spans="669:669" hidden="1">
      <c r="YS1612" s="38" t="e">
        <f>RIGHT(CONCATENATE(0,#REF!),7)</f>
        <v>#REF!</v>
      </c>
    </row>
    <row r="1613" spans="669:669" hidden="1">
      <c r="YS1613" s="38" t="e">
        <f>RIGHT(CONCATENATE(0,#REF!),7)</f>
        <v>#REF!</v>
      </c>
    </row>
    <row r="1614" spans="669:669" hidden="1">
      <c r="YS1614" s="38" t="e">
        <f>RIGHT(CONCATENATE(0,#REF!),7)</f>
        <v>#REF!</v>
      </c>
    </row>
    <row r="1615" spans="669:669" hidden="1">
      <c r="YS1615" s="38" t="e">
        <f>RIGHT(CONCATENATE(0,#REF!),7)</f>
        <v>#REF!</v>
      </c>
    </row>
    <row r="1616" spans="669:669" hidden="1">
      <c r="YS1616" s="38" t="e">
        <f>RIGHT(CONCATENATE(0,#REF!),7)</f>
        <v>#REF!</v>
      </c>
    </row>
    <row r="1617" spans="669:669" hidden="1">
      <c r="YS1617" s="38" t="e">
        <f>RIGHT(CONCATENATE(0,#REF!),7)</f>
        <v>#REF!</v>
      </c>
    </row>
    <row r="1618" spans="669:669" hidden="1">
      <c r="YS1618" s="38" t="e">
        <f>RIGHT(CONCATENATE(0,#REF!),7)</f>
        <v>#REF!</v>
      </c>
    </row>
    <row r="1619" spans="669:669" hidden="1">
      <c r="YS1619" s="38" t="e">
        <f>RIGHT(CONCATENATE(0,#REF!),7)</f>
        <v>#REF!</v>
      </c>
    </row>
    <row r="1620" spans="669:669" hidden="1">
      <c r="YS1620" s="38" t="e">
        <f>RIGHT(CONCATENATE(0,#REF!),7)</f>
        <v>#REF!</v>
      </c>
    </row>
    <row r="1621" spans="669:669" hidden="1">
      <c r="YS1621" s="38" t="e">
        <f>RIGHT(CONCATENATE(0,#REF!),7)</f>
        <v>#REF!</v>
      </c>
    </row>
    <row r="1622" spans="669:669" hidden="1">
      <c r="YS1622" s="38" t="e">
        <f>RIGHT(CONCATENATE(0,#REF!),7)</f>
        <v>#REF!</v>
      </c>
    </row>
    <row r="1623" spans="669:669" hidden="1">
      <c r="YS1623" s="38" t="e">
        <f>RIGHT(CONCATENATE(0,#REF!),7)</f>
        <v>#REF!</v>
      </c>
    </row>
    <row r="1624" spans="669:669" hidden="1">
      <c r="YS1624" s="38" t="e">
        <f>RIGHT(CONCATENATE(0,#REF!),7)</f>
        <v>#REF!</v>
      </c>
    </row>
    <row r="1625" spans="669:669" hidden="1">
      <c r="YS1625" s="38" t="e">
        <f>RIGHT(CONCATENATE(0,#REF!),7)</f>
        <v>#REF!</v>
      </c>
    </row>
    <row r="1626" spans="669:669" hidden="1">
      <c r="YS1626" s="38" t="e">
        <f>RIGHT(CONCATENATE(0,#REF!),7)</f>
        <v>#REF!</v>
      </c>
    </row>
    <row r="1627" spans="669:669" hidden="1">
      <c r="YS1627" s="38" t="e">
        <f>RIGHT(CONCATENATE(0,#REF!),7)</f>
        <v>#REF!</v>
      </c>
    </row>
    <row r="1628" spans="669:669" hidden="1">
      <c r="YS1628" s="38" t="e">
        <f>RIGHT(CONCATENATE(0,#REF!),7)</f>
        <v>#REF!</v>
      </c>
    </row>
    <row r="1629" spans="669:669" hidden="1">
      <c r="YS1629" s="38" t="e">
        <f>RIGHT(CONCATENATE(0,#REF!),7)</f>
        <v>#REF!</v>
      </c>
    </row>
    <row r="1630" spans="669:669" hidden="1">
      <c r="YS1630" s="38" t="e">
        <f>RIGHT(CONCATENATE(0,#REF!),7)</f>
        <v>#REF!</v>
      </c>
    </row>
    <row r="1631" spans="669:669" hidden="1">
      <c r="YS1631" s="38" t="e">
        <f>RIGHT(CONCATENATE(0,#REF!),7)</f>
        <v>#REF!</v>
      </c>
    </row>
    <row r="1632" spans="669:669" hidden="1">
      <c r="YS1632" s="38" t="e">
        <f>RIGHT(CONCATENATE(0,#REF!),7)</f>
        <v>#REF!</v>
      </c>
    </row>
    <row r="1633" spans="669:669" hidden="1">
      <c r="YS1633" s="38" t="e">
        <f>RIGHT(CONCATENATE(0,#REF!),7)</f>
        <v>#REF!</v>
      </c>
    </row>
    <row r="1634" spans="669:669" hidden="1">
      <c r="YS1634" s="38" t="e">
        <f>RIGHT(CONCATENATE(0,#REF!),7)</f>
        <v>#REF!</v>
      </c>
    </row>
    <row r="1635" spans="669:669" hidden="1">
      <c r="YS1635" s="38" t="e">
        <f>RIGHT(CONCATENATE(0,#REF!),7)</f>
        <v>#REF!</v>
      </c>
    </row>
    <row r="1636" spans="669:669" hidden="1">
      <c r="YS1636" s="38" t="e">
        <f>RIGHT(CONCATENATE(0,#REF!),7)</f>
        <v>#REF!</v>
      </c>
    </row>
    <row r="1637" spans="669:669" hidden="1">
      <c r="YS1637" s="38" t="e">
        <f>RIGHT(CONCATENATE(0,#REF!),7)</f>
        <v>#REF!</v>
      </c>
    </row>
    <row r="1638" spans="669:669" hidden="1">
      <c r="YS1638" s="38" t="e">
        <f>RIGHT(CONCATENATE(0,#REF!),7)</f>
        <v>#REF!</v>
      </c>
    </row>
    <row r="1639" spans="669:669" hidden="1">
      <c r="YS1639" s="38" t="e">
        <f>RIGHT(CONCATENATE(0,#REF!),7)</f>
        <v>#REF!</v>
      </c>
    </row>
    <row r="1640" spans="669:669" hidden="1">
      <c r="YS1640" s="38" t="e">
        <f>RIGHT(CONCATENATE(0,#REF!),7)</f>
        <v>#REF!</v>
      </c>
    </row>
    <row r="1641" spans="669:669" hidden="1">
      <c r="YS1641" s="38" t="e">
        <f>RIGHT(CONCATENATE(0,#REF!),7)</f>
        <v>#REF!</v>
      </c>
    </row>
    <row r="1642" spans="669:669" hidden="1">
      <c r="YS1642" s="38" t="e">
        <f>RIGHT(CONCATENATE(0,#REF!),7)</f>
        <v>#REF!</v>
      </c>
    </row>
    <row r="1643" spans="669:669" hidden="1">
      <c r="YS1643" s="38" t="e">
        <f>RIGHT(CONCATENATE(0,#REF!),7)</f>
        <v>#REF!</v>
      </c>
    </row>
    <row r="1644" spans="669:669" hidden="1">
      <c r="YS1644" s="38" t="e">
        <f>RIGHT(CONCATENATE(0,#REF!),7)</f>
        <v>#REF!</v>
      </c>
    </row>
    <row r="1645" spans="669:669" hidden="1">
      <c r="YS1645" s="38" t="e">
        <f>RIGHT(CONCATENATE(0,#REF!),7)</f>
        <v>#REF!</v>
      </c>
    </row>
    <row r="1646" spans="669:669" hidden="1">
      <c r="YS1646" s="38" t="e">
        <f>RIGHT(CONCATENATE(0,#REF!),7)</f>
        <v>#REF!</v>
      </c>
    </row>
    <row r="1647" spans="669:669" hidden="1">
      <c r="YS1647" s="38" t="e">
        <f>RIGHT(CONCATENATE(0,#REF!),7)</f>
        <v>#REF!</v>
      </c>
    </row>
    <row r="1648" spans="669:669" hidden="1">
      <c r="YS1648" s="38" t="e">
        <f>RIGHT(CONCATENATE(0,#REF!),7)</f>
        <v>#REF!</v>
      </c>
    </row>
    <row r="1649" spans="669:669" hidden="1">
      <c r="YS1649" s="38" t="e">
        <f>RIGHT(CONCATENATE(0,#REF!),7)</f>
        <v>#REF!</v>
      </c>
    </row>
    <row r="1650" spans="669:669" hidden="1">
      <c r="YS1650" s="38" t="e">
        <f>RIGHT(CONCATENATE(0,#REF!),7)</f>
        <v>#REF!</v>
      </c>
    </row>
    <row r="1651" spans="669:669" hidden="1">
      <c r="YS1651" s="38" t="e">
        <f>RIGHT(CONCATENATE(0,#REF!),7)</f>
        <v>#REF!</v>
      </c>
    </row>
    <row r="1652" spans="669:669" hidden="1">
      <c r="YS1652" s="38" t="e">
        <f>RIGHT(CONCATENATE(0,#REF!),7)</f>
        <v>#REF!</v>
      </c>
    </row>
    <row r="1653" spans="669:669" hidden="1">
      <c r="YS1653" s="38" t="e">
        <f>RIGHT(CONCATENATE(0,#REF!),7)</f>
        <v>#REF!</v>
      </c>
    </row>
    <row r="1654" spans="669:669" hidden="1">
      <c r="YS1654" s="38" t="e">
        <f>RIGHT(CONCATENATE(0,#REF!),7)</f>
        <v>#REF!</v>
      </c>
    </row>
    <row r="1655" spans="669:669" hidden="1">
      <c r="YS1655" s="38" t="e">
        <f>RIGHT(CONCATENATE(0,#REF!),7)</f>
        <v>#REF!</v>
      </c>
    </row>
    <row r="1656" spans="669:669" hidden="1">
      <c r="YS1656" s="38" t="e">
        <f>RIGHT(CONCATENATE(0,#REF!),7)</f>
        <v>#REF!</v>
      </c>
    </row>
    <row r="1657" spans="669:669" hidden="1">
      <c r="YS1657" s="38" t="e">
        <f>RIGHT(CONCATENATE(0,#REF!),7)</f>
        <v>#REF!</v>
      </c>
    </row>
    <row r="1658" spans="669:669" hidden="1">
      <c r="YS1658" s="38" t="e">
        <f>RIGHT(CONCATENATE(0,#REF!),7)</f>
        <v>#REF!</v>
      </c>
    </row>
    <row r="1659" spans="669:669" hidden="1">
      <c r="YS1659" s="38" t="e">
        <f>RIGHT(CONCATENATE(0,#REF!),7)</f>
        <v>#REF!</v>
      </c>
    </row>
    <row r="1660" spans="669:669" hidden="1">
      <c r="YS1660" s="38" t="e">
        <f>RIGHT(CONCATENATE(0,#REF!),7)</f>
        <v>#REF!</v>
      </c>
    </row>
    <row r="1661" spans="669:669" hidden="1">
      <c r="YS1661" s="38" t="e">
        <f>RIGHT(CONCATENATE(0,#REF!),7)</f>
        <v>#REF!</v>
      </c>
    </row>
    <row r="1662" spans="669:669" hidden="1">
      <c r="YS1662" s="38" t="e">
        <f>RIGHT(CONCATENATE(0,#REF!),7)</f>
        <v>#REF!</v>
      </c>
    </row>
    <row r="1663" spans="669:669" hidden="1">
      <c r="YS1663" s="38" t="e">
        <f>RIGHT(CONCATENATE(0,#REF!),7)</f>
        <v>#REF!</v>
      </c>
    </row>
    <row r="1664" spans="669:669" hidden="1">
      <c r="YS1664" s="38" t="e">
        <f>RIGHT(CONCATENATE(0,#REF!),7)</f>
        <v>#REF!</v>
      </c>
    </row>
    <row r="1665" spans="669:669" hidden="1">
      <c r="YS1665" s="38" t="e">
        <f>RIGHT(CONCATENATE(0,#REF!),7)</f>
        <v>#REF!</v>
      </c>
    </row>
    <row r="1666" spans="669:669" hidden="1">
      <c r="YS1666" s="38" t="e">
        <f>RIGHT(CONCATENATE(0,#REF!),7)</f>
        <v>#REF!</v>
      </c>
    </row>
    <row r="1667" spans="669:669" hidden="1">
      <c r="YS1667" s="38" t="e">
        <f>RIGHT(CONCATENATE(0,#REF!),7)</f>
        <v>#REF!</v>
      </c>
    </row>
    <row r="1668" spans="669:669" hidden="1">
      <c r="YS1668" s="38" t="e">
        <f>RIGHT(CONCATENATE(0,#REF!),7)</f>
        <v>#REF!</v>
      </c>
    </row>
    <row r="1669" spans="669:669" hidden="1">
      <c r="YS1669" s="38" t="e">
        <f>RIGHT(CONCATENATE(0,#REF!),7)</f>
        <v>#REF!</v>
      </c>
    </row>
    <row r="1670" spans="669:669" hidden="1">
      <c r="YS1670" s="38" t="e">
        <f>RIGHT(CONCATENATE(0,#REF!),7)</f>
        <v>#REF!</v>
      </c>
    </row>
    <row r="1671" spans="669:669" hidden="1">
      <c r="YS1671" s="38" t="e">
        <f>RIGHT(CONCATENATE(0,#REF!),7)</f>
        <v>#REF!</v>
      </c>
    </row>
    <row r="1672" spans="669:669" hidden="1">
      <c r="YS1672" s="38" t="e">
        <f>RIGHT(CONCATENATE(0,#REF!),7)</f>
        <v>#REF!</v>
      </c>
    </row>
    <row r="1673" spans="669:669" hidden="1">
      <c r="YS1673" s="38" t="e">
        <f>RIGHT(CONCATENATE(0,#REF!),7)</f>
        <v>#REF!</v>
      </c>
    </row>
    <row r="1674" spans="669:669" hidden="1">
      <c r="YS1674" s="38" t="e">
        <f>RIGHT(CONCATENATE(0,#REF!),7)</f>
        <v>#REF!</v>
      </c>
    </row>
    <row r="1675" spans="669:669" hidden="1">
      <c r="YS1675" s="38" t="e">
        <f>RIGHT(CONCATENATE(0,#REF!),7)</f>
        <v>#REF!</v>
      </c>
    </row>
    <row r="1676" spans="669:669" hidden="1">
      <c r="YS1676" s="38" t="e">
        <f>RIGHT(CONCATENATE(0,#REF!),7)</f>
        <v>#REF!</v>
      </c>
    </row>
    <row r="1677" spans="669:669" hidden="1">
      <c r="YS1677" s="38" t="e">
        <f>RIGHT(CONCATENATE(0,#REF!),7)</f>
        <v>#REF!</v>
      </c>
    </row>
    <row r="1678" spans="669:669" hidden="1">
      <c r="YS1678" s="38" t="e">
        <f>RIGHT(CONCATENATE(0,#REF!),7)</f>
        <v>#REF!</v>
      </c>
    </row>
    <row r="1679" spans="669:669" hidden="1">
      <c r="YS1679" s="38" t="e">
        <f>RIGHT(CONCATENATE(0,#REF!),7)</f>
        <v>#REF!</v>
      </c>
    </row>
    <row r="1680" spans="669:669" hidden="1">
      <c r="YS1680" s="38" t="e">
        <f>RIGHT(CONCATENATE(0,#REF!),7)</f>
        <v>#REF!</v>
      </c>
    </row>
    <row r="1681" spans="669:669" hidden="1">
      <c r="YS1681" s="38" t="e">
        <f>RIGHT(CONCATENATE(0,#REF!),7)</f>
        <v>#REF!</v>
      </c>
    </row>
    <row r="1682" spans="669:669" hidden="1">
      <c r="YS1682" s="38" t="e">
        <f>RIGHT(CONCATENATE(0,#REF!),7)</f>
        <v>#REF!</v>
      </c>
    </row>
    <row r="1683" spans="669:669" hidden="1">
      <c r="YS1683" s="38" t="e">
        <f>RIGHT(CONCATENATE(0,#REF!),7)</f>
        <v>#REF!</v>
      </c>
    </row>
    <row r="1684" spans="669:669" hidden="1">
      <c r="YS1684" s="38" t="e">
        <f>RIGHT(CONCATENATE(0,#REF!),7)</f>
        <v>#REF!</v>
      </c>
    </row>
    <row r="1685" spans="669:669" hidden="1">
      <c r="YS1685" s="38" t="e">
        <f>RIGHT(CONCATENATE(0,#REF!),7)</f>
        <v>#REF!</v>
      </c>
    </row>
    <row r="1686" spans="669:669" hidden="1">
      <c r="YS1686" s="38" t="e">
        <f>RIGHT(CONCATENATE(0,#REF!),7)</f>
        <v>#REF!</v>
      </c>
    </row>
    <row r="1687" spans="669:669" hidden="1">
      <c r="YS1687" s="38" t="e">
        <f>RIGHT(CONCATENATE(0,#REF!),7)</f>
        <v>#REF!</v>
      </c>
    </row>
    <row r="1688" spans="669:669" hidden="1">
      <c r="YS1688" s="38" t="e">
        <f>RIGHT(CONCATENATE(0,#REF!),7)</f>
        <v>#REF!</v>
      </c>
    </row>
    <row r="1689" spans="669:669" hidden="1">
      <c r="YS1689" s="38" t="e">
        <f>RIGHT(CONCATENATE(0,#REF!),7)</f>
        <v>#REF!</v>
      </c>
    </row>
    <row r="1690" spans="669:669" hidden="1">
      <c r="YS1690" s="38" t="e">
        <f>RIGHT(CONCATENATE(0,#REF!),7)</f>
        <v>#REF!</v>
      </c>
    </row>
    <row r="1691" spans="669:669" hidden="1">
      <c r="YS1691" s="38" t="e">
        <f>RIGHT(CONCATENATE(0,#REF!),7)</f>
        <v>#REF!</v>
      </c>
    </row>
    <row r="1692" spans="669:669" hidden="1">
      <c r="YS1692" s="38" t="e">
        <f>RIGHT(CONCATENATE(0,#REF!),7)</f>
        <v>#REF!</v>
      </c>
    </row>
    <row r="1693" spans="669:669" hidden="1">
      <c r="YS1693" s="38" t="e">
        <f>RIGHT(CONCATENATE(0,#REF!),7)</f>
        <v>#REF!</v>
      </c>
    </row>
    <row r="1694" spans="669:669" hidden="1">
      <c r="YS1694" s="38" t="e">
        <f>RIGHT(CONCATENATE(0,#REF!),7)</f>
        <v>#REF!</v>
      </c>
    </row>
    <row r="1695" spans="669:669" hidden="1">
      <c r="YS1695" s="38" t="e">
        <f>RIGHT(CONCATENATE(0,#REF!),7)</f>
        <v>#REF!</v>
      </c>
    </row>
    <row r="1696" spans="669:669" hidden="1">
      <c r="YS1696" s="38" t="e">
        <f>RIGHT(CONCATENATE(0,#REF!),7)</f>
        <v>#REF!</v>
      </c>
    </row>
    <row r="1697" spans="669:669" hidden="1">
      <c r="YS1697" s="38" t="e">
        <f>RIGHT(CONCATENATE(0,#REF!),7)</f>
        <v>#REF!</v>
      </c>
    </row>
    <row r="1698" spans="669:669" hidden="1">
      <c r="YS1698" s="38" t="e">
        <f>RIGHT(CONCATENATE(0,#REF!),7)</f>
        <v>#REF!</v>
      </c>
    </row>
    <row r="1699" spans="669:669" hidden="1">
      <c r="YS1699" s="38" t="e">
        <f>RIGHT(CONCATENATE(0,#REF!),7)</f>
        <v>#REF!</v>
      </c>
    </row>
    <row r="1700" spans="669:669" hidden="1">
      <c r="YS1700" s="38" t="e">
        <f>RIGHT(CONCATENATE(0,#REF!),7)</f>
        <v>#REF!</v>
      </c>
    </row>
    <row r="1701" spans="669:669" hidden="1">
      <c r="YS1701" s="38" t="e">
        <f>RIGHT(CONCATENATE(0,#REF!),7)</f>
        <v>#REF!</v>
      </c>
    </row>
    <row r="1702" spans="669:669" hidden="1">
      <c r="YS1702" s="38" t="e">
        <f>RIGHT(CONCATENATE(0,#REF!),7)</f>
        <v>#REF!</v>
      </c>
    </row>
    <row r="1703" spans="669:669" hidden="1">
      <c r="YS1703" s="38" t="e">
        <f>RIGHT(CONCATENATE(0,#REF!),7)</f>
        <v>#REF!</v>
      </c>
    </row>
    <row r="1704" spans="669:669" hidden="1">
      <c r="YS1704" s="38" t="e">
        <f>RIGHT(CONCATENATE(0,#REF!),7)</f>
        <v>#REF!</v>
      </c>
    </row>
    <row r="1705" spans="669:669" hidden="1">
      <c r="YS1705" s="38" t="e">
        <f>RIGHT(CONCATENATE(0,#REF!),7)</f>
        <v>#REF!</v>
      </c>
    </row>
    <row r="1706" spans="669:669" hidden="1">
      <c r="YS1706" s="38" t="e">
        <f>RIGHT(CONCATENATE(0,#REF!),7)</f>
        <v>#REF!</v>
      </c>
    </row>
    <row r="1707" spans="669:669" hidden="1">
      <c r="YS1707" s="38" t="e">
        <f>RIGHT(CONCATENATE(0,#REF!),7)</f>
        <v>#REF!</v>
      </c>
    </row>
    <row r="1708" spans="669:669" hidden="1">
      <c r="YS1708" s="38" t="e">
        <f>RIGHT(CONCATENATE(0,#REF!),7)</f>
        <v>#REF!</v>
      </c>
    </row>
    <row r="1709" spans="669:669" hidden="1">
      <c r="YS1709" s="38" t="e">
        <f>RIGHT(CONCATENATE(0,#REF!),7)</f>
        <v>#REF!</v>
      </c>
    </row>
    <row r="1710" spans="669:669" hidden="1">
      <c r="YS1710" s="38" t="e">
        <f>RIGHT(CONCATENATE(0,#REF!),7)</f>
        <v>#REF!</v>
      </c>
    </row>
    <row r="1711" spans="669:669" hidden="1">
      <c r="YS1711" s="38" t="e">
        <f>RIGHT(CONCATENATE(0,#REF!),7)</f>
        <v>#REF!</v>
      </c>
    </row>
    <row r="1712" spans="669:669" hidden="1">
      <c r="YS1712" s="38" t="e">
        <f>RIGHT(CONCATENATE(0,#REF!),7)</f>
        <v>#REF!</v>
      </c>
    </row>
    <row r="1713" spans="669:669" hidden="1">
      <c r="YS1713" s="38" t="e">
        <f>RIGHT(CONCATENATE(0,#REF!),7)</f>
        <v>#REF!</v>
      </c>
    </row>
    <row r="1714" spans="669:669" hidden="1">
      <c r="YS1714" s="38" t="e">
        <f>RIGHT(CONCATENATE(0,#REF!),7)</f>
        <v>#REF!</v>
      </c>
    </row>
    <row r="1715" spans="669:669" hidden="1">
      <c r="YS1715" s="38" t="e">
        <f>RIGHT(CONCATENATE(0,#REF!),7)</f>
        <v>#REF!</v>
      </c>
    </row>
    <row r="1716" spans="669:669" hidden="1">
      <c r="YS1716" s="38" t="e">
        <f>RIGHT(CONCATENATE(0,#REF!),7)</f>
        <v>#REF!</v>
      </c>
    </row>
    <row r="1717" spans="669:669" hidden="1">
      <c r="YS1717" s="38" t="e">
        <f>RIGHT(CONCATENATE(0,#REF!),7)</f>
        <v>#REF!</v>
      </c>
    </row>
    <row r="1718" spans="669:669" hidden="1">
      <c r="YS1718" s="38" t="e">
        <f>RIGHT(CONCATENATE(0,#REF!),7)</f>
        <v>#REF!</v>
      </c>
    </row>
    <row r="1719" spans="669:669" hidden="1">
      <c r="YS1719" s="38" t="e">
        <f>RIGHT(CONCATENATE(0,#REF!),7)</f>
        <v>#REF!</v>
      </c>
    </row>
    <row r="1720" spans="669:669" hidden="1">
      <c r="YS1720" s="38" t="e">
        <f>RIGHT(CONCATENATE(0,#REF!),7)</f>
        <v>#REF!</v>
      </c>
    </row>
    <row r="1721" spans="669:669" hidden="1">
      <c r="YS1721" s="38" t="e">
        <f>RIGHT(CONCATENATE(0,#REF!),7)</f>
        <v>#REF!</v>
      </c>
    </row>
    <row r="1722" spans="669:669" hidden="1">
      <c r="YS1722" s="38" t="e">
        <f>RIGHT(CONCATENATE(0,#REF!),7)</f>
        <v>#REF!</v>
      </c>
    </row>
    <row r="1723" spans="669:669" hidden="1">
      <c r="YS1723" s="38" t="e">
        <f>RIGHT(CONCATENATE(0,#REF!),7)</f>
        <v>#REF!</v>
      </c>
    </row>
    <row r="1724" spans="669:669" hidden="1">
      <c r="YS1724" s="38" t="e">
        <f>RIGHT(CONCATENATE(0,#REF!),7)</f>
        <v>#REF!</v>
      </c>
    </row>
    <row r="1725" spans="669:669" hidden="1">
      <c r="YS1725" s="38" t="e">
        <f>RIGHT(CONCATENATE(0,#REF!),7)</f>
        <v>#REF!</v>
      </c>
    </row>
    <row r="1726" spans="669:669" hidden="1">
      <c r="YS1726" s="38" t="e">
        <f>RIGHT(CONCATENATE(0,#REF!),7)</f>
        <v>#REF!</v>
      </c>
    </row>
    <row r="1727" spans="669:669" hidden="1">
      <c r="YS1727" s="38" t="e">
        <f>RIGHT(CONCATENATE(0,#REF!),7)</f>
        <v>#REF!</v>
      </c>
    </row>
    <row r="1728" spans="669:669" hidden="1">
      <c r="YS1728" s="38" t="e">
        <f>RIGHT(CONCATENATE(0,#REF!),7)</f>
        <v>#REF!</v>
      </c>
    </row>
    <row r="1729" spans="669:669" hidden="1">
      <c r="YS1729" s="38" t="e">
        <f>RIGHT(CONCATENATE(0,#REF!),7)</f>
        <v>#REF!</v>
      </c>
    </row>
    <row r="1730" spans="669:669" hidden="1">
      <c r="YS1730" s="38" t="e">
        <f>RIGHT(CONCATENATE(0,#REF!),7)</f>
        <v>#REF!</v>
      </c>
    </row>
    <row r="1731" spans="669:669" hidden="1">
      <c r="YS1731" s="38" t="e">
        <f>RIGHT(CONCATENATE(0,#REF!),7)</f>
        <v>#REF!</v>
      </c>
    </row>
    <row r="1732" spans="669:669" hidden="1">
      <c r="YS1732" s="38" t="e">
        <f>RIGHT(CONCATENATE(0,#REF!),7)</f>
        <v>#REF!</v>
      </c>
    </row>
    <row r="1733" spans="669:669" hidden="1">
      <c r="YS1733" s="38" t="e">
        <f>RIGHT(CONCATENATE(0,#REF!),7)</f>
        <v>#REF!</v>
      </c>
    </row>
    <row r="1734" spans="669:669" hidden="1">
      <c r="YS1734" s="38" t="e">
        <f>RIGHT(CONCATENATE(0,#REF!),7)</f>
        <v>#REF!</v>
      </c>
    </row>
    <row r="1735" spans="669:669" hidden="1">
      <c r="YS1735" s="38" t="e">
        <f>RIGHT(CONCATENATE(0,#REF!),7)</f>
        <v>#REF!</v>
      </c>
    </row>
    <row r="1736" spans="669:669" hidden="1">
      <c r="YS1736" s="38" t="e">
        <f>RIGHT(CONCATENATE(0,#REF!),7)</f>
        <v>#REF!</v>
      </c>
    </row>
    <row r="1737" spans="669:669" hidden="1">
      <c r="YS1737" s="38" t="e">
        <f>RIGHT(CONCATENATE(0,#REF!),7)</f>
        <v>#REF!</v>
      </c>
    </row>
    <row r="1738" spans="669:669" hidden="1">
      <c r="YS1738" s="38" t="e">
        <f>RIGHT(CONCATENATE(0,#REF!),7)</f>
        <v>#REF!</v>
      </c>
    </row>
    <row r="1739" spans="669:669" hidden="1">
      <c r="YS1739" s="38" t="e">
        <f>RIGHT(CONCATENATE(0,#REF!),7)</f>
        <v>#REF!</v>
      </c>
    </row>
    <row r="1740" spans="669:669" hidden="1">
      <c r="YS1740" s="38" t="e">
        <f>RIGHT(CONCATENATE(0,#REF!),7)</f>
        <v>#REF!</v>
      </c>
    </row>
    <row r="1741" spans="669:669" hidden="1">
      <c r="YS1741" s="38" t="e">
        <f>RIGHT(CONCATENATE(0,#REF!),7)</f>
        <v>#REF!</v>
      </c>
    </row>
    <row r="1742" spans="669:669" hidden="1">
      <c r="YS1742" s="38" t="e">
        <f>RIGHT(CONCATENATE(0,#REF!),7)</f>
        <v>#REF!</v>
      </c>
    </row>
    <row r="1743" spans="669:669" hidden="1">
      <c r="YS1743" s="38" t="e">
        <f>RIGHT(CONCATENATE(0,#REF!),7)</f>
        <v>#REF!</v>
      </c>
    </row>
    <row r="1744" spans="669:669" hidden="1">
      <c r="YS1744" s="38" t="e">
        <f>RIGHT(CONCATENATE(0,#REF!),7)</f>
        <v>#REF!</v>
      </c>
    </row>
    <row r="1745" spans="669:669" hidden="1">
      <c r="YS1745" s="38" t="e">
        <f>RIGHT(CONCATENATE(0,#REF!),7)</f>
        <v>#REF!</v>
      </c>
    </row>
    <row r="1746" spans="669:669" hidden="1">
      <c r="YS1746" s="38" t="e">
        <f>RIGHT(CONCATENATE(0,#REF!),7)</f>
        <v>#REF!</v>
      </c>
    </row>
    <row r="1747" spans="669:669" hidden="1">
      <c r="YS1747" s="38" t="e">
        <f>RIGHT(CONCATENATE(0,#REF!),7)</f>
        <v>#REF!</v>
      </c>
    </row>
    <row r="1748" spans="669:669" hidden="1">
      <c r="YS1748" s="38" t="e">
        <f>RIGHT(CONCATENATE(0,#REF!),7)</f>
        <v>#REF!</v>
      </c>
    </row>
    <row r="1749" spans="669:669" hidden="1">
      <c r="YS1749" s="38" t="e">
        <f>RIGHT(CONCATENATE(0,#REF!),7)</f>
        <v>#REF!</v>
      </c>
    </row>
    <row r="1750" spans="669:669" hidden="1">
      <c r="YS1750" s="38" t="e">
        <f>RIGHT(CONCATENATE(0,#REF!),7)</f>
        <v>#REF!</v>
      </c>
    </row>
    <row r="1751" spans="669:669" hidden="1">
      <c r="YS1751" s="38" t="e">
        <f>RIGHT(CONCATENATE(0,#REF!),7)</f>
        <v>#REF!</v>
      </c>
    </row>
    <row r="1752" spans="669:669" hidden="1">
      <c r="YS1752" s="38" t="e">
        <f>RIGHT(CONCATENATE(0,#REF!),7)</f>
        <v>#REF!</v>
      </c>
    </row>
    <row r="1753" spans="669:669" hidden="1">
      <c r="YS1753" s="38" t="e">
        <f>RIGHT(CONCATENATE(0,#REF!),7)</f>
        <v>#REF!</v>
      </c>
    </row>
    <row r="1754" spans="669:669" hidden="1">
      <c r="YS1754" s="38" t="e">
        <f>RIGHT(CONCATENATE(0,#REF!),7)</f>
        <v>#REF!</v>
      </c>
    </row>
    <row r="1755" spans="669:669" hidden="1">
      <c r="YS1755" s="38" t="e">
        <f>RIGHT(CONCATENATE(0,#REF!),7)</f>
        <v>#REF!</v>
      </c>
    </row>
    <row r="1756" spans="669:669" hidden="1">
      <c r="YS1756" s="38" t="e">
        <f>RIGHT(CONCATENATE(0,#REF!),7)</f>
        <v>#REF!</v>
      </c>
    </row>
    <row r="1757" spans="669:669" hidden="1">
      <c r="YS1757" s="38" t="e">
        <f>RIGHT(CONCATENATE(0,#REF!),7)</f>
        <v>#REF!</v>
      </c>
    </row>
    <row r="1758" spans="669:669" hidden="1">
      <c r="YS1758" s="38" t="e">
        <f>RIGHT(CONCATENATE(0,#REF!),7)</f>
        <v>#REF!</v>
      </c>
    </row>
    <row r="1759" spans="669:669" hidden="1">
      <c r="YS1759" s="38" t="e">
        <f>RIGHT(CONCATENATE(0,#REF!),7)</f>
        <v>#REF!</v>
      </c>
    </row>
    <row r="1760" spans="669:669" hidden="1">
      <c r="YS1760" s="38" t="e">
        <f>RIGHT(CONCATENATE(0,#REF!),7)</f>
        <v>#REF!</v>
      </c>
    </row>
    <row r="1761" spans="669:669" hidden="1">
      <c r="YS1761" s="38" t="e">
        <f>RIGHT(CONCATENATE(0,#REF!),7)</f>
        <v>#REF!</v>
      </c>
    </row>
    <row r="1762" spans="669:669" hidden="1">
      <c r="YS1762" s="38" t="e">
        <f>RIGHT(CONCATENATE(0,#REF!),7)</f>
        <v>#REF!</v>
      </c>
    </row>
    <row r="1763" spans="669:669" hidden="1">
      <c r="YS1763" s="38" t="e">
        <f>RIGHT(CONCATENATE(0,#REF!),7)</f>
        <v>#REF!</v>
      </c>
    </row>
    <row r="1764" spans="669:669" hidden="1">
      <c r="YS1764" s="38" t="e">
        <f>RIGHT(CONCATENATE(0,#REF!),7)</f>
        <v>#REF!</v>
      </c>
    </row>
    <row r="1765" spans="669:669" hidden="1">
      <c r="YS1765" s="38" t="e">
        <f>RIGHT(CONCATENATE(0,#REF!),7)</f>
        <v>#REF!</v>
      </c>
    </row>
    <row r="1766" spans="669:669" hidden="1">
      <c r="YS1766" s="38" t="e">
        <f>RIGHT(CONCATENATE(0,#REF!),7)</f>
        <v>#REF!</v>
      </c>
    </row>
    <row r="1767" spans="669:669" hidden="1">
      <c r="YS1767" s="38" t="e">
        <f>RIGHT(CONCATENATE(0,#REF!),7)</f>
        <v>#REF!</v>
      </c>
    </row>
    <row r="1768" spans="669:669" hidden="1">
      <c r="YS1768" s="38" t="e">
        <f>RIGHT(CONCATENATE(0,#REF!),7)</f>
        <v>#REF!</v>
      </c>
    </row>
    <row r="1769" spans="669:669" hidden="1">
      <c r="YS1769" s="38" t="e">
        <f>RIGHT(CONCATENATE(0,#REF!),7)</f>
        <v>#REF!</v>
      </c>
    </row>
    <row r="1770" spans="669:669" hidden="1">
      <c r="YS1770" s="38" t="e">
        <f>RIGHT(CONCATENATE(0,#REF!),7)</f>
        <v>#REF!</v>
      </c>
    </row>
    <row r="1771" spans="669:669" hidden="1">
      <c r="YS1771" s="38" t="e">
        <f>RIGHT(CONCATENATE(0,#REF!),7)</f>
        <v>#REF!</v>
      </c>
    </row>
    <row r="1772" spans="669:669" hidden="1">
      <c r="YS1772" s="38" t="e">
        <f>RIGHT(CONCATENATE(0,#REF!),7)</f>
        <v>#REF!</v>
      </c>
    </row>
    <row r="1773" spans="669:669" hidden="1">
      <c r="YS1773" s="38" t="e">
        <f>RIGHT(CONCATENATE(0,#REF!),7)</f>
        <v>#REF!</v>
      </c>
    </row>
    <row r="1774" spans="669:669" hidden="1">
      <c r="YS1774" s="38" t="e">
        <f>RIGHT(CONCATENATE(0,#REF!),7)</f>
        <v>#REF!</v>
      </c>
    </row>
    <row r="1775" spans="669:669" hidden="1">
      <c r="YS1775" s="38" t="e">
        <f>RIGHT(CONCATENATE(0,#REF!),7)</f>
        <v>#REF!</v>
      </c>
    </row>
    <row r="1776" spans="669:669" hidden="1">
      <c r="YS1776" s="38" t="e">
        <f>RIGHT(CONCATENATE(0,#REF!),7)</f>
        <v>#REF!</v>
      </c>
    </row>
    <row r="1777" spans="669:669" hidden="1">
      <c r="YS1777" s="38" t="e">
        <f>RIGHT(CONCATENATE(0,#REF!),7)</f>
        <v>#REF!</v>
      </c>
    </row>
    <row r="1778" spans="669:669" hidden="1">
      <c r="YS1778" s="38" t="e">
        <f>RIGHT(CONCATENATE(0,#REF!),7)</f>
        <v>#REF!</v>
      </c>
    </row>
    <row r="1779" spans="669:669" hidden="1">
      <c r="YS1779" s="38" t="e">
        <f>RIGHT(CONCATENATE(0,#REF!),7)</f>
        <v>#REF!</v>
      </c>
    </row>
    <row r="1780" spans="669:669" hidden="1">
      <c r="YS1780" s="38" t="e">
        <f>RIGHT(CONCATENATE(0,#REF!),7)</f>
        <v>#REF!</v>
      </c>
    </row>
    <row r="1781" spans="669:669" hidden="1">
      <c r="YS1781" s="38" t="e">
        <f>RIGHT(CONCATENATE(0,#REF!),7)</f>
        <v>#REF!</v>
      </c>
    </row>
    <row r="1782" spans="669:669" hidden="1">
      <c r="YS1782" s="38" t="e">
        <f>RIGHT(CONCATENATE(0,#REF!),7)</f>
        <v>#REF!</v>
      </c>
    </row>
    <row r="1783" spans="669:669" hidden="1">
      <c r="YS1783" s="38" t="e">
        <f>RIGHT(CONCATENATE(0,#REF!),7)</f>
        <v>#REF!</v>
      </c>
    </row>
    <row r="1784" spans="669:669" hidden="1">
      <c r="YS1784" s="38" t="e">
        <f>RIGHT(CONCATENATE(0,#REF!),7)</f>
        <v>#REF!</v>
      </c>
    </row>
    <row r="1785" spans="669:669" hidden="1">
      <c r="YS1785" s="38" t="e">
        <f>RIGHT(CONCATENATE(0,#REF!),7)</f>
        <v>#REF!</v>
      </c>
    </row>
    <row r="1786" spans="669:669" hidden="1">
      <c r="YS1786" s="38" t="e">
        <f>RIGHT(CONCATENATE(0,#REF!),7)</f>
        <v>#REF!</v>
      </c>
    </row>
    <row r="1787" spans="669:669" hidden="1">
      <c r="YS1787" s="38" t="e">
        <f>RIGHT(CONCATENATE(0,#REF!),7)</f>
        <v>#REF!</v>
      </c>
    </row>
    <row r="1788" spans="669:669" hidden="1">
      <c r="YS1788" s="38" t="e">
        <f>RIGHT(CONCATENATE(0,#REF!),7)</f>
        <v>#REF!</v>
      </c>
    </row>
    <row r="1789" spans="669:669" hidden="1">
      <c r="YS1789" s="38" t="e">
        <f>RIGHT(CONCATENATE(0,#REF!),7)</f>
        <v>#REF!</v>
      </c>
    </row>
    <row r="1790" spans="669:669" hidden="1">
      <c r="YS1790" s="38" t="e">
        <f>RIGHT(CONCATENATE(0,#REF!),7)</f>
        <v>#REF!</v>
      </c>
    </row>
    <row r="1791" spans="669:669" hidden="1">
      <c r="YS1791" s="38" t="e">
        <f>RIGHT(CONCATENATE(0,#REF!),7)</f>
        <v>#REF!</v>
      </c>
    </row>
    <row r="1792" spans="669:669" hidden="1">
      <c r="YS1792" s="38" t="e">
        <f>RIGHT(CONCATENATE(0,#REF!),7)</f>
        <v>#REF!</v>
      </c>
    </row>
    <row r="1793" spans="669:669" hidden="1">
      <c r="YS1793" s="38" t="e">
        <f>RIGHT(CONCATENATE(0,#REF!),7)</f>
        <v>#REF!</v>
      </c>
    </row>
    <row r="1794" spans="669:669" hidden="1">
      <c r="YS1794" s="38" t="e">
        <f>RIGHT(CONCATENATE(0,#REF!),7)</f>
        <v>#REF!</v>
      </c>
    </row>
    <row r="1795" spans="669:669" hidden="1">
      <c r="YS1795" s="38" t="e">
        <f>RIGHT(CONCATENATE(0,#REF!),7)</f>
        <v>#REF!</v>
      </c>
    </row>
    <row r="1796" spans="669:669" hidden="1">
      <c r="YS1796" s="38" t="e">
        <f>RIGHT(CONCATENATE(0,#REF!),7)</f>
        <v>#REF!</v>
      </c>
    </row>
    <row r="1797" spans="669:669" hidden="1">
      <c r="YS1797" s="38" t="e">
        <f>RIGHT(CONCATENATE(0,#REF!),7)</f>
        <v>#REF!</v>
      </c>
    </row>
    <row r="1798" spans="669:669" hidden="1">
      <c r="YS1798" s="38" t="e">
        <f>RIGHT(CONCATENATE(0,#REF!),7)</f>
        <v>#REF!</v>
      </c>
    </row>
    <row r="1799" spans="669:669" hidden="1">
      <c r="YS1799" s="38" t="e">
        <f>RIGHT(CONCATENATE(0,#REF!),7)</f>
        <v>#REF!</v>
      </c>
    </row>
    <row r="1800" spans="669:669" hidden="1">
      <c r="YS1800" s="38" t="e">
        <f>RIGHT(CONCATENATE(0,#REF!),7)</f>
        <v>#REF!</v>
      </c>
    </row>
    <row r="1801" spans="669:669" hidden="1">
      <c r="YS1801" s="38" t="e">
        <f>RIGHT(CONCATENATE(0,#REF!),7)</f>
        <v>#REF!</v>
      </c>
    </row>
    <row r="1802" spans="669:669" hidden="1">
      <c r="YS1802" s="38" t="e">
        <f>RIGHT(CONCATENATE(0,#REF!),7)</f>
        <v>#REF!</v>
      </c>
    </row>
    <row r="1803" spans="669:669" hidden="1">
      <c r="YS1803" s="38" t="e">
        <f>RIGHT(CONCATENATE(0,#REF!),7)</f>
        <v>#REF!</v>
      </c>
    </row>
    <row r="1804" spans="669:669" hidden="1">
      <c r="YS1804" s="38" t="e">
        <f>RIGHT(CONCATENATE(0,#REF!),7)</f>
        <v>#REF!</v>
      </c>
    </row>
    <row r="1805" spans="669:669" hidden="1">
      <c r="YS1805" s="38" t="e">
        <f>RIGHT(CONCATENATE(0,#REF!),7)</f>
        <v>#REF!</v>
      </c>
    </row>
    <row r="1806" spans="669:669" hidden="1">
      <c r="YS1806" s="38" t="e">
        <f>RIGHT(CONCATENATE(0,#REF!),7)</f>
        <v>#REF!</v>
      </c>
    </row>
    <row r="1807" spans="669:669" hidden="1">
      <c r="YS1807" s="38" t="e">
        <f>RIGHT(CONCATENATE(0,#REF!),7)</f>
        <v>#REF!</v>
      </c>
    </row>
    <row r="1808" spans="669:669" hidden="1">
      <c r="YS1808" s="38" t="e">
        <f>RIGHT(CONCATENATE(0,#REF!),7)</f>
        <v>#REF!</v>
      </c>
    </row>
    <row r="1809" spans="669:669" hidden="1">
      <c r="YS1809" s="38" t="e">
        <f>RIGHT(CONCATENATE(0,#REF!),7)</f>
        <v>#REF!</v>
      </c>
    </row>
    <row r="1810" spans="669:669" hidden="1">
      <c r="YS1810" s="38" t="e">
        <f>RIGHT(CONCATENATE(0,#REF!),7)</f>
        <v>#REF!</v>
      </c>
    </row>
    <row r="1811" spans="669:669" hidden="1">
      <c r="YS1811" s="38" t="e">
        <f>RIGHT(CONCATENATE(0,#REF!),7)</f>
        <v>#REF!</v>
      </c>
    </row>
    <row r="1812" spans="669:669" hidden="1">
      <c r="YS1812" s="38" t="e">
        <f>RIGHT(CONCATENATE(0,#REF!),7)</f>
        <v>#REF!</v>
      </c>
    </row>
    <row r="1813" spans="669:669" hidden="1">
      <c r="YS1813" s="38" t="e">
        <f>RIGHT(CONCATENATE(0,#REF!),7)</f>
        <v>#REF!</v>
      </c>
    </row>
    <row r="1814" spans="669:669" hidden="1">
      <c r="YS1814" s="38" t="e">
        <f>RIGHT(CONCATENATE(0,#REF!),7)</f>
        <v>#REF!</v>
      </c>
    </row>
    <row r="1815" spans="669:669" hidden="1">
      <c r="YS1815" s="38" t="e">
        <f>RIGHT(CONCATENATE(0,#REF!),7)</f>
        <v>#REF!</v>
      </c>
    </row>
    <row r="1816" spans="669:669" hidden="1">
      <c r="YS1816" s="38" t="e">
        <f>RIGHT(CONCATENATE(0,#REF!),7)</f>
        <v>#REF!</v>
      </c>
    </row>
    <row r="1817" spans="669:669" hidden="1">
      <c r="YS1817" s="38" t="e">
        <f>RIGHT(CONCATENATE(0,#REF!),7)</f>
        <v>#REF!</v>
      </c>
    </row>
    <row r="1818" spans="669:669" hidden="1">
      <c r="YS1818" s="38" t="e">
        <f>RIGHT(CONCATENATE(0,#REF!),7)</f>
        <v>#REF!</v>
      </c>
    </row>
    <row r="1819" spans="669:669" hidden="1">
      <c r="YS1819" s="38" t="e">
        <f>RIGHT(CONCATENATE(0,#REF!),7)</f>
        <v>#REF!</v>
      </c>
    </row>
    <row r="1820" spans="669:669" hidden="1">
      <c r="YS1820" s="38" t="e">
        <f>RIGHT(CONCATENATE(0,#REF!),7)</f>
        <v>#REF!</v>
      </c>
    </row>
    <row r="1821" spans="669:669" hidden="1">
      <c r="YS1821" s="38" t="e">
        <f>RIGHT(CONCATENATE(0,#REF!),7)</f>
        <v>#REF!</v>
      </c>
    </row>
    <row r="1822" spans="669:669" hidden="1">
      <c r="YS1822" s="38" t="e">
        <f>RIGHT(CONCATENATE(0,#REF!),7)</f>
        <v>#REF!</v>
      </c>
    </row>
    <row r="1823" spans="669:669" hidden="1">
      <c r="YS1823" s="38" t="e">
        <f>RIGHT(CONCATENATE(0,#REF!),7)</f>
        <v>#REF!</v>
      </c>
    </row>
    <row r="1824" spans="669:669" hidden="1">
      <c r="YS1824" s="38" t="e">
        <f>RIGHT(CONCATENATE(0,#REF!),7)</f>
        <v>#REF!</v>
      </c>
    </row>
    <row r="1825" spans="669:669" hidden="1">
      <c r="YS1825" s="38" t="e">
        <f>RIGHT(CONCATENATE(0,#REF!),7)</f>
        <v>#REF!</v>
      </c>
    </row>
    <row r="1826" spans="669:669" hidden="1">
      <c r="YS1826" s="38" t="e">
        <f>RIGHT(CONCATENATE(0,#REF!),7)</f>
        <v>#REF!</v>
      </c>
    </row>
    <row r="1827" spans="669:669" hidden="1">
      <c r="YS1827" s="38" t="e">
        <f>RIGHT(CONCATENATE(0,#REF!),7)</f>
        <v>#REF!</v>
      </c>
    </row>
    <row r="1828" spans="669:669" hidden="1">
      <c r="YS1828" s="38" t="e">
        <f>RIGHT(CONCATENATE(0,#REF!),7)</f>
        <v>#REF!</v>
      </c>
    </row>
    <row r="1829" spans="669:669" hidden="1">
      <c r="YS1829" s="38" t="e">
        <f>RIGHT(CONCATENATE(0,#REF!),7)</f>
        <v>#REF!</v>
      </c>
    </row>
    <row r="1830" spans="669:669" hidden="1">
      <c r="YS1830" s="38" t="e">
        <f>RIGHT(CONCATENATE(0,#REF!),7)</f>
        <v>#REF!</v>
      </c>
    </row>
    <row r="1831" spans="669:669" hidden="1">
      <c r="YS1831" s="38" t="e">
        <f>RIGHT(CONCATENATE(0,#REF!),7)</f>
        <v>#REF!</v>
      </c>
    </row>
    <row r="1832" spans="669:669" hidden="1">
      <c r="YS1832" s="38" t="e">
        <f>RIGHT(CONCATENATE(0,#REF!),7)</f>
        <v>#REF!</v>
      </c>
    </row>
    <row r="1833" spans="669:669" hidden="1">
      <c r="YS1833" s="38" t="e">
        <f>RIGHT(CONCATENATE(0,#REF!),7)</f>
        <v>#REF!</v>
      </c>
    </row>
    <row r="1834" spans="669:669" hidden="1">
      <c r="YS1834" s="38" t="e">
        <f>RIGHT(CONCATENATE(0,#REF!),7)</f>
        <v>#REF!</v>
      </c>
    </row>
    <row r="1835" spans="669:669" hidden="1">
      <c r="YS1835" s="38" t="e">
        <f>RIGHT(CONCATENATE(0,#REF!),7)</f>
        <v>#REF!</v>
      </c>
    </row>
    <row r="1836" spans="669:669" hidden="1">
      <c r="YS1836" s="38" t="e">
        <f>RIGHT(CONCATENATE(0,#REF!),7)</f>
        <v>#REF!</v>
      </c>
    </row>
    <row r="1837" spans="669:669" hidden="1">
      <c r="YS1837" s="38" t="e">
        <f>RIGHT(CONCATENATE(0,#REF!),7)</f>
        <v>#REF!</v>
      </c>
    </row>
    <row r="1838" spans="669:669" hidden="1">
      <c r="YS1838" s="38" t="e">
        <f>RIGHT(CONCATENATE(0,#REF!),7)</f>
        <v>#REF!</v>
      </c>
    </row>
    <row r="1839" spans="669:669" hidden="1">
      <c r="YS1839" s="38" t="e">
        <f>RIGHT(CONCATENATE(0,#REF!),7)</f>
        <v>#REF!</v>
      </c>
    </row>
    <row r="1840" spans="669:669" hidden="1">
      <c r="YS1840" s="38" t="e">
        <f>RIGHT(CONCATENATE(0,#REF!),7)</f>
        <v>#REF!</v>
      </c>
    </row>
    <row r="1841" spans="669:669" hidden="1">
      <c r="YS1841" s="38" t="e">
        <f>RIGHT(CONCATENATE(0,#REF!),7)</f>
        <v>#REF!</v>
      </c>
    </row>
    <row r="1842" spans="669:669" hidden="1">
      <c r="YS1842" s="38" t="e">
        <f>RIGHT(CONCATENATE(0,#REF!),7)</f>
        <v>#REF!</v>
      </c>
    </row>
    <row r="1843" spans="669:669" hidden="1">
      <c r="YS1843" s="38" t="e">
        <f>RIGHT(CONCATENATE(0,#REF!),7)</f>
        <v>#REF!</v>
      </c>
    </row>
    <row r="1844" spans="669:669" hidden="1">
      <c r="YS1844" s="38" t="e">
        <f>RIGHT(CONCATENATE(0,#REF!),7)</f>
        <v>#REF!</v>
      </c>
    </row>
    <row r="1845" spans="669:669" hidden="1">
      <c r="YS1845" s="38" t="e">
        <f>RIGHT(CONCATENATE(0,#REF!),7)</f>
        <v>#REF!</v>
      </c>
    </row>
    <row r="1846" spans="669:669" hidden="1">
      <c r="YS1846" s="38" t="e">
        <f>RIGHT(CONCATENATE(0,#REF!),7)</f>
        <v>#REF!</v>
      </c>
    </row>
    <row r="1847" spans="669:669" hidden="1">
      <c r="YS1847" s="38" t="e">
        <f>RIGHT(CONCATENATE(0,#REF!),7)</f>
        <v>#REF!</v>
      </c>
    </row>
    <row r="1848" spans="669:669" hidden="1">
      <c r="YS1848" s="38" t="e">
        <f>RIGHT(CONCATENATE(0,#REF!),7)</f>
        <v>#REF!</v>
      </c>
    </row>
    <row r="1849" spans="669:669" hidden="1">
      <c r="YS1849" s="38" t="e">
        <f>RIGHT(CONCATENATE(0,#REF!),7)</f>
        <v>#REF!</v>
      </c>
    </row>
    <row r="1850" spans="669:669" hidden="1">
      <c r="YS1850" s="38" t="e">
        <f>RIGHT(CONCATENATE(0,#REF!),7)</f>
        <v>#REF!</v>
      </c>
    </row>
    <row r="1851" spans="669:669" hidden="1">
      <c r="YS1851" s="38" t="e">
        <f>RIGHT(CONCATENATE(0,#REF!),7)</f>
        <v>#REF!</v>
      </c>
    </row>
    <row r="1852" spans="669:669" hidden="1">
      <c r="YS1852" s="38" t="e">
        <f>RIGHT(CONCATENATE(0,#REF!),7)</f>
        <v>#REF!</v>
      </c>
    </row>
    <row r="1853" spans="669:669" hidden="1">
      <c r="YS1853" s="38" t="e">
        <f>RIGHT(CONCATENATE(0,#REF!),7)</f>
        <v>#REF!</v>
      </c>
    </row>
    <row r="1854" spans="669:669" hidden="1">
      <c r="YS1854" s="38" t="e">
        <f>RIGHT(CONCATENATE(0,#REF!),7)</f>
        <v>#REF!</v>
      </c>
    </row>
    <row r="1855" spans="669:669" hidden="1">
      <c r="YS1855" s="38" t="e">
        <f>RIGHT(CONCATENATE(0,#REF!),7)</f>
        <v>#REF!</v>
      </c>
    </row>
    <row r="1856" spans="669:669" hidden="1">
      <c r="YS1856" s="38" t="e">
        <f>RIGHT(CONCATENATE(0,#REF!),7)</f>
        <v>#REF!</v>
      </c>
    </row>
    <row r="1857" spans="669:669" hidden="1">
      <c r="YS1857" s="38" t="e">
        <f>RIGHT(CONCATENATE(0,#REF!),7)</f>
        <v>#REF!</v>
      </c>
    </row>
    <row r="1858" spans="669:669" hidden="1">
      <c r="YS1858" s="38" t="e">
        <f>RIGHT(CONCATENATE(0,#REF!),7)</f>
        <v>#REF!</v>
      </c>
    </row>
    <row r="1859" spans="669:669" hidden="1">
      <c r="YS1859" s="38" t="e">
        <f>RIGHT(CONCATENATE(0,#REF!),7)</f>
        <v>#REF!</v>
      </c>
    </row>
    <row r="1860" spans="669:669" hidden="1">
      <c r="YS1860" s="38" t="e">
        <f>RIGHT(CONCATENATE(0,#REF!),7)</f>
        <v>#REF!</v>
      </c>
    </row>
    <row r="1861" spans="669:669" hidden="1">
      <c r="YS1861" s="38" t="e">
        <f>RIGHT(CONCATENATE(0,#REF!),7)</f>
        <v>#REF!</v>
      </c>
    </row>
    <row r="1862" spans="669:669" hidden="1">
      <c r="YS1862" s="38" t="e">
        <f>RIGHT(CONCATENATE(0,#REF!),7)</f>
        <v>#REF!</v>
      </c>
    </row>
    <row r="1863" spans="669:669" hidden="1">
      <c r="YS1863" s="38" t="e">
        <f>RIGHT(CONCATENATE(0,#REF!),7)</f>
        <v>#REF!</v>
      </c>
    </row>
    <row r="1864" spans="669:669" hidden="1">
      <c r="YS1864" s="38" t="e">
        <f>RIGHT(CONCATENATE(0,#REF!),7)</f>
        <v>#REF!</v>
      </c>
    </row>
    <row r="1865" spans="669:669" hidden="1">
      <c r="YS1865" s="38" t="e">
        <f>RIGHT(CONCATENATE(0,#REF!),7)</f>
        <v>#REF!</v>
      </c>
    </row>
    <row r="1866" spans="669:669" hidden="1">
      <c r="YS1866" s="38" t="e">
        <f>RIGHT(CONCATENATE(0,#REF!),7)</f>
        <v>#REF!</v>
      </c>
    </row>
    <row r="1867" spans="669:669" hidden="1">
      <c r="YS1867" s="38" t="e">
        <f>RIGHT(CONCATENATE(0,#REF!),7)</f>
        <v>#REF!</v>
      </c>
    </row>
    <row r="1868" spans="669:669" hidden="1">
      <c r="YS1868" s="38" t="e">
        <f>RIGHT(CONCATENATE(0,#REF!),7)</f>
        <v>#REF!</v>
      </c>
    </row>
    <row r="1869" spans="669:669" hidden="1">
      <c r="YS1869" s="38" t="e">
        <f>RIGHT(CONCATENATE(0,#REF!),7)</f>
        <v>#REF!</v>
      </c>
    </row>
    <row r="1870" spans="669:669" hidden="1">
      <c r="YS1870" s="38" t="e">
        <f>RIGHT(CONCATENATE(0,#REF!),7)</f>
        <v>#REF!</v>
      </c>
    </row>
    <row r="1871" spans="669:669" hidden="1">
      <c r="YS1871" s="38" t="e">
        <f>RIGHT(CONCATENATE(0,#REF!),7)</f>
        <v>#REF!</v>
      </c>
    </row>
    <row r="1872" spans="669:669" hidden="1">
      <c r="YS1872" s="38" t="e">
        <f>RIGHT(CONCATENATE(0,#REF!),7)</f>
        <v>#REF!</v>
      </c>
    </row>
    <row r="1873" spans="669:669" hidden="1">
      <c r="YS1873" s="38" t="e">
        <f>RIGHT(CONCATENATE(0,#REF!),7)</f>
        <v>#REF!</v>
      </c>
    </row>
    <row r="1874" spans="669:669" hidden="1">
      <c r="YS1874" s="38" t="e">
        <f>RIGHT(CONCATENATE(0,#REF!),7)</f>
        <v>#REF!</v>
      </c>
    </row>
    <row r="1875" spans="669:669" hidden="1">
      <c r="YS1875" s="38" t="e">
        <f>RIGHT(CONCATENATE(0,#REF!),7)</f>
        <v>#REF!</v>
      </c>
    </row>
    <row r="1876" spans="669:669" hidden="1">
      <c r="YS1876" s="38" t="e">
        <f>RIGHT(CONCATENATE(0,#REF!),7)</f>
        <v>#REF!</v>
      </c>
    </row>
    <row r="1877" spans="669:669" hidden="1">
      <c r="YS1877" s="38" t="e">
        <f>RIGHT(CONCATENATE(0,#REF!),7)</f>
        <v>#REF!</v>
      </c>
    </row>
    <row r="1878" spans="669:669" hidden="1">
      <c r="YS1878" s="38" t="e">
        <f>RIGHT(CONCATENATE(0,#REF!),7)</f>
        <v>#REF!</v>
      </c>
    </row>
    <row r="1879" spans="669:669" hidden="1">
      <c r="YS1879" s="38" t="e">
        <f>RIGHT(CONCATENATE(0,#REF!),7)</f>
        <v>#REF!</v>
      </c>
    </row>
    <row r="1880" spans="669:669" hidden="1">
      <c r="YS1880" s="38" t="e">
        <f>RIGHT(CONCATENATE(0,#REF!),7)</f>
        <v>#REF!</v>
      </c>
    </row>
    <row r="1881" spans="669:669" hidden="1">
      <c r="YS1881" s="38" t="e">
        <f>RIGHT(CONCATENATE(0,#REF!),7)</f>
        <v>#REF!</v>
      </c>
    </row>
    <row r="1882" spans="669:669" hidden="1">
      <c r="YS1882" s="38" t="e">
        <f>RIGHT(CONCATENATE(0,#REF!),7)</f>
        <v>#REF!</v>
      </c>
    </row>
    <row r="1883" spans="669:669" hidden="1">
      <c r="YS1883" s="38" t="e">
        <f>RIGHT(CONCATENATE(0,#REF!),7)</f>
        <v>#REF!</v>
      </c>
    </row>
    <row r="1884" spans="669:669" hidden="1">
      <c r="YS1884" s="38" t="e">
        <f>RIGHT(CONCATENATE(0,#REF!),7)</f>
        <v>#REF!</v>
      </c>
    </row>
    <row r="1885" spans="669:669" hidden="1">
      <c r="YS1885" s="38" t="e">
        <f>RIGHT(CONCATENATE(0,#REF!),7)</f>
        <v>#REF!</v>
      </c>
    </row>
    <row r="1886" spans="669:669" hidden="1">
      <c r="YS1886" s="38" t="e">
        <f>RIGHT(CONCATENATE(0,#REF!),7)</f>
        <v>#REF!</v>
      </c>
    </row>
    <row r="1887" spans="669:669" hidden="1">
      <c r="YS1887" s="38" t="e">
        <f>RIGHT(CONCATENATE(0,#REF!),7)</f>
        <v>#REF!</v>
      </c>
    </row>
    <row r="1888" spans="669:669" hidden="1">
      <c r="YS1888" s="38" t="e">
        <f>RIGHT(CONCATENATE(0,#REF!),7)</f>
        <v>#REF!</v>
      </c>
    </row>
    <row r="1889" spans="669:669" hidden="1">
      <c r="YS1889" s="38" t="e">
        <f>RIGHT(CONCATENATE(0,#REF!),7)</f>
        <v>#REF!</v>
      </c>
    </row>
    <row r="1890" spans="669:669" hidden="1">
      <c r="YS1890" s="38" t="e">
        <f>RIGHT(CONCATENATE(0,#REF!),7)</f>
        <v>#REF!</v>
      </c>
    </row>
    <row r="1891" spans="669:669" hidden="1">
      <c r="YS1891" s="38" t="e">
        <f>RIGHT(CONCATENATE(0,#REF!),7)</f>
        <v>#REF!</v>
      </c>
    </row>
    <row r="1892" spans="669:669" hidden="1">
      <c r="YS1892" s="38" t="e">
        <f>RIGHT(CONCATENATE(0,#REF!),7)</f>
        <v>#REF!</v>
      </c>
    </row>
    <row r="1893" spans="669:669" hidden="1">
      <c r="YS1893" s="38" t="e">
        <f>RIGHT(CONCATENATE(0,#REF!),7)</f>
        <v>#REF!</v>
      </c>
    </row>
    <row r="1894" spans="669:669" hidden="1">
      <c r="YS1894" s="38" t="e">
        <f>RIGHT(CONCATENATE(0,#REF!),7)</f>
        <v>#REF!</v>
      </c>
    </row>
    <row r="1895" spans="669:669" hidden="1">
      <c r="YS1895" s="38" t="e">
        <f>RIGHT(CONCATENATE(0,#REF!),7)</f>
        <v>#REF!</v>
      </c>
    </row>
    <row r="1896" spans="669:669" hidden="1">
      <c r="YS1896" s="38" t="e">
        <f>RIGHT(CONCATENATE(0,#REF!),7)</f>
        <v>#REF!</v>
      </c>
    </row>
    <row r="1897" spans="669:669" hidden="1">
      <c r="YS1897" s="38" t="e">
        <f>RIGHT(CONCATENATE(0,#REF!),7)</f>
        <v>#REF!</v>
      </c>
    </row>
    <row r="1898" spans="669:669" hidden="1">
      <c r="YS1898" s="38" t="e">
        <f>RIGHT(CONCATENATE(0,#REF!),7)</f>
        <v>#REF!</v>
      </c>
    </row>
    <row r="1899" spans="669:669" hidden="1">
      <c r="YS1899" s="38" t="e">
        <f>RIGHT(CONCATENATE(0,#REF!),7)</f>
        <v>#REF!</v>
      </c>
    </row>
    <row r="1900" spans="669:669" hidden="1">
      <c r="YS1900" s="38" t="e">
        <f>RIGHT(CONCATENATE(0,#REF!),7)</f>
        <v>#REF!</v>
      </c>
    </row>
    <row r="1901" spans="669:669" hidden="1">
      <c r="YS1901" s="38" t="e">
        <f>RIGHT(CONCATENATE(0,#REF!),7)</f>
        <v>#REF!</v>
      </c>
    </row>
    <row r="1902" spans="669:669" hidden="1">
      <c r="YS1902" s="38" t="e">
        <f>RIGHT(CONCATENATE(0,#REF!),7)</f>
        <v>#REF!</v>
      </c>
    </row>
    <row r="1903" spans="669:669" hidden="1">
      <c r="YS1903" s="38" t="e">
        <f>RIGHT(CONCATENATE(0,#REF!),7)</f>
        <v>#REF!</v>
      </c>
    </row>
    <row r="1904" spans="669:669" hidden="1">
      <c r="YS1904" s="38" t="e">
        <f>RIGHT(CONCATENATE(0,#REF!),7)</f>
        <v>#REF!</v>
      </c>
    </row>
    <row r="1905" spans="669:669" hidden="1">
      <c r="YS1905" s="38" t="e">
        <f>RIGHT(CONCATENATE(0,#REF!),7)</f>
        <v>#REF!</v>
      </c>
    </row>
    <row r="1906" spans="669:669" hidden="1">
      <c r="YS1906" s="38" t="e">
        <f>RIGHT(CONCATENATE(0,#REF!),7)</f>
        <v>#REF!</v>
      </c>
    </row>
    <row r="1907" spans="669:669" hidden="1">
      <c r="YS1907" s="38" t="e">
        <f>RIGHT(CONCATENATE(0,#REF!),7)</f>
        <v>#REF!</v>
      </c>
    </row>
    <row r="1908" spans="669:669" hidden="1">
      <c r="YS1908" s="38" t="e">
        <f>RIGHT(CONCATENATE(0,#REF!),7)</f>
        <v>#REF!</v>
      </c>
    </row>
    <row r="1909" spans="669:669" hidden="1">
      <c r="YS1909" s="38" t="e">
        <f>RIGHT(CONCATENATE(0,#REF!),7)</f>
        <v>#REF!</v>
      </c>
    </row>
    <row r="1910" spans="669:669" hidden="1">
      <c r="YS1910" s="38" t="e">
        <f>RIGHT(CONCATENATE(0,#REF!),7)</f>
        <v>#REF!</v>
      </c>
    </row>
    <row r="1911" spans="669:669" hidden="1">
      <c r="YS1911" s="38" t="e">
        <f>RIGHT(CONCATENATE(0,#REF!),7)</f>
        <v>#REF!</v>
      </c>
    </row>
    <row r="1912" spans="669:669" hidden="1">
      <c r="YS1912" s="38" t="e">
        <f>RIGHT(CONCATENATE(0,#REF!),7)</f>
        <v>#REF!</v>
      </c>
    </row>
    <row r="1913" spans="669:669" hidden="1">
      <c r="YS1913" s="38" t="e">
        <f>RIGHT(CONCATENATE(0,#REF!),7)</f>
        <v>#REF!</v>
      </c>
    </row>
    <row r="1914" spans="669:669" hidden="1">
      <c r="YS1914" s="38" t="e">
        <f>RIGHT(CONCATENATE(0,#REF!),7)</f>
        <v>#REF!</v>
      </c>
    </row>
    <row r="1915" spans="669:669" hidden="1">
      <c r="YS1915" s="38" t="e">
        <f>RIGHT(CONCATENATE(0,#REF!),7)</f>
        <v>#REF!</v>
      </c>
    </row>
    <row r="1916" spans="669:669" hidden="1">
      <c r="YS1916" s="38" t="e">
        <f>RIGHT(CONCATENATE(0,#REF!),7)</f>
        <v>#REF!</v>
      </c>
    </row>
    <row r="1917" spans="669:669" hidden="1">
      <c r="YS1917" s="38" t="e">
        <f>RIGHT(CONCATENATE(0,#REF!),7)</f>
        <v>#REF!</v>
      </c>
    </row>
    <row r="1918" spans="669:669" hidden="1">
      <c r="YS1918" s="38" t="e">
        <f>RIGHT(CONCATENATE(0,#REF!),7)</f>
        <v>#REF!</v>
      </c>
    </row>
    <row r="1919" spans="669:669" hidden="1">
      <c r="YS1919" s="38" t="e">
        <f>RIGHT(CONCATENATE(0,#REF!),7)</f>
        <v>#REF!</v>
      </c>
    </row>
    <row r="1920" spans="669:669" hidden="1">
      <c r="YS1920" s="38" t="e">
        <f>RIGHT(CONCATENATE(0,#REF!),7)</f>
        <v>#REF!</v>
      </c>
    </row>
    <row r="1921" spans="669:669" hidden="1">
      <c r="YS1921" s="38" t="e">
        <f>RIGHT(CONCATENATE(0,#REF!),7)</f>
        <v>#REF!</v>
      </c>
    </row>
    <row r="1922" spans="669:669" hidden="1">
      <c r="YS1922" s="38" t="e">
        <f>RIGHT(CONCATENATE(0,#REF!),7)</f>
        <v>#REF!</v>
      </c>
    </row>
    <row r="1923" spans="669:669" hidden="1">
      <c r="YS1923" s="38" t="e">
        <f>RIGHT(CONCATENATE(0,#REF!),7)</f>
        <v>#REF!</v>
      </c>
    </row>
    <row r="1924" spans="669:669" hidden="1">
      <c r="YS1924" s="38" t="e">
        <f>RIGHT(CONCATENATE(0,#REF!),7)</f>
        <v>#REF!</v>
      </c>
    </row>
    <row r="1925" spans="669:669" hidden="1">
      <c r="YS1925" s="38" t="e">
        <f>RIGHT(CONCATENATE(0,#REF!),7)</f>
        <v>#REF!</v>
      </c>
    </row>
    <row r="1926" spans="669:669" hidden="1">
      <c r="YS1926" s="38" t="e">
        <f>RIGHT(CONCATENATE(0,#REF!),7)</f>
        <v>#REF!</v>
      </c>
    </row>
    <row r="1927" spans="669:669" hidden="1">
      <c r="YS1927" s="38" t="e">
        <f>RIGHT(CONCATENATE(0,#REF!),7)</f>
        <v>#REF!</v>
      </c>
    </row>
    <row r="1928" spans="669:669" hidden="1">
      <c r="YS1928" s="38" t="e">
        <f>RIGHT(CONCATENATE(0,#REF!),7)</f>
        <v>#REF!</v>
      </c>
    </row>
    <row r="1929" spans="669:669" hidden="1">
      <c r="YS1929" s="38" t="e">
        <f>RIGHT(CONCATENATE(0,#REF!),7)</f>
        <v>#REF!</v>
      </c>
    </row>
    <row r="1930" spans="669:669" hidden="1">
      <c r="YS1930" s="38" t="e">
        <f>RIGHT(CONCATENATE(0,#REF!),7)</f>
        <v>#REF!</v>
      </c>
    </row>
    <row r="1931" spans="669:669" hidden="1">
      <c r="YS1931" s="38" t="e">
        <f>RIGHT(CONCATENATE(0,#REF!),7)</f>
        <v>#REF!</v>
      </c>
    </row>
    <row r="1932" spans="669:669" hidden="1">
      <c r="YS1932" s="38" t="e">
        <f>RIGHT(CONCATENATE(0,#REF!),7)</f>
        <v>#REF!</v>
      </c>
    </row>
    <row r="1933" spans="669:669" hidden="1">
      <c r="YS1933" s="38" t="e">
        <f>RIGHT(CONCATENATE(0,#REF!),7)</f>
        <v>#REF!</v>
      </c>
    </row>
    <row r="1934" spans="669:669" hidden="1">
      <c r="YS1934" s="38" t="e">
        <f>RIGHT(CONCATENATE(0,#REF!),7)</f>
        <v>#REF!</v>
      </c>
    </row>
    <row r="1935" spans="669:669" hidden="1">
      <c r="YS1935" s="38" t="e">
        <f>RIGHT(CONCATENATE(0,#REF!),7)</f>
        <v>#REF!</v>
      </c>
    </row>
    <row r="1936" spans="669:669" hidden="1">
      <c r="YS1936" s="38" t="e">
        <f>RIGHT(CONCATENATE(0,#REF!),7)</f>
        <v>#REF!</v>
      </c>
    </row>
    <row r="1937" spans="669:669" hidden="1">
      <c r="YS1937" s="38" t="e">
        <f>RIGHT(CONCATENATE(0,#REF!),7)</f>
        <v>#REF!</v>
      </c>
    </row>
    <row r="1938" spans="669:669" hidden="1">
      <c r="YS1938" s="38" t="e">
        <f>RIGHT(CONCATENATE(0,#REF!),7)</f>
        <v>#REF!</v>
      </c>
    </row>
    <row r="1939" spans="669:669" hidden="1">
      <c r="YS1939" s="38" t="e">
        <f>RIGHT(CONCATENATE(0,#REF!),7)</f>
        <v>#REF!</v>
      </c>
    </row>
    <row r="1940" spans="669:669" hidden="1">
      <c r="YS1940" s="38" t="e">
        <f>RIGHT(CONCATENATE(0,#REF!),7)</f>
        <v>#REF!</v>
      </c>
    </row>
    <row r="1941" spans="669:669" hidden="1">
      <c r="YS1941" s="38" t="e">
        <f>RIGHT(CONCATENATE(0,#REF!),7)</f>
        <v>#REF!</v>
      </c>
    </row>
    <row r="1942" spans="669:669" hidden="1">
      <c r="YS1942" s="38" t="e">
        <f>RIGHT(CONCATENATE(0,#REF!),7)</f>
        <v>#REF!</v>
      </c>
    </row>
    <row r="1943" spans="669:669" hidden="1">
      <c r="YS1943" s="38" t="e">
        <f>RIGHT(CONCATENATE(0,#REF!),7)</f>
        <v>#REF!</v>
      </c>
    </row>
    <row r="1944" spans="669:669" hidden="1">
      <c r="YS1944" s="38" t="e">
        <f>RIGHT(CONCATENATE(0,#REF!),7)</f>
        <v>#REF!</v>
      </c>
    </row>
    <row r="1945" spans="669:669" hidden="1">
      <c r="YS1945" s="38" t="e">
        <f>RIGHT(CONCATENATE(0,#REF!),7)</f>
        <v>#REF!</v>
      </c>
    </row>
    <row r="1946" spans="669:669" hidden="1">
      <c r="YS1946" s="38" t="e">
        <f>RIGHT(CONCATENATE(0,#REF!),7)</f>
        <v>#REF!</v>
      </c>
    </row>
    <row r="1947" spans="669:669" hidden="1">
      <c r="YS1947" s="38" t="e">
        <f>RIGHT(CONCATENATE(0,#REF!),7)</f>
        <v>#REF!</v>
      </c>
    </row>
    <row r="1948" spans="669:669" hidden="1">
      <c r="YS1948" s="38" t="e">
        <f>RIGHT(CONCATENATE(0,#REF!),7)</f>
        <v>#REF!</v>
      </c>
    </row>
    <row r="1949" spans="669:669" hidden="1">
      <c r="YS1949" s="38" t="e">
        <f>RIGHT(CONCATENATE(0,#REF!),7)</f>
        <v>#REF!</v>
      </c>
    </row>
    <row r="1950" spans="669:669" hidden="1">
      <c r="YS1950" s="38" t="e">
        <f>RIGHT(CONCATENATE(0,#REF!),7)</f>
        <v>#REF!</v>
      </c>
    </row>
    <row r="1951" spans="669:669" hidden="1">
      <c r="YS1951" s="38" t="e">
        <f>RIGHT(CONCATENATE(0,#REF!),7)</f>
        <v>#REF!</v>
      </c>
    </row>
    <row r="1952" spans="669:669" hidden="1">
      <c r="YS1952" s="38" t="e">
        <f>RIGHT(CONCATENATE(0,#REF!),7)</f>
        <v>#REF!</v>
      </c>
    </row>
    <row r="1953" spans="669:669" hidden="1">
      <c r="YS1953" s="38" t="e">
        <f>RIGHT(CONCATENATE(0,#REF!),7)</f>
        <v>#REF!</v>
      </c>
    </row>
    <row r="1954" spans="669:669" hidden="1">
      <c r="YS1954" s="38" t="e">
        <f>RIGHT(CONCATENATE(0,#REF!),7)</f>
        <v>#REF!</v>
      </c>
    </row>
    <row r="1955" spans="669:669" hidden="1">
      <c r="YS1955" s="38" t="e">
        <f>RIGHT(CONCATENATE(0,#REF!),7)</f>
        <v>#REF!</v>
      </c>
    </row>
    <row r="1956" spans="669:669" hidden="1">
      <c r="YS1956" s="38" t="e">
        <f>RIGHT(CONCATENATE(0,#REF!),7)</f>
        <v>#REF!</v>
      </c>
    </row>
    <row r="1957" spans="669:669" hidden="1">
      <c r="YS1957" s="38" t="e">
        <f>RIGHT(CONCATENATE(0,#REF!),7)</f>
        <v>#REF!</v>
      </c>
    </row>
    <row r="1958" spans="669:669" hidden="1">
      <c r="YS1958" s="38" t="e">
        <f>RIGHT(CONCATENATE(0,#REF!),7)</f>
        <v>#REF!</v>
      </c>
    </row>
    <row r="1959" spans="669:669" hidden="1">
      <c r="YS1959" s="38" t="e">
        <f>RIGHT(CONCATENATE(0,#REF!),7)</f>
        <v>#REF!</v>
      </c>
    </row>
    <row r="1960" spans="669:669" hidden="1">
      <c r="YS1960" s="38" t="e">
        <f>RIGHT(CONCATENATE(0,#REF!),7)</f>
        <v>#REF!</v>
      </c>
    </row>
    <row r="1961" spans="669:669" hidden="1">
      <c r="YS1961" s="38" t="e">
        <f>RIGHT(CONCATENATE(0,#REF!),7)</f>
        <v>#REF!</v>
      </c>
    </row>
    <row r="1962" spans="669:669" hidden="1">
      <c r="YS1962" s="38" t="e">
        <f>RIGHT(CONCATENATE(0,#REF!),7)</f>
        <v>#REF!</v>
      </c>
    </row>
    <row r="1963" spans="669:669" hidden="1">
      <c r="YS1963" s="38" t="e">
        <f>RIGHT(CONCATENATE(0,#REF!),7)</f>
        <v>#REF!</v>
      </c>
    </row>
    <row r="1964" spans="669:669" hidden="1">
      <c r="YS1964" s="38" t="e">
        <f>RIGHT(CONCATENATE(0,#REF!),7)</f>
        <v>#REF!</v>
      </c>
    </row>
    <row r="1965" spans="669:669" hidden="1">
      <c r="YS1965" s="38" t="e">
        <f>RIGHT(CONCATENATE(0,#REF!),7)</f>
        <v>#REF!</v>
      </c>
    </row>
    <row r="1966" spans="669:669" hidden="1">
      <c r="YS1966" s="38" t="e">
        <f>RIGHT(CONCATENATE(0,#REF!),7)</f>
        <v>#REF!</v>
      </c>
    </row>
    <row r="1967" spans="669:669" hidden="1">
      <c r="YS1967" s="38" t="e">
        <f>RIGHT(CONCATENATE(0,#REF!),7)</f>
        <v>#REF!</v>
      </c>
    </row>
    <row r="1968" spans="669:669" hidden="1">
      <c r="YS1968" s="38" t="e">
        <f>RIGHT(CONCATENATE(0,#REF!),7)</f>
        <v>#REF!</v>
      </c>
    </row>
    <row r="1969" spans="669:669" hidden="1">
      <c r="YS1969" s="38" t="e">
        <f>RIGHT(CONCATENATE(0,#REF!),7)</f>
        <v>#REF!</v>
      </c>
    </row>
    <row r="1970" spans="669:669" hidden="1">
      <c r="YS1970" s="38" t="e">
        <f>RIGHT(CONCATENATE(0,#REF!),7)</f>
        <v>#REF!</v>
      </c>
    </row>
    <row r="1971" spans="669:669" hidden="1">
      <c r="YS1971" s="38" t="e">
        <f>RIGHT(CONCATENATE(0,#REF!),7)</f>
        <v>#REF!</v>
      </c>
    </row>
    <row r="1972" spans="669:669" hidden="1">
      <c r="YS1972" s="38" t="e">
        <f>RIGHT(CONCATENATE(0,#REF!),7)</f>
        <v>#REF!</v>
      </c>
    </row>
    <row r="1973" spans="669:669" hidden="1">
      <c r="YS1973" s="38" t="e">
        <f>RIGHT(CONCATENATE(0,#REF!),7)</f>
        <v>#REF!</v>
      </c>
    </row>
    <row r="1974" spans="669:669" hidden="1">
      <c r="YS1974" s="38" t="e">
        <f>RIGHT(CONCATENATE(0,#REF!),7)</f>
        <v>#REF!</v>
      </c>
    </row>
    <row r="1975" spans="669:669" hidden="1">
      <c r="YS1975" s="38" t="e">
        <f>RIGHT(CONCATENATE(0,#REF!),7)</f>
        <v>#REF!</v>
      </c>
    </row>
    <row r="1976" spans="669:669" hidden="1">
      <c r="YS1976" s="38" t="e">
        <f>RIGHT(CONCATENATE(0,#REF!),7)</f>
        <v>#REF!</v>
      </c>
    </row>
    <row r="1977" spans="669:669" hidden="1">
      <c r="YS1977" s="38" t="e">
        <f>RIGHT(CONCATENATE(0,#REF!),7)</f>
        <v>#REF!</v>
      </c>
    </row>
    <row r="1978" spans="669:669" hidden="1">
      <c r="YS1978" s="38" t="e">
        <f>RIGHT(CONCATENATE(0,#REF!),7)</f>
        <v>#REF!</v>
      </c>
    </row>
    <row r="1979" spans="669:669" hidden="1">
      <c r="YS1979" s="38" t="e">
        <f>RIGHT(CONCATENATE(0,#REF!),7)</f>
        <v>#REF!</v>
      </c>
    </row>
    <row r="1980" spans="669:669" hidden="1">
      <c r="YS1980" s="38" t="e">
        <f>RIGHT(CONCATENATE(0,#REF!),7)</f>
        <v>#REF!</v>
      </c>
    </row>
    <row r="1981" spans="669:669" hidden="1">
      <c r="YS1981" s="38" t="e">
        <f>RIGHT(CONCATENATE(0,#REF!),7)</f>
        <v>#REF!</v>
      </c>
    </row>
    <row r="1982" spans="669:669" hidden="1">
      <c r="YS1982" s="38" t="e">
        <f>RIGHT(CONCATENATE(0,#REF!),7)</f>
        <v>#REF!</v>
      </c>
    </row>
    <row r="1983" spans="669:669" hidden="1">
      <c r="YS1983" s="38" t="e">
        <f>RIGHT(CONCATENATE(0,#REF!),7)</f>
        <v>#REF!</v>
      </c>
    </row>
    <row r="1984" spans="669:669" hidden="1">
      <c r="YS1984" s="38" t="e">
        <f>RIGHT(CONCATENATE(0,#REF!),7)</f>
        <v>#REF!</v>
      </c>
    </row>
    <row r="1985" spans="669:669" hidden="1">
      <c r="YS1985" s="38" t="e">
        <f>RIGHT(CONCATENATE(0,#REF!),7)</f>
        <v>#REF!</v>
      </c>
    </row>
    <row r="1986" spans="669:669" hidden="1">
      <c r="YS1986" s="38" t="e">
        <f>RIGHT(CONCATENATE(0,#REF!),7)</f>
        <v>#REF!</v>
      </c>
    </row>
    <row r="1987" spans="669:669" hidden="1">
      <c r="YS1987" s="38" t="e">
        <f>RIGHT(CONCATENATE(0,#REF!),7)</f>
        <v>#REF!</v>
      </c>
    </row>
    <row r="1988" spans="669:669" hidden="1">
      <c r="YS1988" s="38" t="e">
        <f>RIGHT(CONCATENATE(0,#REF!),7)</f>
        <v>#REF!</v>
      </c>
    </row>
    <row r="1989" spans="669:669" hidden="1">
      <c r="YS1989" s="38" t="e">
        <f>RIGHT(CONCATENATE(0,#REF!),7)</f>
        <v>#REF!</v>
      </c>
    </row>
    <row r="1990" spans="669:669" hidden="1">
      <c r="YS1990" s="38" t="e">
        <f>RIGHT(CONCATENATE(0,#REF!),7)</f>
        <v>#REF!</v>
      </c>
    </row>
    <row r="1991" spans="669:669" hidden="1">
      <c r="YS1991" s="38" t="e">
        <f>RIGHT(CONCATENATE(0,#REF!),7)</f>
        <v>#REF!</v>
      </c>
    </row>
    <row r="1992" spans="669:669" hidden="1">
      <c r="YS1992" s="38" t="e">
        <f>RIGHT(CONCATENATE(0,#REF!),7)</f>
        <v>#REF!</v>
      </c>
    </row>
    <row r="1993" spans="669:669" hidden="1">
      <c r="YS1993" s="38" t="e">
        <f>RIGHT(CONCATENATE(0,#REF!),7)</f>
        <v>#REF!</v>
      </c>
    </row>
    <row r="1994" spans="669:669" hidden="1">
      <c r="YS1994" s="38" t="e">
        <f>RIGHT(CONCATENATE(0,#REF!),7)</f>
        <v>#REF!</v>
      </c>
    </row>
    <row r="1995" spans="669:669" hidden="1">
      <c r="YS1995" s="38" t="e">
        <f>RIGHT(CONCATENATE(0,#REF!),7)</f>
        <v>#REF!</v>
      </c>
    </row>
    <row r="1996" spans="669:669" hidden="1">
      <c r="YS1996" s="38" t="e">
        <f>RIGHT(CONCATENATE(0,#REF!),7)</f>
        <v>#REF!</v>
      </c>
    </row>
    <row r="1997" spans="669:669" hidden="1">
      <c r="YS1997" s="38" t="e">
        <f>RIGHT(CONCATENATE(0,#REF!),7)</f>
        <v>#REF!</v>
      </c>
    </row>
    <row r="1998" spans="669:669" hidden="1">
      <c r="YS1998" s="38" t="e">
        <f>RIGHT(CONCATENATE(0,#REF!),7)</f>
        <v>#REF!</v>
      </c>
    </row>
    <row r="1999" spans="669:669" hidden="1">
      <c r="YS1999" s="38" t="e">
        <f>RIGHT(CONCATENATE(0,#REF!),7)</f>
        <v>#REF!</v>
      </c>
    </row>
    <row r="2000" spans="669:669" hidden="1">
      <c r="YS2000" s="38" t="e">
        <f>RIGHT(CONCATENATE(0,#REF!),7)</f>
        <v>#REF!</v>
      </c>
    </row>
    <row r="2001" spans="669:669" hidden="1">
      <c r="YS2001" s="38" t="e">
        <f>RIGHT(CONCATENATE(0,#REF!),7)</f>
        <v>#REF!</v>
      </c>
    </row>
    <row r="2002" spans="669:669" hidden="1">
      <c r="YS2002" s="38" t="e">
        <f>RIGHT(CONCATENATE(0,#REF!),7)</f>
        <v>#REF!</v>
      </c>
    </row>
    <row r="2003" spans="669:669" hidden="1">
      <c r="YS2003" s="38" t="e">
        <f>RIGHT(CONCATENATE(0,#REF!),7)</f>
        <v>#REF!</v>
      </c>
    </row>
    <row r="2004" spans="669:669" hidden="1">
      <c r="YS2004" s="38" t="e">
        <f>RIGHT(CONCATENATE(0,#REF!),7)</f>
        <v>#REF!</v>
      </c>
    </row>
    <row r="2005" spans="669:669" hidden="1">
      <c r="YS2005" s="38" t="e">
        <f>RIGHT(CONCATENATE(0,#REF!),7)</f>
        <v>#REF!</v>
      </c>
    </row>
    <row r="2006" spans="669:669" hidden="1">
      <c r="YS2006" s="38" t="e">
        <f>RIGHT(CONCATENATE(0,#REF!),7)</f>
        <v>#REF!</v>
      </c>
    </row>
    <row r="2007" spans="669:669" hidden="1">
      <c r="YS2007" s="38" t="e">
        <f>RIGHT(CONCATENATE(0,#REF!),7)</f>
        <v>#REF!</v>
      </c>
    </row>
    <row r="2008" spans="669:669" hidden="1">
      <c r="YS2008" s="38" t="e">
        <f>RIGHT(CONCATENATE(0,#REF!),7)</f>
        <v>#REF!</v>
      </c>
    </row>
    <row r="2009" spans="669:669" hidden="1">
      <c r="YS2009" s="38" t="e">
        <f>RIGHT(CONCATENATE(0,#REF!),7)</f>
        <v>#REF!</v>
      </c>
    </row>
    <row r="2010" spans="669:669" hidden="1">
      <c r="YS2010" s="38" t="e">
        <f>RIGHT(CONCATENATE(0,#REF!),7)</f>
        <v>#REF!</v>
      </c>
    </row>
    <row r="2011" spans="669:669" hidden="1">
      <c r="YS2011" s="38" t="e">
        <f>RIGHT(CONCATENATE(0,#REF!),7)</f>
        <v>#REF!</v>
      </c>
    </row>
    <row r="2012" spans="669:669" hidden="1">
      <c r="YS2012" s="38" t="e">
        <f>RIGHT(CONCATENATE(0,#REF!),7)</f>
        <v>#REF!</v>
      </c>
    </row>
    <row r="2013" spans="669:669" hidden="1">
      <c r="YS2013" s="38" t="e">
        <f>RIGHT(CONCATENATE(0,#REF!),7)</f>
        <v>#REF!</v>
      </c>
    </row>
    <row r="2014" spans="669:669" hidden="1">
      <c r="YS2014" s="38" t="e">
        <f>RIGHT(CONCATENATE(0,#REF!),7)</f>
        <v>#REF!</v>
      </c>
    </row>
    <row r="2015" spans="669:669" hidden="1">
      <c r="YS2015" s="38" t="e">
        <f>RIGHT(CONCATENATE(0,#REF!),7)</f>
        <v>#REF!</v>
      </c>
    </row>
    <row r="2016" spans="669:669" hidden="1">
      <c r="YS2016" s="38" t="e">
        <f>RIGHT(CONCATENATE(0,#REF!),7)</f>
        <v>#REF!</v>
      </c>
    </row>
    <row r="2017" spans="669:669" hidden="1">
      <c r="YS2017" s="38" t="e">
        <f>RIGHT(CONCATENATE(0,#REF!),7)</f>
        <v>#REF!</v>
      </c>
    </row>
    <row r="2018" spans="669:669" hidden="1">
      <c r="YS2018" s="38" t="e">
        <f>RIGHT(CONCATENATE(0,#REF!),7)</f>
        <v>#REF!</v>
      </c>
    </row>
    <row r="2019" spans="669:669" hidden="1">
      <c r="YS2019" s="38" t="e">
        <f>RIGHT(CONCATENATE(0,#REF!),7)</f>
        <v>#REF!</v>
      </c>
    </row>
    <row r="2020" spans="669:669" hidden="1">
      <c r="YS2020" s="38" t="e">
        <f>RIGHT(CONCATENATE(0,#REF!),7)</f>
        <v>#REF!</v>
      </c>
    </row>
    <row r="2021" spans="669:669" hidden="1">
      <c r="YS2021" s="38" t="e">
        <f>RIGHT(CONCATENATE(0,#REF!),7)</f>
        <v>#REF!</v>
      </c>
    </row>
    <row r="2022" spans="669:669" hidden="1">
      <c r="YS2022" s="38" t="e">
        <f>RIGHT(CONCATENATE(0,#REF!),7)</f>
        <v>#REF!</v>
      </c>
    </row>
    <row r="2023" spans="669:669" hidden="1">
      <c r="YS2023" s="38" t="e">
        <f>RIGHT(CONCATENATE(0,#REF!),7)</f>
        <v>#REF!</v>
      </c>
    </row>
    <row r="2024" spans="669:669" hidden="1">
      <c r="YS2024" s="38" t="e">
        <f>RIGHT(CONCATENATE(0,#REF!),7)</f>
        <v>#REF!</v>
      </c>
    </row>
    <row r="2025" spans="669:669" hidden="1">
      <c r="YS2025" s="38" t="e">
        <f>RIGHT(CONCATENATE(0,#REF!),7)</f>
        <v>#REF!</v>
      </c>
    </row>
    <row r="2026" spans="669:669" hidden="1">
      <c r="YS2026" s="38" t="e">
        <f>RIGHT(CONCATENATE(0,#REF!),7)</f>
        <v>#REF!</v>
      </c>
    </row>
    <row r="2027" spans="669:669" hidden="1">
      <c r="YS2027" s="38" t="e">
        <f>RIGHT(CONCATENATE(0,#REF!),7)</f>
        <v>#REF!</v>
      </c>
    </row>
    <row r="2028" spans="669:669" hidden="1">
      <c r="YS2028" s="38" t="e">
        <f>RIGHT(CONCATENATE(0,#REF!),7)</f>
        <v>#REF!</v>
      </c>
    </row>
    <row r="2029" spans="669:669" hidden="1">
      <c r="YS2029" s="38" t="e">
        <f>RIGHT(CONCATENATE(0,#REF!),7)</f>
        <v>#REF!</v>
      </c>
    </row>
    <row r="2030" spans="669:669" hidden="1">
      <c r="YS2030" s="38" t="e">
        <f>RIGHT(CONCATENATE(0,#REF!),7)</f>
        <v>#REF!</v>
      </c>
    </row>
    <row r="2031" spans="669:669" hidden="1">
      <c r="YS2031" s="38" t="e">
        <f>RIGHT(CONCATENATE(0,#REF!),7)</f>
        <v>#REF!</v>
      </c>
    </row>
    <row r="2032" spans="669:669" hidden="1">
      <c r="YS2032" s="38" t="e">
        <f>RIGHT(CONCATENATE(0,#REF!),7)</f>
        <v>#REF!</v>
      </c>
    </row>
    <row r="2033" spans="669:669" hidden="1">
      <c r="YS2033" s="38" t="e">
        <f>RIGHT(CONCATENATE(0,#REF!),7)</f>
        <v>#REF!</v>
      </c>
    </row>
    <row r="2034" spans="669:669" hidden="1">
      <c r="YS2034" s="38" t="e">
        <f>RIGHT(CONCATENATE(0,#REF!),7)</f>
        <v>#REF!</v>
      </c>
    </row>
    <row r="2035" spans="669:669" hidden="1">
      <c r="YS2035" s="38" t="e">
        <f>RIGHT(CONCATENATE(0,#REF!),7)</f>
        <v>#REF!</v>
      </c>
    </row>
    <row r="2036" spans="669:669" hidden="1">
      <c r="YS2036" s="38" t="e">
        <f>RIGHT(CONCATENATE(0,#REF!),7)</f>
        <v>#REF!</v>
      </c>
    </row>
    <row r="2037" spans="669:669" hidden="1">
      <c r="YS2037" s="38" t="e">
        <f>RIGHT(CONCATENATE(0,#REF!),7)</f>
        <v>#REF!</v>
      </c>
    </row>
    <row r="2038" spans="669:669" hidden="1">
      <c r="YS2038" s="38" t="e">
        <f>RIGHT(CONCATENATE(0,#REF!),7)</f>
        <v>#REF!</v>
      </c>
    </row>
    <row r="2039" spans="669:669" hidden="1">
      <c r="YS2039" s="38" t="e">
        <f>RIGHT(CONCATENATE(0,#REF!),7)</f>
        <v>#REF!</v>
      </c>
    </row>
    <row r="2040" spans="669:669" hidden="1">
      <c r="YS2040" s="38" t="e">
        <f>RIGHT(CONCATENATE(0,#REF!),7)</f>
        <v>#REF!</v>
      </c>
    </row>
    <row r="2041" spans="669:669" hidden="1">
      <c r="YS2041" s="38" t="e">
        <f>RIGHT(CONCATENATE(0,#REF!),7)</f>
        <v>#REF!</v>
      </c>
    </row>
    <row r="2042" spans="669:669" hidden="1">
      <c r="YS2042" s="38" t="e">
        <f>RIGHT(CONCATENATE(0,#REF!),7)</f>
        <v>#REF!</v>
      </c>
    </row>
    <row r="2043" spans="669:669" hidden="1">
      <c r="YS2043" s="38" t="e">
        <f>RIGHT(CONCATENATE(0,#REF!),7)</f>
        <v>#REF!</v>
      </c>
    </row>
    <row r="2044" spans="669:669" hidden="1">
      <c r="YS2044" s="38" t="e">
        <f>RIGHT(CONCATENATE(0,#REF!),7)</f>
        <v>#REF!</v>
      </c>
    </row>
    <row r="2045" spans="669:669" hidden="1">
      <c r="YS2045" s="38" t="e">
        <f>RIGHT(CONCATENATE(0,#REF!),7)</f>
        <v>#REF!</v>
      </c>
    </row>
    <row r="2046" spans="669:669" hidden="1">
      <c r="YS2046" s="38" t="e">
        <f>RIGHT(CONCATENATE(0,#REF!),7)</f>
        <v>#REF!</v>
      </c>
    </row>
    <row r="2047" spans="669:669" hidden="1">
      <c r="YS2047" s="38" t="e">
        <f>RIGHT(CONCATENATE(0,#REF!),7)</f>
        <v>#REF!</v>
      </c>
    </row>
    <row r="2048" spans="669:669" hidden="1">
      <c r="YS2048" s="38" t="e">
        <f>RIGHT(CONCATENATE(0,#REF!),7)</f>
        <v>#REF!</v>
      </c>
    </row>
    <row r="2049" spans="669:669" hidden="1">
      <c r="YS2049" s="38" t="e">
        <f>RIGHT(CONCATENATE(0,#REF!),7)</f>
        <v>#REF!</v>
      </c>
    </row>
    <row r="2050" spans="669:669" hidden="1">
      <c r="YS2050" s="38" t="e">
        <f>RIGHT(CONCATENATE(0,#REF!),7)</f>
        <v>#REF!</v>
      </c>
    </row>
    <row r="2051" spans="669:669" hidden="1">
      <c r="YS2051" s="38" t="e">
        <f>RIGHT(CONCATENATE(0,#REF!),7)</f>
        <v>#REF!</v>
      </c>
    </row>
    <row r="2052" spans="669:669" hidden="1">
      <c r="YS2052" s="38" t="e">
        <f>RIGHT(CONCATENATE(0,#REF!),7)</f>
        <v>#REF!</v>
      </c>
    </row>
    <row r="2053" spans="669:669" hidden="1">
      <c r="YS2053" s="38" t="e">
        <f>RIGHT(CONCATENATE(0,#REF!),7)</f>
        <v>#REF!</v>
      </c>
    </row>
    <row r="2054" spans="669:669" hidden="1">
      <c r="YS2054" s="38" t="e">
        <f>RIGHT(CONCATENATE(0,#REF!),7)</f>
        <v>#REF!</v>
      </c>
    </row>
    <row r="2055" spans="669:669" hidden="1">
      <c r="YS2055" s="38" t="e">
        <f>RIGHT(CONCATENATE(0,#REF!),7)</f>
        <v>#REF!</v>
      </c>
    </row>
    <row r="2056" spans="669:669" hidden="1">
      <c r="YS2056" s="38" t="e">
        <f>RIGHT(CONCATENATE(0,#REF!),7)</f>
        <v>#REF!</v>
      </c>
    </row>
    <row r="2057" spans="669:669" hidden="1">
      <c r="YS2057" s="38" t="e">
        <f>RIGHT(CONCATENATE(0,#REF!),7)</f>
        <v>#REF!</v>
      </c>
    </row>
    <row r="2058" spans="669:669" hidden="1">
      <c r="YS2058" s="38" t="e">
        <f>RIGHT(CONCATENATE(0,#REF!),7)</f>
        <v>#REF!</v>
      </c>
    </row>
    <row r="2059" spans="669:669" hidden="1">
      <c r="YS2059" s="38" t="e">
        <f>RIGHT(CONCATENATE(0,#REF!),7)</f>
        <v>#REF!</v>
      </c>
    </row>
    <row r="2060" spans="669:669" hidden="1">
      <c r="YS2060" s="38" t="e">
        <f>RIGHT(CONCATENATE(0,#REF!),7)</f>
        <v>#REF!</v>
      </c>
    </row>
    <row r="2061" spans="669:669" hidden="1">
      <c r="YS2061" s="38" t="e">
        <f>RIGHT(CONCATENATE(0,#REF!),7)</f>
        <v>#REF!</v>
      </c>
    </row>
    <row r="2062" spans="669:669" hidden="1">
      <c r="YS2062" s="38" t="e">
        <f>RIGHT(CONCATENATE(0,#REF!),7)</f>
        <v>#REF!</v>
      </c>
    </row>
    <row r="2063" spans="669:669" hidden="1">
      <c r="YS2063" s="38" t="e">
        <f>RIGHT(CONCATENATE(0,#REF!),7)</f>
        <v>#REF!</v>
      </c>
    </row>
    <row r="2064" spans="669:669" hidden="1">
      <c r="YS2064" s="38" t="e">
        <f>RIGHT(CONCATENATE(0,#REF!),7)</f>
        <v>#REF!</v>
      </c>
    </row>
    <row r="2065" spans="669:669" hidden="1">
      <c r="YS2065" s="38" t="e">
        <f>RIGHT(CONCATENATE(0,#REF!),7)</f>
        <v>#REF!</v>
      </c>
    </row>
    <row r="2066" spans="669:669" hidden="1">
      <c r="YS2066" s="38" t="e">
        <f>RIGHT(CONCATENATE(0,#REF!),7)</f>
        <v>#REF!</v>
      </c>
    </row>
    <row r="2067" spans="669:669" hidden="1">
      <c r="YS2067" s="38" t="e">
        <f>RIGHT(CONCATENATE(0,#REF!),7)</f>
        <v>#REF!</v>
      </c>
    </row>
    <row r="2068" spans="669:669" hidden="1">
      <c r="YS2068" s="38" t="e">
        <f>RIGHT(CONCATENATE(0,#REF!),7)</f>
        <v>#REF!</v>
      </c>
    </row>
    <row r="2069" spans="669:669" hidden="1">
      <c r="YS2069" s="38" t="e">
        <f>RIGHT(CONCATENATE(0,#REF!),7)</f>
        <v>#REF!</v>
      </c>
    </row>
    <row r="2070" spans="669:669" hidden="1">
      <c r="YS2070" s="38" t="e">
        <f>RIGHT(CONCATENATE(0,#REF!),7)</f>
        <v>#REF!</v>
      </c>
    </row>
    <row r="2071" spans="669:669" hidden="1">
      <c r="YS2071" s="38" t="e">
        <f>RIGHT(CONCATENATE(0,#REF!),7)</f>
        <v>#REF!</v>
      </c>
    </row>
    <row r="2072" spans="669:669" hidden="1">
      <c r="YS2072" s="38" t="e">
        <f>RIGHT(CONCATENATE(0,#REF!),7)</f>
        <v>#REF!</v>
      </c>
    </row>
    <row r="2073" spans="669:669" hidden="1">
      <c r="YS2073" s="38" t="e">
        <f>RIGHT(CONCATENATE(0,#REF!),7)</f>
        <v>#REF!</v>
      </c>
    </row>
    <row r="2074" spans="669:669" hidden="1">
      <c r="YS2074" s="38" t="e">
        <f>RIGHT(CONCATENATE(0,#REF!),7)</f>
        <v>#REF!</v>
      </c>
    </row>
    <row r="2075" spans="669:669" hidden="1">
      <c r="YS2075" s="38" t="e">
        <f>RIGHT(CONCATENATE(0,#REF!),7)</f>
        <v>#REF!</v>
      </c>
    </row>
    <row r="2076" spans="669:669" hidden="1">
      <c r="YS2076" s="38" t="e">
        <f>RIGHT(CONCATENATE(0,#REF!),7)</f>
        <v>#REF!</v>
      </c>
    </row>
    <row r="2077" spans="669:669" hidden="1">
      <c r="YS2077" s="38" t="e">
        <f>RIGHT(CONCATENATE(0,#REF!),7)</f>
        <v>#REF!</v>
      </c>
    </row>
    <row r="2078" spans="669:669" hidden="1">
      <c r="YS2078" s="38" t="e">
        <f>RIGHT(CONCATENATE(0,#REF!),7)</f>
        <v>#REF!</v>
      </c>
    </row>
    <row r="2079" spans="669:669" hidden="1">
      <c r="YS2079" s="38" t="e">
        <f>RIGHT(CONCATENATE(0,#REF!),7)</f>
        <v>#REF!</v>
      </c>
    </row>
    <row r="2080" spans="669:669" hidden="1">
      <c r="YS2080" s="38" t="e">
        <f>RIGHT(CONCATENATE(0,#REF!),7)</f>
        <v>#REF!</v>
      </c>
    </row>
    <row r="2081" spans="669:669" hidden="1">
      <c r="YS2081" s="38" t="e">
        <f>RIGHT(CONCATENATE(0,#REF!),7)</f>
        <v>#REF!</v>
      </c>
    </row>
    <row r="2082" spans="669:669" hidden="1">
      <c r="YS2082" s="38" t="e">
        <f>RIGHT(CONCATENATE(0,#REF!),7)</f>
        <v>#REF!</v>
      </c>
    </row>
    <row r="2083" spans="669:669" hidden="1">
      <c r="YS2083" s="38" t="e">
        <f>RIGHT(CONCATENATE(0,#REF!),7)</f>
        <v>#REF!</v>
      </c>
    </row>
    <row r="2084" spans="669:669" hidden="1">
      <c r="YS2084" s="38" t="e">
        <f>RIGHT(CONCATENATE(0,#REF!),7)</f>
        <v>#REF!</v>
      </c>
    </row>
    <row r="2085" spans="669:669" hidden="1">
      <c r="YS2085" s="38" t="e">
        <f>RIGHT(CONCATENATE(0,#REF!),7)</f>
        <v>#REF!</v>
      </c>
    </row>
    <row r="2086" spans="669:669" hidden="1">
      <c r="YS2086" s="38" t="e">
        <f>RIGHT(CONCATENATE(0,#REF!),7)</f>
        <v>#REF!</v>
      </c>
    </row>
    <row r="2087" spans="669:669" ht="15.75" thickTop="1">
      <c r="YS2087" s="38" t="e">
        <f>RIGHT(CONCATENATE(0,#REF!),7)</f>
        <v>#REF!</v>
      </c>
    </row>
    <row r="2088" spans="669:669">
      <c r="YS2088" s="38" t="e">
        <f>RIGHT(CONCATENATE(0,#REF!),7)</f>
        <v>#REF!</v>
      </c>
    </row>
    <row r="2089" spans="669:669">
      <c r="YS2089" s="38" t="e">
        <f>RIGHT(CONCATENATE(0,#REF!),7)</f>
        <v>#REF!</v>
      </c>
    </row>
    <row r="2090" spans="669:669">
      <c r="YS2090" s="38" t="e">
        <f>RIGHT(CONCATENATE(0,#REF!),7)</f>
        <v>#REF!</v>
      </c>
    </row>
    <row r="2091" spans="669:669">
      <c r="YS2091" s="38" t="e">
        <f>RIGHT(CONCATENATE(0,#REF!),7)</f>
        <v>#REF!</v>
      </c>
    </row>
    <row r="2092" spans="669:669">
      <c r="YS2092" s="38" t="e">
        <f>RIGHT(CONCATENATE(0,#REF!),7)</f>
        <v>#REF!</v>
      </c>
    </row>
    <row r="2093" spans="669:669">
      <c r="YS2093" s="38" t="e">
        <f>RIGHT(CONCATENATE(0,#REF!),7)</f>
        <v>#REF!</v>
      </c>
    </row>
    <row r="2094" spans="669:669">
      <c r="YS2094" s="38" t="e">
        <f>RIGHT(CONCATENATE(0,#REF!),7)</f>
        <v>#REF!</v>
      </c>
    </row>
    <row r="2095" spans="669:669">
      <c r="YS2095" s="38" t="e">
        <f>RIGHT(CONCATENATE(0,#REF!),7)</f>
        <v>#REF!</v>
      </c>
    </row>
    <row r="2096" spans="669:669">
      <c r="YS2096" s="38" t="e">
        <f>RIGHT(CONCATENATE(0,#REF!),7)</f>
        <v>#REF!</v>
      </c>
    </row>
    <row r="2097" spans="669:669">
      <c r="YS2097" s="38" t="e">
        <f>RIGHT(CONCATENATE(0,#REF!),7)</f>
        <v>#REF!</v>
      </c>
    </row>
    <row r="2098" spans="669:669">
      <c r="YS2098" s="38" t="e">
        <f>RIGHT(CONCATENATE(0,#REF!),7)</f>
        <v>#REF!</v>
      </c>
    </row>
    <row r="2099" spans="669:669">
      <c r="YS2099" s="38" t="e">
        <f>RIGHT(CONCATENATE(0,#REF!),7)</f>
        <v>#REF!</v>
      </c>
    </row>
    <row r="2100" spans="669:669">
      <c r="YS2100" s="38" t="e">
        <f>RIGHT(CONCATENATE(0,#REF!),7)</f>
        <v>#REF!</v>
      </c>
    </row>
    <row r="2101" spans="669:669">
      <c r="YS2101" s="38" t="e">
        <f>RIGHT(CONCATENATE(0,#REF!),7)</f>
        <v>#REF!</v>
      </c>
    </row>
    <row r="2102" spans="669:669">
      <c r="YS2102" s="38" t="e">
        <f>RIGHT(CONCATENATE(0,#REF!),7)</f>
        <v>#REF!</v>
      </c>
    </row>
    <row r="2103" spans="669:669">
      <c r="YS2103" s="38" t="e">
        <f>RIGHT(CONCATENATE(0,#REF!),7)</f>
        <v>#REF!</v>
      </c>
    </row>
    <row r="2104" spans="669:669">
      <c r="YS2104" s="38" t="e">
        <f>RIGHT(CONCATENATE(0,#REF!),7)</f>
        <v>#REF!</v>
      </c>
    </row>
    <row r="2105" spans="669:669">
      <c r="YS2105" s="38" t="e">
        <f>RIGHT(CONCATENATE(0,#REF!),7)</f>
        <v>#REF!</v>
      </c>
    </row>
    <row r="2106" spans="669:669">
      <c r="YS2106" s="38" t="e">
        <f>RIGHT(CONCATENATE(0,#REF!),7)</f>
        <v>#REF!</v>
      </c>
    </row>
    <row r="2107" spans="669:669">
      <c r="YS2107" s="38" t="e">
        <f>RIGHT(CONCATENATE(0,#REF!),7)</f>
        <v>#REF!</v>
      </c>
    </row>
    <row r="2108" spans="669:669">
      <c r="YS2108" s="38" t="e">
        <f>RIGHT(CONCATENATE(0,#REF!),7)</f>
        <v>#REF!</v>
      </c>
    </row>
    <row r="2109" spans="669:669">
      <c r="YS2109" s="38" t="e">
        <f>RIGHT(CONCATENATE(0,#REF!),7)</f>
        <v>#REF!</v>
      </c>
    </row>
    <row r="2110" spans="669:669">
      <c r="YS2110" s="38" t="e">
        <f>RIGHT(CONCATENATE(0,#REF!),7)</f>
        <v>#REF!</v>
      </c>
    </row>
    <row r="2111" spans="669:669">
      <c r="YS2111" s="38" t="e">
        <f>RIGHT(CONCATENATE(0,#REF!),7)</f>
        <v>#REF!</v>
      </c>
    </row>
    <row r="2112" spans="669:669">
      <c r="YS2112" s="38" t="e">
        <f>RIGHT(CONCATENATE(0,#REF!),7)</f>
        <v>#REF!</v>
      </c>
    </row>
    <row r="2113" spans="669:669">
      <c r="YS2113" s="38" t="e">
        <f>RIGHT(CONCATENATE(0,#REF!),7)</f>
        <v>#REF!</v>
      </c>
    </row>
    <row r="2114" spans="669:669">
      <c r="YS2114" s="38" t="e">
        <f>RIGHT(CONCATENATE(0,#REF!),7)</f>
        <v>#REF!</v>
      </c>
    </row>
    <row r="2115" spans="669:669">
      <c r="YS2115" s="38" t="e">
        <f>RIGHT(CONCATENATE(0,#REF!),7)</f>
        <v>#REF!</v>
      </c>
    </row>
    <row r="2116" spans="669:669">
      <c r="YS2116" s="38" t="e">
        <f>RIGHT(CONCATENATE(0,#REF!),7)</f>
        <v>#REF!</v>
      </c>
    </row>
    <row r="2117" spans="669:669">
      <c r="YS2117" s="38" t="e">
        <f>RIGHT(CONCATENATE(0,#REF!),7)</f>
        <v>#REF!</v>
      </c>
    </row>
    <row r="2118" spans="669:669">
      <c r="YS2118" s="38" t="e">
        <f>RIGHT(CONCATENATE(0,#REF!),7)</f>
        <v>#REF!</v>
      </c>
    </row>
    <row r="2119" spans="669:669">
      <c r="YS2119" s="38" t="e">
        <f>RIGHT(CONCATENATE(0,#REF!),7)</f>
        <v>#REF!</v>
      </c>
    </row>
    <row r="2120" spans="669:669">
      <c r="YS2120" s="38" t="e">
        <f>RIGHT(CONCATENATE(0,#REF!),7)</f>
        <v>#REF!</v>
      </c>
    </row>
    <row r="2121" spans="669:669">
      <c r="YS2121" s="38" t="e">
        <f>RIGHT(CONCATENATE(0,#REF!),7)</f>
        <v>#REF!</v>
      </c>
    </row>
    <row r="2122" spans="669:669">
      <c r="YS2122" s="38" t="e">
        <f>RIGHT(CONCATENATE(0,#REF!),7)</f>
        <v>#REF!</v>
      </c>
    </row>
    <row r="2123" spans="669:669">
      <c r="YS2123" s="38" t="e">
        <f>RIGHT(CONCATENATE(0,#REF!),7)</f>
        <v>#REF!</v>
      </c>
    </row>
    <row r="2124" spans="669:669">
      <c r="YS2124" s="38" t="e">
        <f>RIGHT(CONCATENATE(0,#REF!),7)</f>
        <v>#REF!</v>
      </c>
    </row>
    <row r="2125" spans="669:669">
      <c r="YS2125" s="38" t="e">
        <f>RIGHT(CONCATENATE(0,#REF!),7)</f>
        <v>#REF!</v>
      </c>
    </row>
    <row r="2126" spans="669:669">
      <c r="YS2126" s="38" t="e">
        <f>RIGHT(CONCATENATE(0,#REF!),7)</f>
        <v>#REF!</v>
      </c>
    </row>
    <row r="2127" spans="669:669">
      <c r="YS2127" s="38" t="e">
        <f>RIGHT(CONCATENATE(0,#REF!),7)</f>
        <v>#REF!</v>
      </c>
    </row>
    <row r="2128" spans="669:669">
      <c r="YS2128" s="38" t="e">
        <f>RIGHT(CONCATENATE(0,#REF!),7)</f>
        <v>#REF!</v>
      </c>
    </row>
    <row r="2129" spans="669:669">
      <c r="YS2129" s="38" t="e">
        <f>RIGHT(CONCATENATE(0,#REF!),7)</f>
        <v>#REF!</v>
      </c>
    </row>
    <row r="2130" spans="669:669">
      <c r="YS2130" s="38" t="e">
        <f>RIGHT(CONCATENATE(0,#REF!),7)</f>
        <v>#REF!</v>
      </c>
    </row>
    <row r="2131" spans="669:669">
      <c r="YS2131" s="38" t="e">
        <f>RIGHT(CONCATENATE(0,#REF!),7)</f>
        <v>#REF!</v>
      </c>
    </row>
    <row r="2132" spans="669:669">
      <c r="YS2132" s="38" t="e">
        <f>RIGHT(CONCATENATE(0,#REF!),7)</f>
        <v>#REF!</v>
      </c>
    </row>
    <row r="2133" spans="669:669">
      <c r="YS2133" s="38" t="e">
        <f>RIGHT(CONCATENATE(0,#REF!),7)</f>
        <v>#REF!</v>
      </c>
    </row>
    <row r="2134" spans="669:669">
      <c r="YS2134" s="38" t="e">
        <f>RIGHT(CONCATENATE(0,#REF!),7)</f>
        <v>#REF!</v>
      </c>
    </row>
    <row r="2135" spans="669:669">
      <c r="YS2135" s="38" t="e">
        <f>RIGHT(CONCATENATE(0,#REF!),7)</f>
        <v>#REF!</v>
      </c>
    </row>
    <row r="2136" spans="669:669">
      <c r="YS2136" s="38" t="e">
        <f>RIGHT(CONCATENATE(0,#REF!),7)</f>
        <v>#REF!</v>
      </c>
    </row>
    <row r="2137" spans="669:669">
      <c r="YS2137" s="38" t="e">
        <f>RIGHT(CONCATENATE(0,#REF!),7)</f>
        <v>#REF!</v>
      </c>
    </row>
    <row r="2138" spans="669:669">
      <c r="YS2138" s="38" t="e">
        <f>RIGHT(CONCATENATE(0,#REF!),7)</f>
        <v>#REF!</v>
      </c>
    </row>
    <row r="2139" spans="669:669">
      <c r="YS2139" s="38" t="e">
        <f>RIGHT(CONCATENATE(0,#REF!),7)</f>
        <v>#REF!</v>
      </c>
    </row>
    <row r="2140" spans="669:669">
      <c r="YS2140" s="38" t="e">
        <f>RIGHT(CONCATENATE(0,#REF!),7)</f>
        <v>#REF!</v>
      </c>
    </row>
    <row r="2141" spans="669:669">
      <c r="YS2141" s="38" t="e">
        <f>RIGHT(CONCATENATE(0,#REF!),7)</f>
        <v>#REF!</v>
      </c>
    </row>
    <row r="2142" spans="669:669">
      <c r="YS2142" s="38" t="e">
        <f>RIGHT(CONCATENATE(0,#REF!),7)</f>
        <v>#REF!</v>
      </c>
    </row>
    <row r="2143" spans="669:669">
      <c r="YS2143" s="38" t="e">
        <f>RIGHT(CONCATENATE(0,#REF!),7)</f>
        <v>#REF!</v>
      </c>
    </row>
    <row r="2144" spans="669:669">
      <c r="YS2144" s="38" t="e">
        <f>RIGHT(CONCATENATE(0,#REF!),7)</f>
        <v>#REF!</v>
      </c>
    </row>
    <row r="2145" spans="669:669">
      <c r="YS2145" s="38" t="e">
        <f>RIGHT(CONCATENATE(0,#REF!),7)</f>
        <v>#REF!</v>
      </c>
    </row>
    <row r="2146" spans="669:669">
      <c r="YS2146" s="38" t="e">
        <f>RIGHT(CONCATENATE(0,#REF!),7)</f>
        <v>#REF!</v>
      </c>
    </row>
    <row r="2147" spans="669:669">
      <c r="YS2147" s="38" t="e">
        <f>RIGHT(CONCATENATE(0,#REF!),7)</f>
        <v>#REF!</v>
      </c>
    </row>
    <row r="2148" spans="669:669">
      <c r="YS2148" s="38" t="e">
        <f>RIGHT(CONCATENATE(0,#REF!),7)</f>
        <v>#REF!</v>
      </c>
    </row>
    <row r="2149" spans="669:669">
      <c r="YS2149" s="38" t="e">
        <f>RIGHT(CONCATENATE(0,#REF!),7)</f>
        <v>#REF!</v>
      </c>
    </row>
    <row r="2150" spans="669:669">
      <c r="YS2150" s="38" t="e">
        <f>RIGHT(CONCATENATE(0,#REF!),7)</f>
        <v>#REF!</v>
      </c>
    </row>
  </sheetData>
  <sheetProtection password="F90B" sheet="1" objects="1" scenarios="1" selectLockedCells="1"/>
  <protectedRanges>
    <protectedRange password="CF7A" sqref="L14:M14" name="Range3"/>
    <protectedRange password="CF7A" sqref="O17" name="Range2"/>
    <protectedRange password="CF7A" sqref="O16" name="Range1"/>
  </protectedRanges>
  <dataConsolidate/>
  <customSheetViews>
    <customSheetView guid="{AF8DD0C3-82AF-40F4-9518-B58C2E7D25DB}" hiddenRows="1" hiddenColumns="1">
      <selection activeCell="H4" sqref="H4:I4"/>
      <pageMargins left="0.70866141732283472" right="0.70866141732283472" top="0.74803149606299213" bottom="0.74803149606299213" header="0.31496062992125984" footer="0.31496062992125984"/>
      <pageSetup paperSize="5" scale="85" orientation="landscape" r:id="rId1"/>
    </customSheetView>
    <customSheetView guid="{42E2D281-D8CE-4199-94CF-E6DFE3EDCACD}" hiddenRows="1">
      <selection activeCell="B5" sqref="B5"/>
      <pageMargins left="0.70866141732283472" right="0.70866141732283472" top="0.74803149606299213" bottom="0.74803149606299213" header="0.31496062992125984" footer="0.31496062992125984"/>
      <pageSetup paperSize="5" scale="85" orientation="landscape" r:id="rId2"/>
    </customSheetView>
    <customSheetView guid="{79BDAD5E-470D-413B-AE3A-BBB122EFD8E5}" hiddenRows="1" hiddenColumns="1" topLeftCell="F1">
      <selection activeCell="L8" sqref="L8:M8"/>
      <pageMargins left="0.70866141732283472" right="0.70866141732283472" top="0.74803149606299213" bottom="0.74803149606299213" header="0.31496062992125984" footer="0.31496062992125984"/>
      <pageSetup paperSize="5" scale="85" orientation="landscape" r:id="rId3"/>
    </customSheetView>
  </customSheetViews>
  <mergeCells count="196">
    <mergeCell ref="F6:G6"/>
    <mergeCell ref="P27:Q27"/>
    <mergeCell ref="P28:Q28"/>
    <mergeCell ref="N23:O23"/>
    <mergeCell ref="N24:O24"/>
    <mergeCell ref="N25:O25"/>
    <mergeCell ref="N26:O26"/>
    <mergeCell ref="P23:Q23"/>
    <mergeCell ref="P24:Q24"/>
    <mergeCell ref="P25:Q25"/>
    <mergeCell ref="P26:Q26"/>
    <mergeCell ref="N28:O28"/>
    <mergeCell ref="N27:O27"/>
    <mergeCell ref="F19:G19"/>
    <mergeCell ref="AC2:AD2"/>
    <mergeCell ref="P14:Q14"/>
    <mergeCell ref="C4:D4"/>
    <mergeCell ref="C5:D5"/>
    <mergeCell ref="C6:D6"/>
    <mergeCell ref="C7:D7"/>
    <mergeCell ref="C8:D8"/>
    <mergeCell ref="C9:D9"/>
    <mergeCell ref="C11:D11"/>
    <mergeCell ref="C13:D13"/>
    <mergeCell ref="C12:D12"/>
    <mergeCell ref="N14:O14"/>
    <mergeCell ref="J12:K12"/>
    <mergeCell ref="L12:M12"/>
    <mergeCell ref="L13:M13"/>
    <mergeCell ref="H13:I13"/>
    <mergeCell ref="H14:I14"/>
    <mergeCell ref="A2:Q2"/>
    <mergeCell ref="C10:D10"/>
    <mergeCell ref="F3:M3"/>
    <mergeCell ref="F9:G9"/>
    <mergeCell ref="L8:M8"/>
    <mergeCell ref="N12:Q13"/>
    <mergeCell ref="L6:M6"/>
    <mergeCell ref="A3:D3"/>
    <mergeCell ref="J5:K5"/>
    <mergeCell ref="AX2:BA2"/>
    <mergeCell ref="AX11:BA11"/>
    <mergeCell ref="AX20:BA20"/>
    <mergeCell ref="N4:Q4"/>
    <mergeCell ref="F26:G26"/>
    <mergeCell ref="H26:I26"/>
    <mergeCell ref="F22:G22"/>
    <mergeCell ref="H22:I22"/>
    <mergeCell ref="H23:I23"/>
    <mergeCell ref="H24:I24"/>
    <mergeCell ref="H25:I25"/>
    <mergeCell ref="F4:G4"/>
    <mergeCell ref="J26:K26"/>
    <mergeCell ref="H19:I19"/>
    <mergeCell ref="F13:G13"/>
    <mergeCell ref="AX21:BA21"/>
    <mergeCell ref="N16:O16"/>
    <mergeCell ref="N17:O17"/>
    <mergeCell ref="N18:O18"/>
    <mergeCell ref="F14:G14"/>
    <mergeCell ref="C16:D16"/>
    <mergeCell ref="C17:D17"/>
    <mergeCell ref="C18:D18"/>
    <mergeCell ref="A28:C28"/>
    <mergeCell ref="F28:K28"/>
    <mergeCell ref="F29:K29"/>
    <mergeCell ref="C19:D19"/>
    <mergeCell ref="J19:K19"/>
    <mergeCell ref="H9:I9"/>
    <mergeCell ref="H11:I11"/>
    <mergeCell ref="F12:G12"/>
    <mergeCell ref="H12:I12"/>
    <mergeCell ref="F11:G11"/>
    <mergeCell ref="C15:D15"/>
    <mergeCell ref="A29:C29"/>
    <mergeCell ref="F10:G10"/>
    <mergeCell ref="H10:I10"/>
    <mergeCell ref="J10:K10"/>
    <mergeCell ref="J9:K9"/>
    <mergeCell ref="A27:B27"/>
    <mergeCell ref="C27:D27"/>
    <mergeCell ref="A30:C30"/>
    <mergeCell ref="C24:D24"/>
    <mergeCell ref="F20:L20"/>
    <mergeCell ref="F21:G21"/>
    <mergeCell ref="C20:D20"/>
    <mergeCell ref="C21:D21"/>
    <mergeCell ref="C25:D25"/>
    <mergeCell ref="C23:D23"/>
    <mergeCell ref="C22:D22"/>
    <mergeCell ref="F25:G25"/>
    <mergeCell ref="A35:C35"/>
    <mergeCell ref="F37:K37"/>
    <mergeCell ref="A36:C36"/>
    <mergeCell ref="J40:K40"/>
    <mergeCell ref="L40:M40"/>
    <mergeCell ref="L31:M31"/>
    <mergeCell ref="L32:M32"/>
    <mergeCell ref="L35:M35"/>
    <mergeCell ref="L36:M36"/>
    <mergeCell ref="L37:M37"/>
    <mergeCell ref="F36:K36"/>
    <mergeCell ref="A31:C31"/>
    <mergeCell ref="A32:C32"/>
    <mergeCell ref="F38:K38"/>
    <mergeCell ref="L38:M38"/>
    <mergeCell ref="F39:K39"/>
    <mergeCell ref="L39:M39"/>
    <mergeCell ref="AM282:AO282"/>
    <mergeCell ref="AP282:AR282"/>
    <mergeCell ref="J120:K120"/>
    <mergeCell ref="J121:K121"/>
    <mergeCell ref="A33:C33"/>
    <mergeCell ref="A34:C34"/>
    <mergeCell ref="F31:K31"/>
    <mergeCell ref="AX30:BA30"/>
    <mergeCell ref="AY48:AZ48"/>
    <mergeCell ref="AX41:AZ41"/>
    <mergeCell ref="AY42:AZ42"/>
    <mergeCell ref="AY43:AZ43"/>
    <mergeCell ref="AY44:AZ44"/>
    <mergeCell ref="AY45:AZ45"/>
    <mergeCell ref="AY46:AZ46"/>
    <mergeCell ref="AY47:AZ47"/>
    <mergeCell ref="AX34:BA34"/>
    <mergeCell ref="A40:B40"/>
    <mergeCell ref="A41:B41"/>
    <mergeCell ref="A39:D39"/>
    <mergeCell ref="C40:G40"/>
    <mergeCell ref="C41:G41"/>
    <mergeCell ref="A37:C37"/>
    <mergeCell ref="L30:M30"/>
    <mergeCell ref="J124:K124"/>
    <mergeCell ref="G123:I123"/>
    <mergeCell ref="J122:K122"/>
    <mergeCell ref="L116:M116"/>
    <mergeCell ref="J117:K117"/>
    <mergeCell ref="F32:K32"/>
    <mergeCell ref="F35:K35"/>
    <mergeCell ref="AV282:AX282"/>
    <mergeCell ref="AS282:AU282"/>
    <mergeCell ref="AJ282:AL282"/>
    <mergeCell ref="L124:M124"/>
    <mergeCell ref="L125:M125"/>
    <mergeCell ref="J115:K115"/>
    <mergeCell ref="J116:K116"/>
    <mergeCell ref="G125:I125"/>
    <mergeCell ref="J125:K125"/>
    <mergeCell ref="L117:M117"/>
    <mergeCell ref="L118:M118"/>
    <mergeCell ref="L119:M119"/>
    <mergeCell ref="L120:M120"/>
    <mergeCell ref="L121:M121"/>
    <mergeCell ref="L122:M122"/>
    <mergeCell ref="L123:M123"/>
    <mergeCell ref="G124:I124"/>
    <mergeCell ref="J118:K118"/>
    <mergeCell ref="J119:K119"/>
    <mergeCell ref="J123:K123"/>
    <mergeCell ref="L115:M115"/>
    <mergeCell ref="L19:M19"/>
    <mergeCell ref="L9:M9"/>
    <mergeCell ref="L28:M28"/>
    <mergeCell ref="L29:M29"/>
    <mergeCell ref="F30:K30"/>
    <mergeCell ref="J13:K13"/>
    <mergeCell ref="J14:K14"/>
    <mergeCell ref="L10:M10"/>
    <mergeCell ref="F27:G27"/>
    <mergeCell ref="H27:I27"/>
    <mergeCell ref="F33:K34"/>
    <mergeCell ref="L33:M34"/>
    <mergeCell ref="N3:Q3"/>
    <mergeCell ref="N29:O29"/>
    <mergeCell ref="N30:O30"/>
    <mergeCell ref="P29:Q29"/>
    <mergeCell ref="P30:Q30"/>
    <mergeCell ref="F8:G8"/>
    <mergeCell ref="F7:G7"/>
    <mergeCell ref="F5:G5"/>
    <mergeCell ref="H5:I5"/>
    <mergeCell ref="N15:O15"/>
    <mergeCell ref="P15:Q15"/>
    <mergeCell ref="P21:Q22"/>
    <mergeCell ref="P20:Q20"/>
    <mergeCell ref="P18:Q18"/>
    <mergeCell ref="N21:O22"/>
    <mergeCell ref="P19:Q19"/>
    <mergeCell ref="P16:Q16"/>
    <mergeCell ref="P17:Q17"/>
    <mergeCell ref="N19:O19"/>
    <mergeCell ref="N20:O20"/>
    <mergeCell ref="H7:I7"/>
    <mergeCell ref="J6:K6"/>
    <mergeCell ref="J7:K7"/>
    <mergeCell ref="J8:K8"/>
  </mergeCells>
  <conditionalFormatting sqref="J11:K11">
    <cfRule type="expression" dxfId="74" priority="175">
      <formula>$H$11=$BC$3</formula>
    </cfRule>
  </conditionalFormatting>
  <conditionalFormatting sqref="J11:M11">
    <cfRule type="expression" dxfId="73" priority="176">
      <formula>$H$11=$BC$4</formula>
    </cfRule>
  </conditionalFormatting>
  <conditionalFormatting sqref="F18 H18:M18">
    <cfRule type="expression" dxfId="72" priority="178">
      <formula>$F$18=$BC$7</formula>
    </cfRule>
  </conditionalFormatting>
  <conditionalFormatting sqref="H17:M17">
    <cfRule type="expression" dxfId="71" priority="179">
      <formula>$F$17=$BC$7</formula>
    </cfRule>
  </conditionalFormatting>
  <conditionalFormatting sqref="G16:M16">
    <cfRule type="expression" dxfId="70" priority="180">
      <formula>$F$16=$BC$7</formula>
    </cfRule>
  </conditionalFormatting>
  <conditionalFormatting sqref="H7:M7 F8:G8 J8:M8">
    <cfRule type="expression" dxfId="69" priority="39">
      <formula>$AN$10=4</formula>
    </cfRule>
  </conditionalFormatting>
  <conditionalFormatting sqref="O6:Q6 O7:O11">
    <cfRule type="expression" dxfId="68" priority="235">
      <formula>$N$6=$AF$2</formula>
    </cfRule>
  </conditionalFormatting>
  <conditionalFormatting sqref="O7:Q7">
    <cfRule type="expression" dxfId="67" priority="236">
      <formula>$N$7=$AF$2</formula>
    </cfRule>
  </conditionalFormatting>
  <conditionalFormatting sqref="O8:Q8">
    <cfRule type="expression" dxfId="66" priority="237">
      <formula>$N$8=$AF$2</formula>
    </cfRule>
  </conditionalFormatting>
  <conditionalFormatting sqref="O9:Q9">
    <cfRule type="expression" dxfId="65" priority="238">
      <formula>$N$9=$AF$2</formula>
    </cfRule>
  </conditionalFormatting>
  <conditionalFormatting sqref="O10:Q10">
    <cfRule type="expression" dxfId="64" priority="239">
      <formula>$N$10=$AF$2</formula>
    </cfRule>
  </conditionalFormatting>
  <conditionalFormatting sqref="O11:Q11">
    <cfRule type="expression" dxfId="63" priority="240">
      <formula>$N$11=$AF$2</formula>
    </cfRule>
  </conditionalFormatting>
  <conditionalFormatting sqref="L5:M6">
    <cfRule type="expression" dxfId="62" priority="30">
      <formula>EXACT($H$5,$AK$4)</formula>
    </cfRule>
  </conditionalFormatting>
  <conditionalFormatting sqref="H6:I6">
    <cfRule type="expression" dxfId="61" priority="29">
      <formula>EXACT($H$5,$AK$4)</formula>
    </cfRule>
  </conditionalFormatting>
  <conditionalFormatting sqref="J5:K6">
    <cfRule type="expression" dxfId="60" priority="28">
      <formula>EXACT($H$5,$AK$4)</formula>
    </cfRule>
  </conditionalFormatting>
  <conditionalFormatting sqref="F6:G6">
    <cfRule type="expression" dxfId="59" priority="27">
      <formula>EXACT($H$5,$AK$4)</formula>
    </cfRule>
  </conditionalFormatting>
  <conditionalFormatting sqref="M4">
    <cfRule type="expression" dxfId="58" priority="26">
      <formula>$H$4&lt;6700</formula>
    </cfRule>
  </conditionalFormatting>
  <conditionalFormatting sqref="G17:G18">
    <cfRule type="expression" dxfId="57" priority="25">
      <formula>$F$17=$BC$7</formula>
    </cfRule>
  </conditionalFormatting>
  <conditionalFormatting sqref="L8:M8">
    <cfRule type="expression" dxfId="56" priority="247">
      <formula>$AM$2=1</formula>
    </cfRule>
    <cfRule type="expression" dxfId="55" priority="248">
      <formula>$AN$10=4</formula>
    </cfRule>
  </conditionalFormatting>
  <conditionalFormatting sqref="J7:M8">
    <cfRule type="expression" dxfId="54" priority="252">
      <formula>$AM$2=1</formula>
    </cfRule>
  </conditionalFormatting>
  <conditionalFormatting sqref="L6:M6">
    <cfRule type="expression" dxfId="53" priority="24">
      <formula>$AN$10=4</formula>
    </cfRule>
  </conditionalFormatting>
  <conditionalFormatting sqref="J6:K6">
    <cfRule type="expression" dxfId="52" priority="23">
      <formula>$AN$10=4</formula>
    </cfRule>
  </conditionalFormatting>
  <conditionalFormatting sqref="N16:N18 O16:O17">
    <cfRule type="cellIs" dxfId="51" priority="22" operator="equal">
      <formula>0</formula>
    </cfRule>
  </conditionalFormatting>
  <conditionalFormatting sqref="L36:M37 L39:M39">
    <cfRule type="expression" dxfId="50" priority="12">
      <formula>OR($L$33=$A$61,$L$33=$A$62)</formula>
    </cfRule>
  </conditionalFormatting>
  <conditionalFormatting sqref="F36:K37 F39:K39">
    <cfRule type="expression" dxfId="49" priority="11">
      <formula>OR($L$33=$A$61,$L$33=$A$62)</formula>
    </cfRule>
  </conditionalFormatting>
  <conditionalFormatting sqref="H4">
    <cfRule type="expression" dxfId="48" priority="10">
      <formula>$C$26="UGC"</formula>
    </cfRule>
  </conditionalFormatting>
  <conditionalFormatting sqref="J4">
    <cfRule type="expression" dxfId="47" priority="9">
      <formula>$C$26="RPS"</formula>
    </cfRule>
  </conditionalFormatting>
  <conditionalFormatting sqref="I4">
    <cfRule type="expression" dxfId="46" priority="8">
      <formula>$C$26="UGC"</formula>
    </cfRule>
  </conditionalFormatting>
  <conditionalFormatting sqref="H8:I8">
    <cfRule type="expression" dxfId="45" priority="1">
      <formula>$AN$10=4</formula>
    </cfRule>
  </conditionalFormatting>
  <conditionalFormatting sqref="H8:I8">
    <cfRule type="expression" dxfId="44" priority="2">
      <formula>$AM$2=1</formula>
    </cfRule>
    <cfRule type="expression" dxfId="43" priority="3">
      <formula>$AN$10=4</formula>
    </cfRule>
  </conditionalFormatting>
  <conditionalFormatting sqref="H8:I8">
    <cfRule type="expression" dxfId="42" priority="4">
      <formula>$AM$2=1</formula>
    </cfRule>
  </conditionalFormatting>
  <dataValidations xWindow="691" yWindow="501" count="75">
    <dataValidation type="list" allowBlank="1" showInputMessage="1" showErrorMessage="1" sqref="N6:N11">
      <formula1>$AF$2:$AF$4</formula1>
    </dataValidation>
    <dataValidation type="list" allowBlank="1" showInputMessage="1" showErrorMessage="1" sqref="P6:Q11">
      <formula1>$BJ$4:$BJ$34</formula1>
    </dataValidation>
    <dataValidation type="list" allowBlank="1" showInputMessage="1" showErrorMessage="1" sqref="L26">
      <formula1>"50,100"</formula1>
    </dataValidation>
    <dataValidation type="list" allowBlank="1" showInputMessage="1" showErrorMessage="1" sqref="J24:K24">
      <formula1>$CA$2:$CA$6</formula1>
    </dataValidation>
    <dataValidation type="list" allowBlank="1" showInputMessage="1" showErrorMessage="1" sqref="F22:G22">
      <formula1>$CA$20:$CA$24</formula1>
    </dataValidation>
    <dataValidation type="list" allowBlank="1" showInputMessage="1" showErrorMessage="1" promptTitle="Pay Bill Including" prompt="Month" sqref="H19:I19">
      <formula1>$BL$15:$BL$17</formula1>
    </dataValidation>
    <dataValidation type="list" allowBlank="1" showInputMessage="1" showErrorMessage="1" sqref="L19:M19">
      <formula1>$BL$16:$BL$17</formula1>
    </dataValidation>
    <dataValidation type="list" allowBlank="1" showInputMessage="1" showErrorMessage="1" sqref="L16:L18">
      <formula1>$BZ$23:$BZ$24</formula1>
    </dataValidation>
    <dataValidation type="list" allowBlank="1" showInputMessage="1" showErrorMessage="1" sqref="Y15 K17:K18">
      <formula1>$CF$2:$CF$5</formula1>
    </dataValidation>
    <dataValidation type="list" allowBlank="1" showInputMessage="1" showErrorMessage="1" sqref="M16:M18">
      <formula1>$AX$4:$BA$4</formula1>
    </dataValidation>
    <dataValidation type="list" allowBlank="1" showInputMessage="1" showErrorMessage="1" sqref="J16:J18">
      <formula1>$AX$35:$BA$35</formula1>
    </dataValidation>
    <dataValidation type="list" allowBlank="1" showInputMessage="1" showErrorMessage="1" sqref="F16:F18">
      <formula1>$BC$7:$BC$8</formula1>
    </dataValidation>
    <dataValidation type="list" allowBlank="1" showInputMessage="1" showErrorMessage="1" sqref="H16">
      <formula1>$BJ$4:$BJ$31</formula1>
    </dataValidation>
    <dataValidation type="list" allowBlank="1" showInputMessage="1" showErrorMessage="1" sqref="H17">
      <formula1>$BW$4:$BW$34</formula1>
    </dataValidation>
    <dataValidation type="list" allowBlank="1" showInputMessage="1" showErrorMessage="1" sqref="H18">
      <formula1>$BX$4:$BX$34</formula1>
    </dataValidation>
    <dataValidation type="list" allowBlank="1" showInputMessage="1" showErrorMessage="1" sqref="H26:I26">
      <formula1>"20"</formula1>
    </dataValidation>
    <dataValidation type="list" allowBlank="1" showInputMessage="1" showErrorMessage="1" sqref="G17:G18">
      <formula1>$BL$4:$BL$15</formula1>
    </dataValidation>
    <dataValidation type="list" allowBlank="1" showInputMessage="1" showErrorMessage="1" sqref="L4">
      <formula1>$BM$4:$BM$16</formula1>
    </dataValidation>
    <dataValidation type="list" allowBlank="1" showInputMessage="1" showErrorMessage="1" sqref="C19">
      <formula1>$M$284:$M$350</formula1>
    </dataValidation>
    <dataValidation type="list" allowBlank="1" showInputMessage="1" showErrorMessage="1" sqref="C12:D12">
      <formula1>$CD$26:$CD$28</formula1>
    </dataValidation>
    <dataValidation type="list" allowBlank="1" showInputMessage="1" showErrorMessage="1" sqref="H11:I11">
      <formula1>$BC$2:$BC$4</formula1>
    </dataValidation>
    <dataValidation type="list" allowBlank="1" showInputMessage="1" showErrorMessage="1" sqref="L10">
      <formula1>$CC$27:$CC$28</formula1>
    </dataValidation>
    <dataValidation type="list" allowBlank="1" showInputMessage="1" showErrorMessage="1" sqref="H10:I10">
      <formula1>$BH$4:$BH$6</formula1>
    </dataValidation>
    <dataValidation type="list" allowBlank="1" showInputMessage="1" showErrorMessage="1" sqref="L8:M8">
      <formula1>$BS$5:$BS$16</formula1>
    </dataValidation>
    <dataValidation type="list" allowBlank="1" showInputMessage="1" showErrorMessage="1" sqref="L7">
      <formula1>$BL$3:$BL$15</formula1>
    </dataValidation>
    <dataValidation type="list" allowBlank="1" showInputMessage="1" showErrorMessage="1" sqref="M5">
      <formula1>$BQ$4:$BQ$34</formula1>
    </dataValidation>
    <dataValidation type="list" allowBlank="1" showInputMessage="1" showErrorMessage="1" sqref="H7:I7">
      <formula1>$AM$3:$AM$6</formula1>
    </dataValidation>
    <dataValidation type="list" allowBlank="1" showInputMessage="1" showErrorMessage="1" sqref="L5">
      <formula1>$BK$4:$BK$17</formula1>
    </dataValidation>
    <dataValidation type="list" allowBlank="1" showInputMessage="1" showErrorMessage="1" sqref="L6:M6">
      <formula1>$BP$4:$BP$16</formula1>
    </dataValidation>
    <dataValidation allowBlank="1" showInputMessage="1" showErrorMessage="1" promptTitle="DATE" prompt="IFany change Put date " sqref="AG6 X15:X16"/>
    <dataValidation type="list" allowBlank="1" showInputMessage="1" showErrorMessage="1" sqref="C8">
      <formula1>$K$284:$K$350</formula1>
    </dataValidation>
    <dataValidation type="list" allowBlank="1" showInputMessage="1" showErrorMessage="1" sqref="A30:A34 A29:C29">
      <formula1>$B$114:$B$124</formula1>
    </dataValidation>
    <dataValidation type="list" allowBlank="1" showInputMessage="1" showErrorMessage="1" promptTitle="RPS-2015 PAY" prompt="." sqref="H4">
      <formula1>$X$66:$X$152</formula1>
    </dataValidation>
    <dataValidation type="list" allowBlank="1" showInputMessage="1" showErrorMessage="1" sqref="H5:I5">
      <formula1>$AK$3:$AK$4</formula1>
    </dataValidation>
    <dataValidation type="list" allowBlank="1" showInputMessage="1" showErrorMessage="1" sqref="M4">
      <formula1>$BO$4:$BO$34</formula1>
    </dataValidation>
    <dataValidation type="list" allowBlank="1" showInputMessage="1" showErrorMessage="1" sqref="M7">
      <formula1>$BT$4:$BT$34</formula1>
    </dataValidation>
    <dataValidation type="list" allowBlank="1" showInputMessage="1" showErrorMessage="1" sqref="F12:G13 J12:K13">
      <formula1>$G$115:$G$121</formula1>
    </dataValidation>
    <dataValidation type="list" allowBlank="1" showInputMessage="1" showErrorMessage="1" sqref="A36:C36">
      <formula1>$B$107:$B$108</formula1>
    </dataValidation>
    <dataValidation type="list" allowBlank="1" showInputMessage="1" showErrorMessage="1" sqref="L22:L25 L27">
      <formula1>$BZ$2:$BZ$15</formula1>
    </dataValidation>
    <dataValidation type="list" allowBlank="1" showInputMessage="1" showErrorMessage="1" sqref="O6:O11 G16">
      <formula1>$BL$2:$BL$15</formula1>
    </dataValidation>
    <dataValidation type="textLength" operator="equal" allowBlank="1" showInputMessage="1" showErrorMessage="1" errorTitle="PAN" error="PAN Must be 5 Leters_x000a_4-Numbers_x000a_1-Leater" promptTitle="PAN" prompt="Compulsory Requirement to furnish PAN by employee (Section 206AA)" sqref="C11:D11">
      <formula1>10</formula1>
    </dataValidation>
    <dataValidation type="list" allowBlank="1" showInputMessage="1" showErrorMessage="1" sqref="H27:I27">
      <formula1>$BL$2</formula1>
    </dataValidation>
    <dataValidation type="list" allowBlank="1" showInputMessage="1" showErrorMessage="1" sqref="J27:K27">
      <formula1>"0,90,120"</formula1>
    </dataValidation>
    <dataValidation type="list" allowBlank="1" showInputMessage="1" showErrorMessage="1" sqref="C26">
      <formula1>"UGC,RPS"</formula1>
    </dataValidation>
    <dataValidation type="list" allowBlank="1" showInputMessage="1" showErrorMessage="1" sqref="L33:M34">
      <formula1>$A$60:$A$62</formula1>
    </dataValidation>
    <dataValidation allowBlank="1" showInputMessage="1" showErrorMessage="1" promptTitle="Rent Receieved" prompt="Higher if let out for whole of the year, lower if let out for part of the year " sqref="L36:M36"/>
    <dataValidation allowBlank="1" showInputMessage="1" showErrorMessage="1" promptTitle="UGC-2006 PAY" prompt="." sqref="J4"/>
    <dataValidation type="list" allowBlank="1" showInputMessage="1" showErrorMessage="1" sqref="C5:D5">
      <formula1>$F$333:$F$371</formula1>
    </dataValidation>
    <dataValidation type="list" allowBlank="1" showInputMessage="1" showErrorMessage="1" sqref="C22:D22">
      <formula1>$F$371:$F$382</formula1>
    </dataValidation>
    <dataValidation type="list" allowBlank="1" showInputMessage="1" showErrorMessage="1" sqref="J11">
      <formula1>IF(OR($H$11=$BC$4,$BC$5=$H$11),$BL$4:$BL$15,IF($H$11=$BC$3,$BK$5:$BK$16,$BP$4:$BP$15))</formula1>
    </dataValidation>
    <dataValidation type="list" allowBlank="1" showInputMessage="1" showErrorMessage="1" sqref="K11">
      <formula1>IF($H$11=$BC$2,$BE$2,$BE$3:$BE$4)</formula1>
    </dataValidation>
    <dataValidation type="list" allowBlank="1" showInputMessage="1" showErrorMessage="1" sqref="L11">
      <formula1>IF($H$11=$BC$4,$BL$2:$BL$3,$BM$2)</formula1>
    </dataValidation>
    <dataValidation type="list" allowBlank="1" showInputMessage="1" showErrorMessage="1" sqref="M11">
      <formula1>IF($H$11=$BC$4,$BE$3:$BE$4,$BE$2)</formula1>
    </dataValidation>
    <dataValidation type="list" allowBlank="1" showInputMessage="1" showErrorMessage="1" promptTitle="RPS-2010 PAY" prompt="." sqref="I4">
      <formula1>$S$62:$S$150</formula1>
    </dataValidation>
    <dataValidation type="list" allowBlank="1" showInputMessage="1" showErrorMessage="1" sqref="F19">
      <formula1>$BG$11:$BG$12</formula1>
    </dataValidation>
    <dataValidation type="list" allowBlank="1" showInputMessage="1" showErrorMessage="1" sqref="C18:D18 C7:D7">
      <formula1>$N$284:$N$306</formula1>
    </dataValidation>
    <dataValidation type="list" allowBlank="1" showInputMessage="1" showErrorMessage="1" sqref="C27">
      <formula1>$BL$7:$BL$17</formula1>
    </dataValidation>
    <dataValidation type="list" allowBlank="1" showInputMessage="1" showErrorMessage="1" promptTitle="RPS-2015" prompt="." sqref="H6">
      <formula1>$YT$2:$YT$33</formula1>
    </dataValidation>
    <dataValidation type="list" allowBlank="1" showInputMessage="1" showErrorMessage="1" promptTitle="RPS 2010" prompt="." sqref="I6">
      <formula1>$YU$2:$YU$33</formula1>
    </dataValidation>
    <dataValidation type="list" allowBlank="1" showInputMessage="1" showErrorMessage="1" sqref="K16">
      <formula1>$CE$2:$CE$5</formula1>
    </dataValidation>
    <dataValidation type="list" allowBlank="1" showInputMessage="1" showErrorMessage="1" sqref="J19:K19">
      <formula1>$BG$13:$BG$14</formula1>
    </dataValidation>
    <dataValidation type="list" allowBlank="1" showInputMessage="1" showErrorMessage="1" sqref="AH6 Y16">
      <formula1>$CH$2:$CH$5</formula1>
    </dataValidation>
    <dataValidation type="list" allowBlank="1" showInputMessage="1" showErrorMessage="1" sqref="I18">
      <formula1>IF($G$18&lt;$CL$3,$CK$4:$CK$8,$CL$4:$CL$8)</formula1>
    </dataValidation>
    <dataValidation type="list" allowBlank="1" showInputMessage="1" showErrorMessage="1" sqref="I16">
      <formula1>IF($G$16&lt;$CL$3,$CK$4:$CK$8,$CL$4:$CL$8)</formula1>
    </dataValidation>
    <dataValidation type="list" allowBlank="1" showInputMessage="1" showErrorMessage="1" sqref="I17">
      <formula1>IF($G$17&lt;$CL$3,$CK$4:$CK$8,$CL$4:$CL$8)</formula1>
    </dataValidation>
    <dataValidation type="list" allowBlank="1" showInputMessage="1" showErrorMessage="1" sqref="L9:M9">
      <formula1>$CG$2:$CG$5</formula1>
    </dataValidation>
    <dataValidation type="list" allowBlank="1" showInputMessage="1" showErrorMessage="1" promptTitle="RPS-2015" prompt="._x000a_" sqref="H8">
      <formula1>$YT$2:$YT$33</formula1>
    </dataValidation>
    <dataValidation type="list" allowBlank="1" showInputMessage="1" showErrorMessage="1" promptTitle="RPS-2010" prompt="._x000a_" sqref="I8">
      <formula1>$YU$2:$YU$33</formula1>
    </dataValidation>
    <dataValidation allowBlank="1" showInputMessage="1" showErrorMessage="1" promptTitle="CPS Employer Contribution" prompt="Employer's contribution toward NPS (up to 10%) (u/s 80CCD(I)) ." sqref="L14"/>
    <dataValidation allowBlank="1" showInputMessage="1" showErrorMessage="1" promptTitle="Additional Contribution 80CCD1B" prompt="Additional contribution towards NPS [u/s 80CCD(1B)]." sqref="M14"/>
    <dataValidation type="list" allowBlank="1" showInputMessage="1" showErrorMessage="1" sqref="F35:K35">
      <formula1>$B$140:$B$142</formula1>
    </dataValidation>
    <dataValidation type="list" allowBlank="1" showInputMessage="1" showErrorMessage="1" sqref="F32:K32">
      <formula1>$B$143:$B$144</formula1>
    </dataValidation>
    <dataValidation type="list" allowBlank="1" showInputMessage="1" showErrorMessage="1" sqref="F30:K31">
      <formula1>$B$129:$B$139</formula1>
    </dataValidation>
    <dataValidation type="list" allowBlank="1" showInputMessage="1" showErrorMessage="1" sqref="F29:K29">
      <formula1>$B$129:$B$139</formula1>
    </dataValidation>
    <dataValidation type="list" allowBlank="1" showInputMessage="1" showErrorMessage="1" promptTitle="DA " prompt="JANUARY DA Credit to GPF UP TO ( MONTH)" sqref="M20">
      <formula1>$BL$14:$BL$17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60" r:id="rId7" name="Drop Down 4">
              <controlPr defaultSize="0" autoLine="0" autoPict="0">
                <anchor moveWithCells="1">
                  <from>
                    <xdr:col>1</xdr:col>
                    <xdr:colOff>800100</xdr:colOff>
                    <xdr:row>20</xdr:row>
                    <xdr:rowOff>9525</xdr:rowOff>
                  </from>
                  <to>
                    <xdr:col>1</xdr:col>
                    <xdr:colOff>1343025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8" name="Drop Down 6">
              <controlPr defaultSize="0" autoLine="0" autoPict="0">
                <anchor moveWithCells="1">
                  <from>
                    <xdr:col>2</xdr:col>
                    <xdr:colOff>581025</xdr:colOff>
                    <xdr:row>12</xdr:row>
                    <xdr:rowOff>0</xdr:rowOff>
                  </from>
                  <to>
                    <xdr:col>3</xdr:col>
                    <xdr:colOff>971550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9" name="Drop Down 37">
              <controlPr defaultSize="0" autoLine="0" autoPict="0">
                <anchor moveWithCells="1">
                  <from>
                    <xdr:col>1</xdr:col>
                    <xdr:colOff>876300</xdr:colOff>
                    <xdr:row>3</xdr:row>
                    <xdr:rowOff>0</xdr:rowOff>
                  </from>
                  <to>
                    <xdr:col>1</xdr:col>
                    <xdr:colOff>1381125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7" r:id="rId10" name="Drop Down 121">
              <controlPr defaultSize="0" autoLine="0" autoPict="0">
                <anchor moveWithCells="1">
                  <from>
                    <xdr:col>1</xdr:col>
                    <xdr:colOff>1190625</xdr:colOff>
                    <xdr:row>8</xdr:row>
                    <xdr:rowOff>38100</xdr:rowOff>
                  </from>
                  <to>
                    <xdr:col>2</xdr:col>
                    <xdr:colOff>47625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8" r:id="rId11" name="Drop Down 122">
              <controlPr defaultSize="0" autoLine="0" autoPict="0">
                <anchor moveWithCells="1">
                  <from>
                    <xdr:col>2</xdr:col>
                    <xdr:colOff>371475</xdr:colOff>
                    <xdr:row>8</xdr:row>
                    <xdr:rowOff>28575</xdr:rowOff>
                  </from>
                  <to>
                    <xdr:col>3</xdr:col>
                    <xdr:colOff>333375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9" r:id="rId12" name="Drop Down 123">
              <controlPr defaultSize="0" autoLine="0" autoPict="0">
                <anchor moveWithCells="1">
                  <from>
                    <xdr:col>3</xdr:col>
                    <xdr:colOff>438150</xdr:colOff>
                    <xdr:row>8</xdr:row>
                    <xdr:rowOff>19050</xdr:rowOff>
                  </from>
                  <to>
                    <xdr:col>4</xdr:col>
                    <xdr:colOff>9525</xdr:colOff>
                    <xdr:row>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86"/>
  <sheetViews>
    <sheetView workbookViewId="0">
      <selection activeCell="H6" sqref="H6:H8"/>
    </sheetView>
  </sheetViews>
  <sheetFormatPr defaultRowHeight="14.25"/>
  <cols>
    <col min="1" max="1" width="11" style="395" customWidth="1"/>
    <col min="2" max="2" width="9.140625" style="395" hidden="1" customWidth="1"/>
    <col min="3" max="3" width="12.7109375" style="395" customWidth="1"/>
    <col min="4" max="4" width="19.42578125" style="395" customWidth="1"/>
    <col min="5" max="5" width="18.28515625" style="395" customWidth="1"/>
    <col min="6" max="6" width="20.7109375" style="395" customWidth="1"/>
    <col min="7" max="7" width="20.140625" style="395" customWidth="1"/>
    <col min="8" max="8" width="24.7109375" style="395" customWidth="1"/>
    <col min="9" max="9" width="17.5703125" style="395" customWidth="1"/>
    <col min="10" max="11" width="9.140625" style="395"/>
    <col min="12" max="22" width="0" style="395" hidden="1" customWidth="1"/>
    <col min="23" max="16384" width="9.140625" style="395"/>
  </cols>
  <sheetData>
    <row r="1" spans="1:15" ht="39" customHeight="1" thickTop="1" thickBot="1">
      <c r="A1" s="1122" t="s">
        <v>0</v>
      </c>
      <c r="B1" s="1119" t="s">
        <v>1503</v>
      </c>
      <c r="C1" s="1119" t="s">
        <v>1504</v>
      </c>
      <c r="D1" s="1118" t="s">
        <v>1661</v>
      </c>
      <c r="E1" s="1118"/>
      <c r="F1" s="1118"/>
      <c r="G1" s="1118"/>
      <c r="H1" s="1121" t="s">
        <v>1621</v>
      </c>
      <c r="I1" s="1116"/>
      <c r="J1" s="1116"/>
      <c r="M1" s="395">
        <v>6700</v>
      </c>
      <c r="N1" s="395">
        <v>13000</v>
      </c>
      <c r="O1" s="395">
        <f>Main!C27</f>
        <v>42186</v>
      </c>
    </row>
    <row r="2" spans="1:15" ht="82.5" customHeight="1" thickTop="1" thickBot="1">
      <c r="A2" s="1122"/>
      <c r="B2" s="1119"/>
      <c r="C2" s="1119"/>
      <c r="D2" s="391" t="s">
        <v>1660</v>
      </c>
      <c r="E2" s="391" t="s">
        <v>1737</v>
      </c>
      <c r="F2" s="391" t="s">
        <v>1662</v>
      </c>
      <c r="G2" s="391" t="s">
        <v>1663</v>
      </c>
      <c r="H2" s="1121"/>
      <c r="I2" s="1116"/>
      <c r="J2" s="1116"/>
      <c r="M2" s="395">
        <v>6900</v>
      </c>
      <c r="N2" s="395">
        <v>13390</v>
      </c>
    </row>
    <row r="3" spans="1:15" ht="24.95" customHeight="1" thickTop="1" thickBot="1">
      <c r="A3" s="389">
        <f>Main!BZ2</f>
        <v>42064</v>
      </c>
      <c r="B3" s="380">
        <f>D3</f>
        <v>0</v>
      </c>
      <c r="C3" s="390">
        <f>'IN RPS-2015'!R149</f>
        <v>25600</v>
      </c>
      <c r="D3" s="392"/>
      <c r="E3" s="428">
        <v>4003087</v>
      </c>
      <c r="F3" s="428" t="s">
        <v>1932</v>
      </c>
      <c r="G3" s="393">
        <f>EOMONTH(A3,1)</f>
        <v>42124</v>
      </c>
      <c r="H3" s="1120" t="s">
        <v>1968</v>
      </c>
      <c r="M3" s="395">
        <v>7100</v>
      </c>
      <c r="N3" s="395">
        <v>13780</v>
      </c>
    </row>
    <row r="4" spans="1:15" ht="24.95" customHeight="1" thickTop="1" thickBot="1">
      <c r="A4" s="389">
        <f>Main!BZ3</f>
        <v>42095</v>
      </c>
      <c r="B4" s="380">
        <f t="shared" ref="B4:B14" si="0">D4</f>
        <v>0</v>
      </c>
      <c r="C4" s="727">
        <f>'IN RPS-2015'!R150</f>
        <v>25600</v>
      </c>
      <c r="D4" s="392"/>
      <c r="E4" s="428">
        <v>4012483</v>
      </c>
      <c r="F4" s="428" t="s">
        <v>1933</v>
      </c>
      <c r="G4" s="393">
        <f t="shared" ref="G4:G14" si="1">EOMONTH(A4,1)</f>
        <v>42155</v>
      </c>
      <c r="H4" s="1120"/>
      <c r="M4" s="395">
        <v>7300</v>
      </c>
      <c r="N4" s="395">
        <v>14170</v>
      </c>
    </row>
    <row r="5" spans="1:15" ht="24.95" customHeight="1" thickTop="1" thickBot="1">
      <c r="A5" s="389">
        <f>Main!BZ4</f>
        <v>42125</v>
      </c>
      <c r="B5" s="380">
        <f t="shared" si="0"/>
        <v>0</v>
      </c>
      <c r="C5" s="727">
        <f>'IN RPS-2015'!R151</f>
        <v>25600</v>
      </c>
      <c r="D5" s="392"/>
      <c r="E5" s="428">
        <v>6012485</v>
      </c>
      <c r="F5" s="428" t="s">
        <v>1934</v>
      </c>
      <c r="G5" s="393">
        <f t="shared" si="1"/>
        <v>42185</v>
      </c>
      <c r="H5" s="1120"/>
      <c r="M5" s="395">
        <v>7520</v>
      </c>
      <c r="N5" s="395">
        <v>14600</v>
      </c>
    </row>
    <row r="6" spans="1:15" ht="24.95" customHeight="1" thickTop="1" thickBot="1">
      <c r="A6" s="389">
        <f>Main!BZ5</f>
        <v>42156</v>
      </c>
      <c r="B6" s="380">
        <f t="shared" si="0"/>
        <v>0</v>
      </c>
      <c r="C6" s="727">
        <f>'IN RPS-2015'!R152</f>
        <v>25600</v>
      </c>
      <c r="D6" s="392"/>
      <c r="E6" s="428">
        <v>4027448</v>
      </c>
      <c r="F6" s="428" t="s">
        <v>1935</v>
      </c>
      <c r="G6" s="393">
        <f t="shared" si="1"/>
        <v>42216</v>
      </c>
      <c r="H6" s="1120" t="s">
        <v>1969</v>
      </c>
      <c r="M6" s="395">
        <v>7740</v>
      </c>
      <c r="N6" s="395">
        <v>15030</v>
      </c>
    </row>
    <row r="7" spans="1:15" ht="24.95" customHeight="1" thickTop="1" thickBot="1">
      <c r="A7" s="389">
        <f>Main!BZ6</f>
        <v>42186</v>
      </c>
      <c r="B7" s="380">
        <f t="shared" si="0"/>
        <v>0</v>
      </c>
      <c r="C7" s="727">
        <f>'IN RPS-2015'!R153</f>
        <v>53950</v>
      </c>
      <c r="D7" s="392"/>
      <c r="E7" s="428">
        <v>2027759</v>
      </c>
      <c r="F7" s="428" t="s">
        <v>1936</v>
      </c>
      <c r="G7" s="393">
        <f t="shared" si="1"/>
        <v>42247</v>
      </c>
      <c r="H7" s="1120"/>
      <c r="M7" s="395">
        <v>7960</v>
      </c>
      <c r="N7" s="395">
        <v>15460</v>
      </c>
    </row>
    <row r="8" spans="1:15" ht="24.95" customHeight="1" thickTop="1" thickBot="1">
      <c r="A8" s="389">
        <f>Main!BZ7</f>
        <v>42217</v>
      </c>
      <c r="B8" s="380">
        <f t="shared" si="0"/>
        <v>0</v>
      </c>
      <c r="C8" s="727">
        <f>'IN RPS-2015'!R154</f>
        <v>53950</v>
      </c>
      <c r="D8" s="392"/>
      <c r="E8" s="428">
        <v>4028285</v>
      </c>
      <c r="F8" s="428" t="s">
        <v>1937</v>
      </c>
      <c r="G8" s="393">
        <f t="shared" si="1"/>
        <v>42277</v>
      </c>
      <c r="H8" s="1120"/>
      <c r="M8" s="395">
        <v>8200</v>
      </c>
      <c r="N8" s="395">
        <v>15930</v>
      </c>
    </row>
    <row r="9" spans="1:15" ht="24.95" customHeight="1" thickTop="1" thickBot="1">
      <c r="A9" s="389">
        <f>Main!BZ8</f>
        <v>42248</v>
      </c>
      <c r="B9" s="380">
        <f t="shared" si="0"/>
        <v>0</v>
      </c>
      <c r="C9" s="727">
        <f>'IN RPS-2015'!R155</f>
        <v>55410</v>
      </c>
      <c r="D9" s="392"/>
      <c r="E9" s="428">
        <v>2036885</v>
      </c>
      <c r="F9" s="428" t="s">
        <v>1938</v>
      </c>
      <c r="G9" s="393">
        <f t="shared" si="1"/>
        <v>42308</v>
      </c>
      <c r="H9" s="1120" t="s">
        <v>1941</v>
      </c>
      <c r="M9" s="395">
        <v>8440</v>
      </c>
      <c r="N9" s="395">
        <v>16400</v>
      </c>
    </row>
    <row r="10" spans="1:15" ht="24.95" customHeight="1" thickTop="1" thickBot="1">
      <c r="A10" s="389">
        <f>Main!BZ9</f>
        <v>42278</v>
      </c>
      <c r="B10" s="380">
        <f t="shared" si="0"/>
        <v>0</v>
      </c>
      <c r="C10" s="727">
        <f>'IN RPS-2015'!R156</f>
        <v>55410</v>
      </c>
      <c r="D10" s="392"/>
      <c r="E10" s="428">
        <v>2040183</v>
      </c>
      <c r="F10" s="428" t="s">
        <v>1939</v>
      </c>
      <c r="G10" s="393">
        <f t="shared" si="1"/>
        <v>42338</v>
      </c>
      <c r="H10" s="1120"/>
      <c r="M10" s="395">
        <v>8680</v>
      </c>
      <c r="N10" s="395">
        <v>16870</v>
      </c>
    </row>
    <row r="11" spans="1:15" ht="24.95" customHeight="1" thickTop="1" thickBot="1">
      <c r="A11" s="389">
        <f>Main!BZ10</f>
        <v>42309</v>
      </c>
      <c r="B11" s="380">
        <f t="shared" si="0"/>
        <v>0</v>
      </c>
      <c r="C11" s="727">
        <f>'IN RPS-2015'!R157</f>
        <v>55410</v>
      </c>
      <c r="D11" s="392"/>
      <c r="E11" s="428">
        <v>3047330</v>
      </c>
      <c r="F11" s="428" t="s">
        <v>1940</v>
      </c>
      <c r="G11" s="393">
        <f t="shared" si="1"/>
        <v>42369</v>
      </c>
      <c r="H11" s="1120"/>
      <c r="M11" s="395">
        <v>8940</v>
      </c>
      <c r="N11" s="395">
        <v>17380</v>
      </c>
    </row>
    <row r="12" spans="1:15" ht="24.95" customHeight="1" thickTop="1" thickBot="1">
      <c r="A12" s="389">
        <f>Main!BZ11</f>
        <v>42339</v>
      </c>
      <c r="B12" s="380">
        <f t="shared" si="0"/>
        <v>0</v>
      </c>
      <c r="C12" s="727">
        <f>'IN RPS-2015'!R158</f>
        <v>55410</v>
      </c>
      <c r="D12" s="392"/>
      <c r="E12" s="428"/>
      <c r="F12" s="428"/>
      <c r="G12" s="393">
        <f t="shared" si="1"/>
        <v>42400</v>
      </c>
      <c r="H12" s="1120"/>
      <c r="M12" s="395">
        <v>9200</v>
      </c>
      <c r="N12" s="395">
        <v>17890</v>
      </c>
    </row>
    <row r="13" spans="1:15" ht="24.95" customHeight="1" thickTop="1" thickBot="1">
      <c r="A13" s="389">
        <f>Main!BZ12</f>
        <v>42370</v>
      </c>
      <c r="B13" s="380">
        <f t="shared" si="0"/>
        <v>0</v>
      </c>
      <c r="C13" s="727">
        <f>'IN RPS-2015'!R159</f>
        <v>55410</v>
      </c>
      <c r="D13" s="392"/>
      <c r="E13" s="428"/>
      <c r="F13" s="428"/>
      <c r="G13" s="393">
        <f t="shared" si="1"/>
        <v>42429</v>
      </c>
      <c r="H13" s="1120"/>
      <c r="M13" s="395">
        <v>9460</v>
      </c>
      <c r="N13" s="395">
        <v>18400</v>
      </c>
    </row>
    <row r="14" spans="1:15" ht="24.95" customHeight="1" thickTop="1" thickBot="1">
      <c r="A14" s="389">
        <f>Main!BZ13</f>
        <v>42401</v>
      </c>
      <c r="B14" s="380">
        <f t="shared" ca="1" si="0"/>
        <v>57363</v>
      </c>
      <c r="C14" s="727">
        <f>'IN RPS-2015'!R160</f>
        <v>55410</v>
      </c>
      <c r="D14" s="394">
        <f ca="1">IF(OR(SB!K89&lt;0,SB!K89="NIL"),0,SB!K89)</f>
        <v>57363</v>
      </c>
      <c r="E14" s="428"/>
      <c r="F14" s="428"/>
      <c r="G14" s="393">
        <f t="shared" si="1"/>
        <v>42460</v>
      </c>
      <c r="H14" s="1120"/>
      <c r="M14" s="395">
        <v>9740</v>
      </c>
      <c r="N14" s="395">
        <v>18950</v>
      </c>
    </row>
    <row r="15" spans="1:15" ht="15" thickTop="1">
      <c r="M15" s="395">
        <v>10020</v>
      </c>
      <c r="N15" s="395">
        <v>19500</v>
      </c>
    </row>
    <row r="16" spans="1:15" ht="15">
      <c r="A16" s="387" t="s">
        <v>1750</v>
      </c>
      <c r="B16" s="388"/>
      <c r="C16" s="388"/>
      <c r="D16" s="388"/>
      <c r="E16" s="388"/>
      <c r="F16" s="388"/>
      <c r="G16" s="388"/>
      <c r="H16" s="388"/>
      <c r="M16" s="395">
        <v>10300</v>
      </c>
      <c r="N16" s="395">
        <v>20050</v>
      </c>
    </row>
    <row r="17" spans="1:14" ht="38.25" customHeight="1">
      <c r="A17" s="1117" t="s">
        <v>1747</v>
      </c>
      <c r="B17" s="1117"/>
      <c r="C17" s="1117"/>
      <c r="D17" s="1117"/>
      <c r="E17" s="1117"/>
      <c r="F17" s="1117"/>
      <c r="G17" s="1117"/>
      <c r="H17" s="1117"/>
      <c r="M17" s="395">
        <v>10600</v>
      </c>
      <c r="N17" s="395">
        <v>20640</v>
      </c>
    </row>
    <row r="18" spans="1:14" ht="43.5" customHeight="1">
      <c r="A18" s="1117" t="s">
        <v>1748</v>
      </c>
      <c r="B18" s="1117"/>
      <c r="C18" s="1117"/>
      <c r="D18" s="1117"/>
      <c r="E18" s="1117"/>
      <c r="F18" s="1117"/>
      <c r="G18" s="1117"/>
      <c r="H18" s="1117"/>
      <c r="M18" s="395">
        <v>10900</v>
      </c>
      <c r="N18" s="395">
        <v>21230</v>
      </c>
    </row>
    <row r="19" spans="1:14" ht="30" customHeight="1">
      <c r="A19" s="1117" t="s">
        <v>1749</v>
      </c>
      <c r="B19" s="1117"/>
      <c r="C19" s="1117"/>
      <c r="D19" s="1117"/>
      <c r="E19" s="1117"/>
      <c r="F19" s="1117"/>
      <c r="G19" s="1117"/>
      <c r="H19" s="1117"/>
      <c r="M19" s="395">
        <v>11200</v>
      </c>
      <c r="N19" s="395">
        <v>21820</v>
      </c>
    </row>
    <row r="20" spans="1:14">
      <c r="M20" s="395">
        <v>11530</v>
      </c>
      <c r="N20" s="395">
        <v>22460</v>
      </c>
    </row>
    <row r="21" spans="1:14">
      <c r="M21" s="395">
        <v>11860</v>
      </c>
      <c r="N21" s="395">
        <v>23100</v>
      </c>
    </row>
    <row r="22" spans="1:14">
      <c r="M22" s="395">
        <v>12190</v>
      </c>
      <c r="N22" s="395">
        <v>23740</v>
      </c>
    </row>
    <row r="23" spans="1:14">
      <c r="M23" s="395">
        <v>12550</v>
      </c>
      <c r="N23" s="395">
        <v>24440</v>
      </c>
    </row>
    <row r="24" spans="1:14">
      <c r="M24" s="395">
        <v>12910</v>
      </c>
      <c r="N24" s="395">
        <v>25140</v>
      </c>
    </row>
    <row r="25" spans="1:14">
      <c r="M25" s="395">
        <v>13270</v>
      </c>
      <c r="N25" s="395">
        <v>25840</v>
      </c>
    </row>
    <row r="26" spans="1:14">
      <c r="M26" s="395">
        <v>13660</v>
      </c>
      <c r="N26" s="395">
        <v>26600</v>
      </c>
    </row>
    <row r="27" spans="1:14">
      <c r="A27" s="396"/>
      <c r="M27" s="395">
        <v>14050</v>
      </c>
      <c r="N27" s="395">
        <v>27360</v>
      </c>
    </row>
    <row r="28" spans="1:14" ht="15">
      <c r="A28" s="397"/>
      <c r="M28" s="395">
        <v>14440</v>
      </c>
      <c r="N28" s="395">
        <v>28120</v>
      </c>
    </row>
    <row r="29" spans="1:14" ht="15">
      <c r="A29" s="397"/>
      <c r="M29" s="395">
        <v>14860</v>
      </c>
      <c r="N29" s="395">
        <v>28940</v>
      </c>
    </row>
    <row r="30" spans="1:14" ht="15">
      <c r="A30" s="397"/>
      <c r="M30" s="395">
        <v>15280</v>
      </c>
      <c r="N30" s="395">
        <v>29760</v>
      </c>
    </row>
    <row r="31" spans="1:14" ht="15">
      <c r="A31" s="397"/>
      <c r="M31" s="395">
        <v>15700</v>
      </c>
      <c r="N31" s="395">
        <v>30580</v>
      </c>
    </row>
    <row r="32" spans="1:14" ht="15">
      <c r="A32" s="397"/>
      <c r="M32" s="395">
        <v>16150</v>
      </c>
      <c r="N32" s="395">
        <v>31460</v>
      </c>
    </row>
    <row r="33" spans="1:14" ht="15">
      <c r="A33" s="397"/>
      <c r="M33" s="395">
        <v>16600</v>
      </c>
      <c r="N33" s="395">
        <v>32340</v>
      </c>
    </row>
    <row r="34" spans="1:14" ht="15">
      <c r="A34" s="397"/>
      <c r="M34" s="395">
        <v>17050</v>
      </c>
      <c r="N34" s="395">
        <v>33220</v>
      </c>
    </row>
    <row r="35" spans="1:14">
      <c r="A35" s="396"/>
      <c r="M35" s="395">
        <v>17540</v>
      </c>
      <c r="N35" s="395">
        <v>34170</v>
      </c>
    </row>
    <row r="36" spans="1:14">
      <c r="A36" s="398"/>
      <c r="M36" s="395">
        <v>18030</v>
      </c>
      <c r="N36" s="395">
        <v>35120</v>
      </c>
    </row>
    <row r="37" spans="1:14">
      <c r="M37" s="395">
        <v>18520</v>
      </c>
      <c r="N37" s="395">
        <v>36070</v>
      </c>
    </row>
    <row r="38" spans="1:14">
      <c r="M38" s="395">
        <v>19050</v>
      </c>
      <c r="N38" s="395">
        <v>37100</v>
      </c>
    </row>
    <row r="39" spans="1:14">
      <c r="M39" s="395">
        <v>19580</v>
      </c>
      <c r="N39" s="395">
        <v>38130</v>
      </c>
    </row>
    <row r="40" spans="1:14">
      <c r="M40" s="395">
        <v>20110</v>
      </c>
      <c r="N40" s="395">
        <v>39160</v>
      </c>
    </row>
    <row r="41" spans="1:14">
      <c r="M41" s="395">
        <v>20680</v>
      </c>
      <c r="N41" s="395">
        <v>40270</v>
      </c>
    </row>
    <row r="42" spans="1:14">
      <c r="M42" s="395">
        <v>21250</v>
      </c>
      <c r="N42" s="395">
        <v>41380</v>
      </c>
    </row>
    <row r="43" spans="1:14">
      <c r="M43" s="395">
        <v>21820</v>
      </c>
      <c r="N43" s="395">
        <v>42490</v>
      </c>
    </row>
    <row r="44" spans="1:14">
      <c r="M44" s="395">
        <v>22430</v>
      </c>
      <c r="N44" s="395">
        <v>43680</v>
      </c>
    </row>
    <row r="45" spans="1:14">
      <c r="M45" s="395">
        <v>23040</v>
      </c>
      <c r="N45" s="395">
        <v>44870</v>
      </c>
    </row>
    <row r="46" spans="1:14">
      <c r="M46" s="395">
        <v>23650</v>
      </c>
      <c r="N46" s="395">
        <v>46060</v>
      </c>
    </row>
    <row r="47" spans="1:14">
      <c r="M47" s="395">
        <v>24300</v>
      </c>
      <c r="N47" s="395">
        <v>47330</v>
      </c>
    </row>
    <row r="48" spans="1:14">
      <c r="M48" s="395">
        <v>24950</v>
      </c>
      <c r="N48" s="395">
        <v>48600</v>
      </c>
    </row>
    <row r="49" spans="13:14">
      <c r="M49" s="395">
        <v>25600</v>
      </c>
      <c r="N49" s="395">
        <v>49870</v>
      </c>
    </row>
    <row r="50" spans="13:14">
      <c r="M50" s="395">
        <v>26300</v>
      </c>
      <c r="N50" s="395">
        <v>51230</v>
      </c>
    </row>
    <row r="51" spans="13:14">
      <c r="M51" s="395">
        <v>27000</v>
      </c>
      <c r="N51" s="395">
        <v>52590</v>
      </c>
    </row>
    <row r="52" spans="13:14">
      <c r="M52" s="395">
        <v>27700</v>
      </c>
      <c r="N52" s="395">
        <v>53950</v>
      </c>
    </row>
    <row r="53" spans="13:14">
      <c r="M53" s="395">
        <v>28450</v>
      </c>
      <c r="N53" s="395">
        <v>55410</v>
      </c>
    </row>
    <row r="54" spans="13:14">
      <c r="M54" s="395">
        <v>29200</v>
      </c>
      <c r="N54" s="395">
        <v>56870</v>
      </c>
    </row>
    <row r="55" spans="13:14">
      <c r="M55" s="395">
        <v>29950</v>
      </c>
      <c r="N55" s="395">
        <v>58330</v>
      </c>
    </row>
    <row r="56" spans="13:14">
      <c r="M56" s="395">
        <v>30750</v>
      </c>
      <c r="N56" s="395">
        <v>59890</v>
      </c>
    </row>
    <row r="57" spans="13:14">
      <c r="M57" s="395">
        <v>31550</v>
      </c>
      <c r="N57" s="395">
        <v>61450</v>
      </c>
    </row>
    <row r="58" spans="13:14">
      <c r="M58" s="395">
        <v>32350</v>
      </c>
      <c r="N58" s="395">
        <v>63010</v>
      </c>
    </row>
    <row r="59" spans="13:14">
      <c r="M59" s="395">
        <v>33200</v>
      </c>
      <c r="N59" s="395">
        <v>64670</v>
      </c>
    </row>
    <row r="60" spans="13:14">
      <c r="M60" s="395">
        <v>34050</v>
      </c>
      <c r="N60" s="395">
        <v>66330</v>
      </c>
    </row>
    <row r="61" spans="13:14">
      <c r="M61" s="395">
        <v>34900</v>
      </c>
      <c r="N61" s="395">
        <v>67990</v>
      </c>
    </row>
    <row r="62" spans="13:14">
      <c r="M62" s="395">
        <v>35800</v>
      </c>
      <c r="N62" s="395">
        <v>69750</v>
      </c>
    </row>
    <row r="63" spans="13:14">
      <c r="M63" s="395">
        <v>36700</v>
      </c>
      <c r="N63" s="395">
        <v>71510</v>
      </c>
    </row>
    <row r="64" spans="13:14">
      <c r="M64" s="395">
        <v>37600</v>
      </c>
      <c r="N64" s="395">
        <v>73270</v>
      </c>
    </row>
    <row r="65" spans="13:14">
      <c r="M65" s="395">
        <v>38570</v>
      </c>
      <c r="N65" s="395">
        <v>75150</v>
      </c>
    </row>
    <row r="66" spans="13:14">
      <c r="M66" s="395">
        <v>39540</v>
      </c>
      <c r="N66" s="395">
        <v>77030</v>
      </c>
    </row>
    <row r="67" spans="13:14">
      <c r="M67" s="395">
        <v>40510</v>
      </c>
      <c r="N67" s="395">
        <v>78910</v>
      </c>
    </row>
    <row r="68" spans="13:14">
      <c r="M68" s="395">
        <v>41550</v>
      </c>
      <c r="N68" s="395">
        <v>80930</v>
      </c>
    </row>
    <row r="69" spans="13:14">
      <c r="M69" s="395">
        <v>42590</v>
      </c>
      <c r="N69" s="395">
        <v>82950</v>
      </c>
    </row>
    <row r="70" spans="13:14">
      <c r="M70" s="395">
        <v>43630</v>
      </c>
      <c r="N70" s="395">
        <v>84970</v>
      </c>
    </row>
    <row r="71" spans="13:14">
      <c r="M71" s="395">
        <v>44740</v>
      </c>
      <c r="N71" s="395">
        <v>87130</v>
      </c>
    </row>
    <row r="72" spans="13:14">
      <c r="M72" s="395">
        <v>45850</v>
      </c>
      <c r="N72" s="395">
        <v>89290</v>
      </c>
    </row>
    <row r="73" spans="13:14">
      <c r="M73" s="395">
        <v>46960</v>
      </c>
      <c r="N73" s="395">
        <v>91450</v>
      </c>
    </row>
    <row r="74" spans="13:14">
      <c r="M74" s="395">
        <v>48160</v>
      </c>
      <c r="N74" s="395">
        <v>93780</v>
      </c>
    </row>
    <row r="75" spans="13:14">
      <c r="M75" s="395">
        <v>49360</v>
      </c>
      <c r="N75" s="395">
        <v>96110</v>
      </c>
    </row>
    <row r="76" spans="13:14">
      <c r="M76" s="395">
        <v>50560</v>
      </c>
      <c r="N76" s="395">
        <v>98440</v>
      </c>
    </row>
    <row r="77" spans="13:14">
      <c r="M77" s="395">
        <v>51760</v>
      </c>
      <c r="N77" s="395">
        <v>100770</v>
      </c>
    </row>
    <row r="78" spans="13:14">
      <c r="M78" s="395">
        <v>53060</v>
      </c>
      <c r="N78" s="395">
        <v>103290</v>
      </c>
    </row>
    <row r="79" spans="13:14">
      <c r="M79" s="395">
        <v>54360</v>
      </c>
      <c r="N79" s="395">
        <v>105810</v>
      </c>
    </row>
    <row r="80" spans="13:14">
      <c r="M80" s="395">
        <v>55660</v>
      </c>
      <c r="N80" s="395">
        <v>108330</v>
      </c>
    </row>
    <row r="81" spans="13:14">
      <c r="M81" s="395">
        <v>56960</v>
      </c>
      <c r="N81" s="395">
        <v>110850</v>
      </c>
    </row>
    <row r="82" spans="13:14">
      <c r="M82" s="395">
        <v>58260</v>
      </c>
      <c r="N82" s="395">
        <v>113370</v>
      </c>
    </row>
    <row r="83" spans="13:14">
      <c r="M83" s="395">
        <v>59560</v>
      </c>
      <c r="N83" s="395">
        <v>115890</v>
      </c>
    </row>
    <row r="84" spans="13:14">
      <c r="N84" s="395">
        <v>118410</v>
      </c>
    </row>
    <row r="85" spans="13:14">
      <c r="N85" s="395">
        <v>120930</v>
      </c>
    </row>
    <row r="86" spans="13:14">
      <c r="N86" s="395">
        <v>123450</v>
      </c>
    </row>
  </sheetData>
  <sheetProtection password="F90B" sheet="1" objects="1" scenarios="1"/>
  <protectedRanges>
    <protectedRange password="CF7A" sqref="C3:C14" name="Range1"/>
  </protectedRanges>
  <customSheetViews>
    <customSheetView guid="{AF8DD0C3-82AF-40F4-9518-B58C2E7D25DB}" hiddenColumns="1">
      <selection activeCell="D10" sqref="D10:D11"/>
      <pageMargins left="0.7" right="0.7" top="0.75" bottom="0.75" header="0.3" footer="0.3"/>
      <pageSetup orientation="portrait" verticalDpi="0" r:id="rId1"/>
    </customSheetView>
    <customSheetView guid="{79BDAD5E-470D-413B-AE3A-BBB122EFD8E5}" hiddenColumns="1" topLeftCell="A3">
      <selection activeCell="E12" sqref="E12"/>
      <pageMargins left="0.7" right="0.7" top="0.75" bottom="0.75" header="0.3" footer="0.3"/>
      <pageSetup orientation="portrait" verticalDpi="0" r:id="rId2"/>
    </customSheetView>
  </customSheetViews>
  <mergeCells count="13">
    <mergeCell ref="I1:J2"/>
    <mergeCell ref="A17:H17"/>
    <mergeCell ref="A18:H18"/>
    <mergeCell ref="A19:H19"/>
    <mergeCell ref="D1:G1"/>
    <mergeCell ref="C1:C2"/>
    <mergeCell ref="H3:H5"/>
    <mergeCell ref="H6:H8"/>
    <mergeCell ref="H9:H11"/>
    <mergeCell ref="H12:H14"/>
    <mergeCell ref="H1:H2"/>
    <mergeCell ref="A1:A2"/>
    <mergeCell ref="B1:B2"/>
  </mergeCells>
  <dataValidations count="1">
    <dataValidation type="list" allowBlank="1" showInputMessage="1" showErrorMessage="1" sqref="C3:C14">
      <formula1>IF(A3&lt;$O$1,$M$1:$M$83,$N$1:$N$86)</formula1>
    </dataValidation>
  </dataValidations>
  <pageMargins left="0.7" right="0.7" top="0.75" bottom="0.75" header="0.3" footer="0.3"/>
  <pageSetup orientation="portrait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N211"/>
  <sheetViews>
    <sheetView topLeftCell="EV1" workbookViewId="0">
      <selection activeCell="H59" sqref="H59"/>
    </sheetView>
  </sheetViews>
  <sheetFormatPr defaultColWidth="9.140625" defaultRowHeight="12.75"/>
  <cols>
    <col min="1" max="1" width="10.85546875" style="457" customWidth="1"/>
    <col min="2" max="2" width="11.140625" style="457" customWidth="1"/>
    <col min="3" max="3" width="9.140625" style="457" customWidth="1"/>
    <col min="4" max="4" width="13" style="457" customWidth="1"/>
    <col min="5" max="5" width="9.140625" style="457" customWidth="1"/>
    <col min="6" max="6" width="10.28515625" style="457" customWidth="1"/>
    <col min="7" max="7" width="12.140625" style="457" customWidth="1"/>
    <col min="8" max="8" width="12" style="457" customWidth="1"/>
    <col min="9" max="9" width="14.140625" style="457" customWidth="1"/>
    <col min="10" max="10" width="11.7109375" style="457" customWidth="1"/>
    <col min="11" max="12" width="9.85546875" style="457" customWidth="1"/>
    <col min="13" max="27" width="12.5703125" style="457"/>
    <col min="28" max="29" width="9.140625" style="457"/>
    <col min="30" max="34" width="12.5703125" style="457"/>
    <col min="35" max="36" width="12.85546875" style="457" bestFit="1" customWidth="1"/>
    <col min="37" max="37" width="12.5703125" style="457"/>
    <col min="38" max="42" width="12.85546875" style="457" bestFit="1" customWidth="1"/>
    <col min="43" max="46" width="12.5703125" style="457"/>
    <col min="47" max="47" width="12.85546875" style="457" bestFit="1" customWidth="1"/>
    <col min="48" max="50" width="12.5703125" style="457"/>
    <col min="51" max="51" width="12.85546875" style="457" bestFit="1" customWidth="1"/>
    <col min="52" max="53" width="12.5703125" style="457"/>
    <col min="54" max="54" width="12.85546875" style="457" bestFit="1" customWidth="1"/>
    <col min="55" max="55" width="12.5703125" style="457"/>
    <col min="56" max="57" width="12.85546875" style="457" bestFit="1" customWidth="1"/>
    <col min="58" max="58" width="12.5703125" style="457"/>
    <col min="59" max="63" width="12.85546875" style="457" bestFit="1" customWidth="1"/>
    <col min="64" max="67" width="12.5703125" style="457"/>
    <col min="68" max="68" width="12.85546875" style="457" bestFit="1" customWidth="1"/>
    <col min="69" max="71" width="12.5703125" style="457"/>
    <col min="72" max="72" width="12.85546875" style="457" bestFit="1" customWidth="1"/>
    <col min="73" max="73" width="10.5703125" style="457" customWidth="1"/>
    <col min="74" max="74" width="10.7109375" style="457" customWidth="1"/>
    <col min="75" max="75" width="7.5703125" style="457" customWidth="1"/>
    <col min="76" max="76" width="5.42578125" style="457" customWidth="1"/>
    <col min="77" max="80" width="12.5703125" style="3"/>
    <col min="81" max="82" width="12.85546875" style="3" bestFit="1" customWidth="1"/>
    <col min="83" max="83" width="12.5703125" style="3"/>
    <col min="84" max="88" width="12.85546875" style="3" bestFit="1" customWidth="1"/>
    <col min="89" max="92" width="12.5703125" style="3"/>
    <col min="93" max="93" width="12.85546875" style="3" bestFit="1" customWidth="1"/>
    <col min="94" max="96" width="12.5703125" style="3"/>
    <col min="97" max="97" width="12.85546875" style="3" bestFit="1" customWidth="1"/>
    <col min="98" max="99" width="12.5703125" style="3"/>
    <col min="100" max="100" width="12.85546875" style="3" bestFit="1" customWidth="1"/>
    <col min="101" max="101" width="12.5703125" style="3"/>
    <col min="102" max="103" width="12.85546875" style="3" bestFit="1" customWidth="1"/>
    <col min="104" max="104" width="12.5703125" style="3"/>
    <col min="105" max="109" width="12.85546875" style="3" bestFit="1" customWidth="1"/>
    <col min="110" max="113" width="12.5703125" style="3"/>
    <col min="114" max="114" width="12.85546875" style="3" bestFit="1" customWidth="1"/>
    <col min="115" max="117" width="12.5703125" style="3"/>
    <col min="118" max="118" width="12.85546875" style="3" bestFit="1" customWidth="1"/>
    <col min="119" max="121" width="12.5703125" style="3"/>
    <col min="122" max="122" width="12.85546875" style="3" bestFit="1" customWidth="1"/>
    <col min="123" max="125" width="12.5703125" style="3"/>
    <col min="126" max="126" width="11.42578125" style="457" customWidth="1"/>
    <col min="127" max="127" width="9.42578125" style="457" bestFit="1" customWidth="1"/>
    <col min="128" max="128" width="11.28515625" style="457" bestFit="1" customWidth="1"/>
    <col min="129" max="129" width="10.140625" style="457" bestFit="1" customWidth="1"/>
    <col min="130" max="130" width="12.140625" style="457" customWidth="1"/>
    <col min="131" max="131" width="10.85546875" style="457" bestFit="1" customWidth="1"/>
    <col min="132" max="132" width="9.42578125" style="457" bestFit="1" customWidth="1"/>
    <col min="133" max="133" width="9.85546875" style="457" bestFit="1" customWidth="1"/>
    <col min="134" max="134" width="11.5703125" style="457" customWidth="1"/>
    <col min="135" max="135" width="9.140625" style="457"/>
    <col min="136" max="136" width="11" style="457" customWidth="1"/>
    <col min="137" max="138" width="9.140625" style="457"/>
    <col min="139" max="139" width="9.42578125" style="457" bestFit="1" customWidth="1"/>
    <col min="140" max="142" width="9.140625" style="457"/>
    <col min="143" max="143" width="10.85546875" style="457" customWidth="1"/>
    <col min="144" max="144" width="11.7109375" style="457" customWidth="1"/>
    <col min="145" max="145" width="9.140625" style="457"/>
    <col min="146" max="146" width="9.42578125" style="457" bestFit="1" customWidth="1"/>
    <col min="147" max="147" width="9.140625" style="457"/>
    <col min="148" max="148" width="12.140625" style="457" customWidth="1"/>
    <col min="149" max="150" width="9.140625" style="457"/>
    <col min="151" max="151" width="9.42578125" style="457" bestFit="1" customWidth="1"/>
    <col min="152" max="152" width="11.28515625" style="457" bestFit="1" customWidth="1"/>
    <col min="153" max="153" width="10.140625" style="457" bestFit="1" customWidth="1"/>
    <col min="154" max="154" width="11.140625" style="457" customWidth="1"/>
    <col min="155" max="158" width="9.42578125" style="457" bestFit="1" customWidth="1"/>
    <col min="159" max="162" width="9.140625" style="457"/>
    <col min="163" max="163" width="9.42578125" style="457" bestFit="1" customWidth="1"/>
    <col min="164" max="166" width="9.140625" style="457"/>
    <col min="167" max="167" width="9.42578125" style="457" bestFit="1" customWidth="1"/>
    <col min="168" max="169" width="9.140625" style="457"/>
    <col min="170" max="170" width="9.42578125" style="457" bestFit="1" customWidth="1"/>
    <col min="171" max="16384" width="9.140625" style="457"/>
  </cols>
  <sheetData>
    <row r="1" spans="1:170" ht="21">
      <c r="A1" s="114" t="s">
        <v>1500</v>
      </c>
      <c r="B1" s="113" t="s">
        <v>1501</v>
      </c>
      <c r="C1" s="113" t="s">
        <v>29</v>
      </c>
      <c r="D1" s="113" t="s">
        <v>47</v>
      </c>
      <c r="E1" s="113" t="s">
        <v>1364</v>
      </c>
      <c r="F1" s="113" t="s">
        <v>61</v>
      </c>
      <c r="G1" s="115" t="s">
        <v>1382</v>
      </c>
      <c r="H1" s="456" t="str">
        <f>Main!AX4</f>
        <v>Not-Applicable</v>
      </c>
      <c r="I1" s="505" t="s">
        <v>1897</v>
      </c>
      <c r="J1" s="176" t="s">
        <v>1554</v>
      </c>
      <c r="K1" s="457">
        <v>1</v>
      </c>
      <c r="L1" s="695">
        <f>DATE(YEAR(Main!$BZ$2),MONTH(Main!$BZ$2),1)</f>
        <v>42064</v>
      </c>
      <c r="M1" s="459">
        <f>EOMONTH(Main!$BZ$13,0)</f>
        <v>42429</v>
      </c>
      <c r="O1" s="457">
        <f>K1+1</f>
        <v>2</v>
      </c>
      <c r="P1" s="457">
        <f t="shared" ref="P1:AA1" si="0">O1+1</f>
        <v>3</v>
      </c>
      <c r="Q1" s="457">
        <f t="shared" si="0"/>
        <v>4</v>
      </c>
      <c r="R1" s="457">
        <f t="shared" si="0"/>
        <v>5</v>
      </c>
      <c r="S1" s="457">
        <f t="shared" si="0"/>
        <v>6</v>
      </c>
      <c r="T1" s="457">
        <f t="shared" si="0"/>
        <v>7</v>
      </c>
      <c r="U1" s="457">
        <f t="shared" si="0"/>
        <v>8</v>
      </c>
      <c r="V1" s="457">
        <f t="shared" si="0"/>
        <v>9</v>
      </c>
      <c r="W1" s="457">
        <f t="shared" si="0"/>
        <v>10</v>
      </c>
      <c r="X1" s="457">
        <f t="shared" si="0"/>
        <v>11</v>
      </c>
      <c r="Y1" s="457">
        <f t="shared" si="0"/>
        <v>12</v>
      </c>
      <c r="Z1" s="457">
        <f t="shared" si="0"/>
        <v>13</v>
      </c>
      <c r="AA1" s="457">
        <f t="shared" si="0"/>
        <v>14</v>
      </c>
      <c r="AE1" s="460"/>
      <c r="AF1" s="460"/>
      <c r="AG1" s="460" t="s">
        <v>1884</v>
      </c>
      <c r="AH1" s="186" t="s">
        <v>1560</v>
      </c>
      <c r="AI1" s="461">
        <v>1</v>
      </c>
      <c r="AJ1" s="462">
        <f>IF('IN RPS-2015'!B3=0,'IN RPS-2015'!C9,'IN RPS-2015'!B3)</f>
        <v>42461</v>
      </c>
      <c r="AK1" s="463">
        <f>'IN RPS-2015'!C11-1</f>
        <v>42461</v>
      </c>
      <c r="AL1" s="461"/>
      <c r="AM1" s="461">
        <f>AI1+1</f>
        <v>2</v>
      </c>
      <c r="AN1" s="461">
        <f t="shared" ref="AN1:AY1" si="1">AM1+1</f>
        <v>3</v>
      </c>
      <c r="AO1" s="461">
        <f t="shared" si="1"/>
        <v>4</v>
      </c>
      <c r="AP1" s="461">
        <f t="shared" si="1"/>
        <v>5</v>
      </c>
      <c r="AQ1" s="461">
        <f t="shared" si="1"/>
        <v>6</v>
      </c>
      <c r="AR1" s="461">
        <f t="shared" si="1"/>
        <v>7</v>
      </c>
      <c r="AS1" s="461">
        <f t="shared" si="1"/>
        <v>8</v>
      </c>
      <c r="AT1" s="461">
        <f t="shared" si="1"/>
        <v>9</v>
      </c>
      <c r="AU1" s="461">
        <f t="shared" si="1"/>
        <v>10</v>
      </c>
      <c r="AV1" s="461">
        <f t="shared" si="1"/>
        <v>11</v>
      </c>
      <c r="AW1" s="461">
        <f t="shared" si="1"/>
        <v>12</v>
      </c>
      <c r="AX1" s="461">
        <f t="shared" si="1"/>
        <v>13</v>
      </c>
      <c r="AY1" s="461">
        <f t="shared" si="1"/>
        <v>14</v>
      </c>
      <c r="AZ1" s="462">
        <f>DATE(2015,3,31)</f>
        <v>42094</v>
      </c>
      <c r="BA1" s="462"/>
      <c r="BC1" s="188" t="s">
        <v>1561</v>
      </c>
      <c r="BD1" s="464">
        <v>1</v>
      </c>
      <c r="BE1" s="465">
        <f>AJ1</f>
        <v>42461</v>
      </c>
      <c r="BF1" s="466">
        <f>AK1</f>
        <v>42461</v>
      </c>
      <c r="BG1" s="464"/>
      <c r="BH1" s="464">
        <f>BD1+1</f>
        <v>2</v>
      </c>
      <c r="BI1" s="464">
        <f t="shared" ref="BI1:BT1" si="2">BH1+1</f>
        <v>3</v>
      </c>
      <c r="BJ1" s="464">
        <f t="shared" si="2"/>
        <v>4</v>
      </c>
      <c r="BK1" s="464">
        <f t="shared" si="2"/>
        <v>5</v>
      </c>
      <c r="BL1" s="464">
        <f t="shared" si="2"/>
        <v>6</v>
      </c>
      <c r="BM1" s="464">
        <f t="shared" si="2"/>
        <v>7</v>
      </c>
      <c r="BN1" s="464">
        <f t="shared" si="2"/>
        <v>8</v>
      </c>
      <c r="BO1" s="464">
        <f t="shared" si="2"/>
        <v>9</v>
      </c>
      <c r="BP1" s="464">
        <f t="shared" si="2"/>
        <v>10</v>
      </c>
      <c r="BQ1" s="464">
        <f t="shared" si="2"/>
        <v>11</v>
      </c>
      <c r="BR1" s="464">
        <f t="shared" si="2"/>
        <v>12</v>
      </c>
      <c r="BS1" s="464">
        <f t="shared" si="2"/>
        <v>13</v>
      </c>
      <c r="BT1" s="464">
        <f t="shared" si="2"/>
        <v>14</v>
      </c>
      <c r="BU1" s="464"/>
      <c r="BV1" s="464"/>
      <c r="BW1" s="464"/>
      <c r="BY1" s="460"/>
      <c r="BZ1" s="460"/>
      <c r="CA1" s="460" t="s">
        <v>1884</v>
      </c>
      <c r="CB1" s="186" t="s">
        <v>1916</v>
      </c>
      <c r="CC1" s="461">
        <v>1</v>
      </c>
      <c r="CD1" s="462">
        <f>IF('IN RPS-2015'!B5=0,'IN RPS-2015'!C9,'IN RPS-2015'!B5)</f>
        <v>42461</v>
      </c>
      <c r="CE1" s="463">
        <f>'IN RPS-2015'!E11-1</f>
        <v>42461</v>
      </c>
      <c r="CF1" s="461"/>
      <c r="CG1" s="461">
        <f>CC1+1</f>
        <v>2</v>
      </c>
      <c r="CH1" s="461">
        <f t="shared" ref="CH1" si="3">CG1+1</f>
        <v>3</v>
      </c>
      <c r="CI1" s="461">
        <f t="shared" ref="CI1" si="4">CH1+1</f>
        <v>4</v>
      </c>
      <c r="CJ1" s="461">
        <f t="shared" ref="CJ1" si="5">CI1+1</f>
        <v>5</v>
      </c>
      <c r="CK1" s="461">
        <f t="shared" ref="CK1" si="6">CJ1+1</f>
        <v>6</v>
      </c>
      <c r="CL1" s="461">
        <f t="shared" ref="CL1" si="7">CK1+1</f>
        <v>7</v>
      </c>
      <c r="CM1" s="461">
        <f t="shared" ref="CM1" si="8">CL1+1</f>
        <v>8</v>
      </c>
      <c r="CN1" s="461">
        <f t="shared" ref="CN1" si="9">CM1+1</f>
        <v>9</v>
      </c>
      <c r="CO1" s="461">
        <f t="shared" ref="CO1" si="10">CN1+1</f>
        <v>10</v>
      </c>
      <c r="CP1" s="461">
        <f t="shared" ref="CP1" si="11">CO1+1</f>
        <v>11</v>
      </c>
      <c r="CQ1" s="461">
        <f t="shared" ref="CQ1" si="12">CP1+1</f>
        <v>12</v>
      </c>
      <c r="CR1" s="461">
        <f t="shared" ref="CR1" si="13">CQ1+1</f>
        <v>13</v>
      </c>
      <c r="CS1" s="461">
        <f t="shared" ref="CS1" si="14">CR1+1</f>
        <v>14</v>
      </c>
      <c r="CT1" s="462">
        <f>DATE(2015,3,31)</f>
        <v>42094</v>
      </c>
      <c r="CU1" s="462"/>
      <c r="CV1" s="457"/>
      <c r="CW1" s="188" t="s">
        <v>1916</v>
      </c>
      <c r="CX1" s="464">
        <v>1</v>
      </c>
      <c r="CY1" s="465">
        <f>CD1</f>
        <v>42461</v>
      </c>
      <c r="CZ1" s="466">
        <f>CE1</f>
        <v>42461</v>
      </c>
      <c r="DA1" s="464"/>
      <c r="DB1" s="464">
        <f>CX1+1</f>
        <v>2</v>
      </c>
      <c r="DC1" s="464">
        <f t="shared" ref="DC1" si="15">DB1+1</f>
        <v>3</v>
      </c>
      <c r="DD1" s="464">
        <f t="shared" ref="DD1" si="16">DC1+1</f>
        <v>4</v>
      </c>
      <c r="DE1" s="464">
        <f t="shared" ref="DE1" si="17">DD1+1</f>
        <v>5</v>
      </c>
      <c r="DF1" s="464">
        <f t="shared" ref="DF1" si="18">DE1+1</f>
        <v>6</v>
      </c>
      <c r="DG1" s="464">
        <f t="shared" ref="DG1" si="19">DF1+1</f>
        <v>7</v>
      </c>
      <c r="DH1" s="464">
        <f t="shared" ref="DH1" si="20">DG1+1</f>
        <v>8</v>
      </c>
      <c r="DI1" s="464">
        <f t="shared" ref="DI1" si="21">DH1+1</f>
        <v>9</v>
      </c>
      <c r="DJ1" s="464">
        <f t="shared" ref="DJ1" si="22">DI1+1</f>
        <v>10</v>
      </c>
      <c r="DK1" s="464">
        <f t="shared" ref="DK1" si="23">DJ1+1</f>
        <v>11</v>
      </c>
      <c r="DL1" s="464">
        <f t="shared" ref="DL1" si="24">DK1+1</f>
        <v>12</v>
      </c>
      <c r="DM1" s="464">
        <f t="shared" ref="DM1" si="25">DL1+1</f>
        <v>13</v>
      </c>
      <c r="DN1" s="464">
        <f t="shared" ref="DN1" si="26">DM1+1</f>
        <v>14</v>
      </c>
      <c r="DO1" s="464"/>
      <c r="DP1" s="464"/>
      <c r="DQ1" s="464"/>
      <c r="DR1" s="457"/>
      <c r="DS1" s="460"/>
      <c r="DT1" s="460"/>
      <c r="DU1" s="460" t="s">
        <v>1884</v>
      </c>
      <c r="DV1" s="186" t="s">
        <v>1920</v>
      </c>
      <c r="DW1" s="461">
        <v>1</v>
      </c>
      <c r="DX1" s="462">
        <f>MIN(DATE(2015,4,1),DY1)</f>
        <v>42095</v>
      </c>
      <c r="DY1" s="463">
        <f>Main!C27-1</f>
        <v>42185</v>
      </c>
      <c r="DZ1" s="461"/>
      <c r="EA1" s="461">
        <f>DW1+1</f>
        <v>2</v>
      </c>
      <c r="EB1" s="461">
        <f t="shared" ref="EB1" si="27">EA1+1</f>
        <v>3</v>
      </c>
      <c r="EC1" s="461">
        <f t="shared" ref="EC1" si="28">EB1+1</f>
        <v>4</v>
      </c>
      <c r="ED1" s="461">
        <f t="shared" ref="ED1" si="29">EC1+1</f>
        <v>5</v>
      </c>
      <c r="EE1" s="461">
        <f t="shared" ref="EE1" si="30">ED1+1</f>
        <v>6</v>
      </c>
      <c r="EF1" s="461">
        <f t="shared" ref="EF1" si="31">EE1+1</f>
        <v>7</v>
      </c>
      <c r="EG1" s="461">
        <f t="shared" ref="EG1" si="32">EF1+1</f>
        <v>8</v>
      </c>
      <c r="EH1" s="461">
        <f t="shared" ref="EH1" si="33">EG1+1</f>
        <v>9</v>
      </c>
      <c r="EI1" s="461">
        <f t="shared" ref="EI1" si="34">EH1+1</f>
        <v>10</v>
      </c>
      <c r="EJ1" s="461">
        <f t="shared" ref="EJ1" si="35">EI1+1</f>
        <v>11</v>
      </c>
      <c r="EK1" s="461">
        <f t="shared" ref="EK1" si="36">EJ1+1</f>
        <v>12</v>
      </c>
      <c r="EL1" s="461">
        <f t="shared" ref="EL1" si="37">EK1+1</f>
        <v>13</v>
      </c>
      <c r="EM1" s="461">
        <f t="shared" ref="EM1" si="38">EL1+1</f>
        <v>14</v>
      </c>
      <c r="EN1" s="462">
        <f>DATE(2015,3,31)</f>
        <v>42094</v>
      </c>
      <c r="EO1" s="462"/>
      <c r="ER1" s="460"/>
      <c r="ES1" s="460" t="s">
        <v>1884</v>
      </c>
      <c r="ET1" s="186" t="s">
        <v>1921</v>
      </c>
      <c r="EU1" s="461">
        <v>1</v>
      </c>
      <c r="EV1" s="462">
        <f>DX1</f>
        <v>42095</v>
      </c>
      <c r="EW1" s="463">
        <f>DY1</f>
        <v>42185</v>
      </c>
      <c r="EX1" s="461"/>
      <c r="EY1" s="461">
        <f>EU1+1</f>
        <v>2</v>
      </c>
      <c r="EZ1" s="461">
        <f t="shared" ref="EZ1" si="39">EY1+1</f>
        <v>3</v>
      </c>
      <c r="FA1" s="461">
        <f t="shared" ref="FA1" si="40">EZ1+1</f>
        <v>4</v>
      </c>
      <c r="FB1" s="461">
        <f t="shared" ref="FB1" si="41">FA1+1</f>
        <v>5</v>
      </c>
      <c r="FC1" s="461">
        <f t="shared" ref="FC1" si="42">FB1+1</f>
        <v>6</v>
      </c>
      <c r="FD1" s="461">
        <f t="shared" ref="FD1" si="43">FC1+1</f>
        <v>7</v>
      </c>
      <c r="FE1" s="461">
        <f t="shared" ref="FE1" si="44">FD1+1</f>
        <v>8</v>
      </c>
      <c r="FF1" s="461">
        <f t="shared" ref="FF1" si="45">FE1+1</f>
        <v>9</v>
      </c>
      <c r="FG1" s="461">
        <f t="shared" ref="FG1" si="46">FF1+1</f>
        <v>10</v>
      </c>
      <c r="FH1" s="461">
        <f t="shared" ref="FH1" si="47">FG1+1</f>
        <v>11</v>
      </c>
      <c r="FI1" s="461">
        <f t="shared" ref="FI1" si="48">FH1+1</f>
        <v>12</v>
      </c>
      <c r="FJ1" s="461">
        <f t="shared" ref="FJ1" si="49">FI1+1</f>
        <v>13</v>
      </c>
      <c r="FK1" s="461">
        <f t="shared" ref="FK1" si="50">FJ1+1</f>
        <v>14</v>
      </c>
      <c r="FL1" s="462">
        <f>DATE(2015,3,31)</f>
        <v>42094</v>
      </c>
      <c r="FM1" s="462"/>
    </row>
    <row r="2" spans="1:170" ht="22.5" customHeight="1">
      <c r="A2" s="116" t="s">
        <v>1514</v>
      </c>
      <c r="B2" s="468">
        <f>IF(Main!F16=Main!$BC$7,Main!G16-1+Main!H16,'IN RPS-2015'!$C$9)</f>
        <v>42005</v>
      </c>
      <c r="C2" s="61">
        <f>IF(B2='IN RPS-2015'!$C$9,0,IF(Main!$C$26="UGC",10,Main!I16))</f>
        <v>20</v>
      </c>
      <c r="D2" s="61" t="str">
        <f>IF(B2='IN RPS-2015'!$C$9,Main!$AX$4,Main!J16)</f>
        <v>Other Municipal Corporations</v>
      </c>
      <c r="E2" s="61">
        <f>IF($B$2='IN RPS-2015'!$C$9,0,Main!K16)</f>
        <v>0</v>
      </c>
      <c r="F2" s="61" t="str">
        <f>IF(B2='IN RPS-2015'!$C$9,Main!$AX$4,Main!L16)</f>
        <v>Not-Applicable</v>
      </c>
      <c r="G2" s="61" t="str">
        <f>IF(B2='IN RPS-2015'!$C$9,Main!$AX$4,Main!M16)</f>
        <v>Not-Applicable</v>
      </c>
      <c r="H2" s="469">
        <f>IF(C2=30,12000,8000)</f>
        <v>8000</v>
      </c>
      <c r="I2" s="457">
        <f>IF(C2=30,20000,15000)</f>
        <v>15000</v>
      </c>
      <c r="K2" s="470" t="s">
        <v>1513</v>
      </c>
      <c r="L2" s="471" t="s">
        <v>49</v>
      </c>
      <c r="M2" s="472" t="s">
        <v>1422</v>
      </c>
      <c r="N2" s="471" t="s">
        <v>1434</v>
      </c>
      <c r="O2" s="470" t="s">
        <v>1434</v>
      </c>
      <c r="P2" s="470" t="s">
        <v>1537</v>
      </c>
      <c r="Q2" s="473" t="s">
        <v>46</v>
      </c>
      <c r="R2" s="171" t="s">
        <v>29</v>
      </c>
      <c r="S2" s="171" t="s">
        <v>1349</v>
      </c>
      <c r="T2" s="171" t="s">
        <v>40</v>
      </c>
      <c r="U2" s="171" t="s">
        <v>1364</v>
      </c>
      <c r="V2" s="171" t="s">
        <v>48</v>
      </c>
      <c r="W2" s="171" t="s">
        <v>47</v>
      </c>
      <c r="X2" s="171" t="s">
        <v>1381</v>
      </c>
      <c r="Y2" s="171" t="s">
        <v>62</v>
      </c>
      <c r="Z2" s="171" t="s">
        <v>1382</v>
      </c>
      <c r="AA2" s="171" t="s">
        <v>2</v>
      </c>
      <c r="AB2" s="172"/>
      <c r="AC2" s="172"/>
      <c r="AD2" s="172" t="s">
        <v>1487</v>
      </c>
      <c r="AE2" s="431"/>
      <c r="AF2" s="1123" t="str">
        <f>H8</f>
        <v>DA</v>
      </c>
      <c r="AG2" s="1123"/>
      <c r="AH2" s="756" t="s">
        <v>1918</v>
      </c>
      <c r="AI2" s="474" t="s">
        <v>1513</v>
      </c>
      <c r="AJ2" s="475" t="s">
        <v>49</v>
      </c>
      <c r="AK2" s="476" t="s">
        <v>1422</v>
      </c>
      <c r="AL2" s="475" t="s">
        <v>1434</v>
      </c>
      <c r="AM2" s="474" t="s">
        <v>1434</v>
      </c>
      <c r="AN2" s="474" t="s">
        <v>1537</v>
      </c>
      <c r="AO2" s="477" t="s">
        <v>46</v>
      </c>
      <c r="AP2" s="187" t="s">
        <v>29</v>
      </c>
      <c r="AQ2" s="187" t="s">
        <v>1349</v>
      </c>
      <c r="AR2" s="187" t="s">
        <v>40</v>
      </c>
      <c r="AS2" s="187" t="s">
        <v>1364</v>
      </c>
      <c r="AT2" s="187" t="s">
        <v>48</v>
      </c>
      <c r="AU2" s="187" t="s">
        <v>47</v>
      </c>
      <c r="AV2" s="187" t="s">
        <v>1381</v>
      </c>
      <c r="AW2" s="187" t="s">
        <v>62</v>
      </c>
      <c r="AX2" s="187" t="s">
        <v>1382</v>
      </c>
      <c r="AY2" s="187" t="s">
        <v>2</v>
      </c>
      <c r="AZ2" s="191" t="s">
        <v>1564</v>
      </c>
      <c r="BA2" s="191" t="s">
        <v>1566</v>
      </c>
      <c r="BB2" s="172" t="s">
        <v>1487</v>
      </c>
      <c r="BC2" s="755" t="s">
        <v>1919</v>
      </c>
      <c r="BD2" s="478" t="s">
        <v>1513</v>
      </c>
      <c r="BE2" s="479" t="s">
        <v>49</v>
      </c>
      <c r="BF2" s="480" t="s">
        <v>1422</v>
      </c>
      <c r="BG2" s="479" t="s">
        <v>1434</v>
      </c>
      <c r="BH2" s="478" t="s">
        <v>1434</v>
      </c>
      <c r="BI2" s="478" t="s">
        <v>1537</v>
      </c>
      <c r="BJ2" s="481" t="s">
        <v>46</v>
      </c>
      <c r="BK2" s="189" t="s">
        <v>29</v>
      </c>
      <c r="BL2" s="189" t="s">
        <v>1349</v>
      </c>
      <c r="BM2" s="189" t="s">
        <v>40</v>
      </c>
      <c r="BN2" s="189" t="s">
        <v>1364</v>
      </c>
      <c r="BO2" s="189" t="s">
        <v>48</v>
      </c>
      <c r="BP2" s="189" t="s">
        <v>47</v>
      </c>
      <c r="BQ2" s="189" t="s">
        <v>1381</v>
      </c>
      <c r="BR2" s="189" t="s">
        <v>62</v>
      </c>
      <c r="BS2" s="189" t="s">
        <v>1382</v>
      </c>
      <c r="BT2" s="189" t="s">
        <v>2</v>
      </c>
      <c r="BU2" s="191" t="s">
        <v>1564</v>
      </c>
      <c r="BV2" s="191" t="s">
        <v>1566</v>
      </c>
      <c r="BW2" s="190" t="s">
        <v>1487</v>
      </c>
      <c r="BY2" s="751"/>
      <c r="BZ2" s="1123">
        <f>BB8</f>
        <v>1</v>
      </c>
      <c r="CA2" s="1123"/>
      <c r="CB2" s="756" t="s">
        <v>1918</v>
      </c>
      <c r="CC2" s="474" t="s">
        <v>1513</v>
      </c>
      <c r="CD2" s="475" t="s">
        <v>49</v>
      </c>
      <c r="CE2" s="476" t="s">
        <v>1422</v>
      </c>
      <c r="CF2" s="475" t="s">
        <v>1434</v>
      </c>
      <c r="CG2" s="474" t="s">
        <v>1434</v>
      </c>
      <c r="CH2" s="474" t="s">
        <v>1537</v>
      </c>
      <c r="CI2" s="477" t="s">
        <v>46</v>
      </c>
      <c r="CJ2" s="187" t="s">
        <v>29</v>
      </c>
      <c r="CK2" s="187" t="s">
        <v>1349</v>
      </c>
      <c r="CL2" s="187" t="s">
        <v>40</v>
      </c>
      <c r="CM2" s="187" t="s">
        <v>1364</v>
      </c>
      <c r="CN2" s="187" t="s">
        <v>48</v>
      </c>
      <c r="CO2" s="187" t="s">
        <v>47</v>
      </c>
      <c r="CP2" s="187" t="s">
        <v>1381</v>
      </c>
      <c r="CQ2" s="187" t="s">
        <v>62</v>
      </c>
      <c r="CR2" s="187" t="s">
        <v>1382</v>
      </c>
      <c r="CS2" s="187" t="s">
        <v>2</v>
      </c>
      <c r="CT2" s="191" t="s">
        <v>1564</v>
      </c>
      <c r="CU2" s="191" t="s">
        <v>1566</v>
      </c>
      <c r="CV2" s="172" t="s">
        <v>1487</v>
      </c>
      <c r="CW2" s="755" t="s">
        <v>1917</v>
      </c>
      <c r="CX2" s="478" t="s">
        <v>1513</v>
      </c>
      <c r="CY2" s="479" t="s">
        <v>49</v>
      </c>
      <c r="CZ2" s="480" t="s">
        <v>1422</v>
      </c>
      <c r="DA2" s="479" t="s">
        <v>1434</v>
      </c>
      <c r="DB2" s="478" t="s">
        <v>1434</v>
      </c>
      <c r="DC2" s="478" t="s">
        <v>1537</v>
      </c>
      <c r="DD2" s="481" t="s">
        <v>46</v>
      </c>
      <c r="DE2" s="189" t="s">
        <v>29</v>
      </c>
      <c r="DF2" s="189" t="s">
        <v>1349</v>
      </c>
      <c r="DG2" s="189" t="s">
        <v>40</v>
      </c>
      <c r="DH2" s="189" t="s">
        <v>1364</v>
      </c>
      <c r="DI2" s="189" t="s">
        <v>48</v>
      </c>
      <c r="DJ2" s="189" t="s">
        <v>47</v>
      </c>
      <c r="DK2" s="189" t="s">
        <v>1381</v>
      </c>
      <c r="DL2" s="189" t="s">
        <v>62</v>
      </c>
      <c r="DM2" s="189" t="s">
        <v>1382</v>
      </c>
      <c r="DN2" s="189" t="s">
        <v>2</v>
      </c>
      <c r="DO2" s="191" t="s">
        <v>1564</v>
      </c>
      <c r="DP2" s="191" t="s">
        <v>1566</v>
      </c>
      <c r="DQ2" s="190" t="s">
        <v>1487</v>
      </c>
      <c r="DR2" s="457"/>
      <c r="DS2" s="752"/>
      <c r="DT2" s="1123">
        <f>CV8</f>
        <v>1</v>
      </c>
      <c r="DU2" s="1123"/>
      <c r="DV2" s="756" t="s">
        <v>1918</v>
      </c>
      <c r="DW2" s="474" t="s">
        <v>1513</v>
      </c>
      <c r="DX2" s="475" t="s">
        <v>49</v>
      </c>
      <c r="DY2" s="476" t="s">
        <v>1422</v>
      </c>
      <c r="DZ2" s="475" t="s">
        <v>1434</v>
      </c>
      <c r="EA2" s="474" t="s">
        <v>1434</v>
      </c>
      <c r="EB2" s="474" t="s">
        <v>1537</v>
      </c>
      <c r="EC2" s="477" t="s">
        <v>46</v>
      </c>
      <c r="ED2" s="187" t="s">
        <v>29</v>
      </c>
      <c r="EE2" s="187" t="s">
        <v>1349</v>
      </c>
      <c r="EF2" s="187" t="s">
        <v>40</v>
      </c>
      <c r="EG2" s="187" t="s">
        <v>1364</v>
      </c>
      <c r="EH2" s="187" t="s">
        <v>48</v>
      </c>
      <c r="EI2" s="187" t="s">
        <v>47</v>
      </c>
      <c r="EJ2" s="187" t="s">
        <v>1381</v>
      </c>
      <c r="EK2" s="187" t="s">
        <v>62</v>
      </c>
      <c r="EL2" s="187" t="s">
        <v>1382</v>
      </c>
      <c r="EM2" s="187" t="s">
        <v>2</v>
      </c>
      <c r="EN2" s="191" t="s">
        <v>1564</v>
      </c>
      <c r="EO2" s="191" t="s">
        <v>1566</v>
      </c>
      <c r="EP2" s="172" t="s">
        <v>1487</v>
      </c>
      <c r="ER2" s="1123">
        <f>DT8</f>
        <v>0</v>
      </c>
      <c r="ES2" s="1123"/>
      <c r="ET2" s="756" t="s">
        <v>1918</v>
      </c>
      <c r="EU2" s="474" t="s">
        <v>1513</v>
      </c>
      <c r="EV2" s="475" t="s">
        <v>49</v>
      </c>
      <c r="EW2" s="476" t="s">
        <v>1422</v>
      </c>
      <c r="EX2" s="475" t="s">
        <v>1434</v>
      </c>
      <c r="EY2" s="474" t="s">
        <v>1434</v>
      </c>
      <c r="EZ2" s="474" t="s">
        <v>1537</v>
      </c>
      <c r="FA2" s="477" t="s">
        <v>46</v>
      </c>
      <c r="FB2" s="187" t="s">
        <v>29</v>
      </c>
      <c r="FC2" s="187" t="s">
        <v>1349</v>
      </c>
      <c r="FD2" s="187" t="s">
        <v>40</v>
      </c>
      <c r="FE2" s="187" t="s">
        <v>1364</v>
      </c>
      <c r="FF2" s="187" t="s">
        <v>48</v>
      </c>
      <c r="FG2" s="187" t="s">
        <v>47</v>
      </c>
      <c r="FH2" s="187" t="s">
        <v>1381</v>
      </c>
      <c r="FI2" s="187" t="s">
        <v>62</v>
      </c>
      <c r="FJ2" s="187" t="s">
        <v>1382</v>
      </c>
      <c r="FK2" s="187" t="s">
        <v>2</v>
      </c>
      <c r="FL2" s="191" t="s">
        <v>1564</v>
      </c>
      <c r="FM2" s="191" t="s">
        <v>1566</v>
      </c>
      <c r="FN2" s="172" t="s">
        <v>1487</v>
      </c>
    </row>
    <row r="3" spans="1:170">
      <c r="A3" s="116" t="s">
        <v>1515</v>
      </c>
      <c r="B3" s="468">
        <f>IF(Main!F17=Main!$BC$7,Main!G17-1+Main!H17,'IN RPS-2015'!$C$9)</f>
        <v>42461</v>
      </c>
      <c r="C3" s="61">
        <f>IF(B3='IN RPS-2015'!$C$9,0,Main!I17)</f>
        <v>0</v>
      </c>
      <c r="D3" s="61" t="str">
        <f>IF(B3='IN RPS-2015'!$C$9,Main!$AX$4,Main!J17)</f>
        <v>Not-Applicable</v>
      </c>
      <c r="E3" s="61">
        <f>IF($B$2='IN RPS-2015'!$C$9,0,Main!K17)</f>
        <v>0</v>
      </c>
      <c r="F3" s="61" t="str">
        <f>IF(B3='IN RPS-2015'!$C$9,Main!$AX$4,Main!L17)</f>
        <v>Not-Applicable</v>
      </c>
      <c r="G3" s="61" t="str">
        <f>IF(B3='IN RPS-2015'!$C$9,Main!$AX$4,Main!M17)</f>
        <v>Not-Applicable</v>
      </c>
      <c r="H3" s="469">
        <f>IF(C3=30,12000,8000)</f>
        <v>8000</v>
      </c>
      <c r="I3" s="457">
        <f t="shared" ref="I3:I4" si="51">IF(C3=30,20000,15000)</f>
        <v>15000</v>
      </c>
      <c r="K3" s="482">
        <f>IF(L3="","",DATE(YEAR(L3),MONTH(L3),1))</f>
        <v>42064</v>
      </c>
      <c r="L3" s="483">
        <f>L1</f>
        <v>42064</v>
      </c>
      <c r="M3" s="484">
        <f>IF(L3="","",MIN(EOMONTH(L3,0),VLOOKUP(L3,'IN RPS-2015'!$O$164:$P$202,2,TRUE)-1,LOOKUP(L3,$E$47:$F$53)-1,IF(L3&lt;$B$2,$B$2-1,'IN RPS-2015'!$Q$9),IF(L3&lt;$B$3,$B$3-1,'IN RPS-2015'!$Q$9),IF(L3&lt;$B$4,$B$4-1,'IN RPS-2015'!$Q$9),LOOKUP(L3,$H$47:$I$53)))</f>
        <v>42094</v>
      </c>
      <c r="N3" s="485">
        <f>IF(L3="","",VLOOKUP(L3,'Advance Tax'!$A$3:$C$14,3))</f>
        <v>25600</v>
      </c>
      <c r="O3" s="457">
        <f t="shared" ref="O3:O27" si="52">IF(L3="","",ROUND(IF(AD3=3,0,IF(AD3=2,N3/2,N3))*(DAY(M3)-DAY(L3)+1)/DAY(EOMONTH(L3,0)),0))</f>
        <v>25600</v>
      </c>
      <c r="P3" s="457">
        <f>IF(L3="","",ROUND(IF(AD3=3,0,IF(AD3=2,IF(N3=VLOOKUP(N3,'IN RPS-2015'!$I$2:$J$5,1),0,Main!$H$9)/2,IF(N3=VLOOKUP(N3,'IN RPS-2015'!$I$2:$J$5,1),0,Main!$H$9)))*(DAY(M3)-DAY(L3)+1)/DAY(EOMONTH(L3,0)),0))</f>
        <v>105</v>
      </c>
      <c r="Q3" s="457">
        <f>IF(L3="","",IF(N3=VLOOKUP(N3,'IN RPS-2015'!$I$2:$J$5,1),0,ROUND(O3*IF(L3&lt;Main!$C$27,VLOOKUP(L3,$H$9:$J$12,3),VLOOKUP(L3,$H$9:$J$12,2))%,0)))</f>
        <v>19941</v>
      </c>
      <c r="R3" s="457">
        <f>IF(L3="","",IF(OR(AD3=3,N3=VLOOKUP(N3,'IN RPS-2015'!$I$2:$J$5,1)),0,ROUND(MIN(ROUND(N3*VLOOKUP(L3,$B$1:$G$4,2)%,0),VLOOKUP(L3,$B$2:$I$4,IF(L3&lt;$G$7,7,8),TRUE))*(DAY(M3)-DAY(L3)+1)/DAY(EOMONTH(L3,0)),0)))</f>
        <v>5120</v>
      </c>
      <c r="S3" s="486">
        <f>IF(L3="","",IF(Main!$C$26="UGC",0,IF(OR(L3&lt;DATE(2010,4,1),$I$6=VLOOKUP(L3,$B$2:$G$4,5,TRUE),N3=VLOOKUP(N3,'IN RPS-2015'!$I$2:$J$5,1)),0,ROUND(IF(AD3=3,0,IF(AD3=2,MIN(ROUND(N3*$G$13%,0),IF(L3&lt;$J$152,$G$14,$G$15))/2,MIN(ROUND(N3*$G$13%,0),IF(L3&lt;$J$152,$G$14,$G$15))))*(DAY(M3)-DAY(L3)+1)/DAY(EOMONTH(L3,0)),0))))</f>
        <v>0</v>
      </c>
      <c r="T3" s="457">
        <f>IF(L3="","",IF(Main!$C$26="UGC",0,IF(N3=VLOOKUP(N3,'IN RPS-2015'!$I$2:$J$5,1),0,ROUND(O3*VLOOKUP(L3,$H$205:$I$206,2)%,0))))</f>
        <v>6912</v>
      </c>
      <c r="U3" s="457">
        <f>IF(L3="","",IF(Main!$C$26="UGC",0,IF(L3&lt;DATE(2010,4,1),0,IF(OR(AD3=2,AD3=3,N3=VLOOKUP(N3,'IN RPS-2015'!$I$2:$J$5,1)),0,ROUND(IF(L3&lt;$J$152,VLOOKUP(L3,$B$1:$G$4,4),VLOOKUP(VLOOKUP(L3,$B$1:$G$4,4),Main!$CE$2:$CF$5,2,FALSE))*(DAY(M3)-DAY(L3)+1)/DAY(EOMONTH(L3,0)),0)))))</f>
        <v>0</v>
      </c>
      <c r="V3" s="457">
        <f>IF(L3="","",IF(OR(AD3=2,AD3=3,$D$31=$D$28,N3=VLOOKUP(N3,'IN RPS-2015'!$I$2:$J$5,1)),0,ROUND(MIN(VLOOKUP(K3,$A$27:$C$29,2,TRUE),ROUND(N3*VLOOKUP(K3,$A$27:$C$29,3,TRUE)%,0))*IF(K3=$A$36,$C$36,IF(K3=$A$37,$C$37,IF(K3=$A$38,$C$38,IF(K3=$A$39,$C$39,IF(K3=$A$40,$C$40,IF(K3=$A$41,$C$41,1))))))*(DAY(M3)-DAY(L3)+1)/DAY(EOMONTH(L3,0)),0)))</f>
        <v>900</v>
      </c>
      <c r="W3" s="457">
        <f>IF(L3="","",IF(Main!$C$26="UGC",0,IF(OR(AD3=3,N3=VLOOKUP(N3,'IN RPS-2015'!$I$2:$J$5,1)),0,ROUND(IF(AD3=2,VLOOKUP(N3,IF(L3&lt;$G$7,$A$20:$E$23,$F$144:$J$147),IF($B$19=VLOOKUP(L3,$B$2:$G$4,3,TRUE),2,IF($C$19=VLOOKUP(L3,$B$2:$G$4,3,TRUE),3,IF($D$19=VLOOKUP(L3,$B$2:$G$4,3,TRUE),4,5))),TRUE),VLOOKUP(N3,IF(L3&lt;$G$7,$A$20:$E$23,$F$144:$J$147),IF($B$19=VLOOKUP(L3,$B$2:$G$4,3,TRUE),2,IF($C$19=VLOOKUP(L3,$B$2:$G$4,3,TRUE),3,IF($D$19=VLOOKUP(L3,$B$2:$G$4,3,TRUE),4,5))),TRUE))*(DAY(M3)-DAY(L3)+1)/DAY(EOMONTH(L3,0)),0))))</f>
        <v>140</v>
      </c>
      <c r="X3" s="457">
        <f>IF(L3="","",IF(Main!$C$26="UGC",0,IF(OR(K3&lt;DATE(2010,4,1),AD3=3,N3=VLOOKUP(N3,'IN RPS-2015'!$I$2:$J$5,1)),0,ROUND(IF(AD3=2,IF(L3&lt;$J$152,Main!$L$9,Main!$CI$3)/2,IF(L3&lt;$J$152,Main!$L$9,Main!$CI$3))*(DAY(M3)-DAY(L3)+1)/DAY(EOMONTH(L3,0)),0))))</f>
        <v>0</v>
      </c>
      <c r="Z3" s="457">
        <f>IF(L3="","",IF(Main!$C$26="UGC",0,IF(OR(AD3=3,N3=VLOOKUP(N3,'IN RPS-2015'!$I$2:$J$5,1)),0,ROUND(IF(AD3=2,VLOOKUP(O3,IF(L3&lt;$J$152,$A$154:$E$159,$F$154:$J$159),IF($B$10=VLOOKUP(K3,$B$2:$G$4,6,TRUE),2,IF($B$10=VLOOKUP(K3,$B$2:$G$4,6,TRUE),3,IF($D$10=VLOOKUP(K3,$B$2:$G$4,6,TRUE),4,5))))/2,VLOOKUP(O3,IF(L3&lt;$J$152,$A$154:$E$159,$F$154:$J$159),IF($B$10=VLOOKUP(K3,$B$2:$G$4,6,TRUE),2,IF($B$10=VLOOKUP(K3,$B$2:$G$4,6,TRUE),3,IF($D$10=VLOOKUP(K3,$B$2:$G$4,6,TRUE),4,5)))))*(DAY(M3)-DAY(L3)+1)/DAY(EOMONTH(L3,0)),0))))</f>
        <v>0</v>
      </c>
      <c r="AA3" s="457">
        <f>SUM(O3:Z3)</f>
        <v>58718</v>
      </c>
      <c r="AD3" s="457">
        <f t="shared" ref="AD3:AD27" si="53">IF(OR(AND(L3=$E$48,$G$48=3),AND(L3=$E$49,$G$49=3),AND(L3=$E$50,$G$50=3),AND(L3=$E$51,$G$51=3),AND(L3=$E$52,$G$52=3),AND(L3=$E$53,$G$53=3)),3,IF(OR(AND(L3=$E$48,$G$48=2),AND(L3=$E$49,$G$49=2),AND(L3=$E$50,$G$50=2),AND(L3=$E$51,$G$51=2),AND(L3=$E$52,$G$52=2),AND(L3=$E$53,$G$53=2)),2,1))</f>
        <v>1</v>
      </c>
      <c r="AE3" s="460"/>
      <c r="AF3" s="487" t="str">
        <f>H8</f>
        <v>DA</v>
      </c>
      <c r="AG3" s="487" t="str">
        <f>IF(AK1&lt;Main!$C$27,$I$29,$I$28)</f>
        <v>RPS-2015</v>
      </c>
      <c r="AH3" s="461"/>
      <c r="AI3" s="488" t="str">
        <f t="shared" ref="AI3:AI50" si="54">IF(AJ3="","",DATE(YEAR(AJ3),MONTH(AJ3),1))</f>
        <v/>
      </c>
      <c r="AJ3" s="489" t="str">
        <f>IF(AJ1&gt;='IN RPS-2015'!$C$9,"",AJ1)</f>
        <v/>
      </c>
      <c r="AK3" s="484" t="str">
        <f>IF(AJ3="","",MIN(EOMONTH(AJ3,0),VLOOKUP(AJ3,'IN RPS-2015'!$O$164:$P$202,2,TRUE)-1,LOOKUP(AJ3,$E$47:$F$53)-1,IF(AJ3&lt;$B$2,$B$2-1,'IN RPS-2015'!$Q$9),IF(AJ3&lt;$B$3,$B$3-1,'IN RPS-2015'!$Q$9),IF(AJ3&lt;$B$4,$B$4-1,'IN RPS-2015'!$Q$9),LOOKUP(AJ3,$H$47:$I$53)))</f>
        <v/>
      </c>
      <c r="AL3" s="490" t="str">
        <f>IF(AJ3="","",VLOOKUP(AJ3,'IN RPS-2015'!$P$164:$AA$202,9))</f>
        <v/>
      </c>
      <c r="AM3" s="461" t="str">
        <f>IF(AJ3="","",IF(AND($AG$3=$AG$1,AJ3&lt;=$AZ$1),0,ROUND(IF(BB3=3,0,IF(BB3=2,AL3/2,AL3))*(DAY(AK3)-DAY(AJ3)+1)/DAY(EOMONTH(AJ3,0)),0)))</f>
        <v/>
      </c>
      <c r="AN3" s="461" t="str">
        <f>IF(AJ3="","",IF(AND($AG$3=$AG$1,AJ3&lt;=$AZ$1),0,ROUND(IF(BB3=3,0,IF(BB3=2,IF(AL3=VLOOKUP(AL3,'IN RPS-2015'!$I$2:$J$5,1),0,Main!$H$9)/2,IF(AL3=VLOOKUP(AL3,'IN RPS-2015'!$I$2:$J$5,1),0,Main!$H$9)))*(DAY(AK3)-DAY(AJ3)+1)/DAY(EOMONTH(AJ3,0)),0)))</f>
        <v/>
      </c>
      <c r="AO3" s="461" t="str">
        <f>IF(AJ3="","",IF(AND($AG$3=$AG$1,AJ3&lt;=$AZ$1),0,IF(AL3=VLOOKUP(AL3,'IN RPS-2015'!$I$2:$J$5,1),0,ROUND(AM3*VLOOKUP(AJ3,$AF$4:$AG$7,2)%,0))))</f>
        <v/>
      </c>
      <c r="AP3" s="461" t="str">
        <f>IF(AJ3="","",IF(AND($AG$3=$AG$1,AJ3&lt;=$AZ$1),0,IF(OR(BB3=3,AL3=VLOOKUP(AL3,'IN RPS-2015'!$I$2:$J$5,1)),0,ROUND(MIN(ROUND(AL3*VLOOKUP(AJ3,$B$1:$G$4,2)%,0),VLOOKUP(AJ3,$B$2:$I$4,IF($AG$3=$I$29,7,8),TRUE))*(DAY(AK3)-DAY(AJ3)+1)/DAY(EOMONTH(AJ3,0)),0))))</f>
        <v/>
      </c>
      <c r="AQ3" s="491" t="str">
        <f>IF(AJ3="","",IF(AND($AG$3=$AG$1,AJ3&lt;=$AZ$1),0,IF(Main!$C$26="UGC",0,IF(OR(AJ3&lt;DATE(2010,4,1),$I$6=VLOOKUP(AJ3,$B$2:$G$4,5,TRUE),AL3=VLOOKUP(AL3,'IN RPS-2015'!$I$2:$J$5,1)),0,ROUND(IF(BB3=3,0,IF(BB3=2,MIN(ROUND(AL3*$G$13%,0),IF(AJ3&lt;$J$152,$G$14,$G$15))/2,MIN(ROUND(AL3*$G$13%,0),IF(AJ3&lt;$J$152,$G$14,$G$15))))*(DAY(AK3)-DAY(AJ3)+1)/DAY(EOMONTH(AJ3,0)),0)))))</f>
        <v/>
      </c>
      <c r="AR3" s="461" t="str">
        <f>IF(AJ3="","",IF(AND($AG$3=$AG$1,AJ3&lt;=$AZ$1),0,IF(Main!$C$26="UGC",0,IF(AL3=VLOOKUP(AL3,'IN RPS-2015'!$I$2:$J$5,1),0,ROUND(AM3*VLOOKUP(AJ3,$AF$11:$AG$12,2)%,0)))))</f>
        <v/>
      </c>
      <c r="AS3" s="461" t="str">
        <f>IF(AJ3="","",IF(AND($AG$3=$AG$1,AJ3&lt;=$AZ$1),0,IF(Main!$C$26="UGC",0,IF(AJ3&lt;DATE(2010,4,1),0,IF(OR(BB3=2,BB3=3,AL3=VLOOKUP(AL3,'IN RPS-2015'!$I$2:$J$5,1)),0,ROUND(IF(AJ3&lt;$J$152,VLOOKUP(AJ3,$B$1:$G$4,4),VLOOKUP(VLOOKUP(AJ3,$B$1:$G$4,4),Main!$CE$2:$CF$5,2,FALSE))*(DAY(AK3)-DAY(AJ3)+1)/DAY(EOMONTH(AJ3,0)),0))))))</f>
        <v/>
      </c>
      <c r="AT3" s="461" t="str">
        <f>IF(AJ3="","",IF(AND($AG$3=$AG$1,AJ3&lt;=$AZ$1),0,IF(OR(BB3=2,BB3=3,$D$31=$D$28,AL3=VLOOKUP(AL3,'IN RPS-2015'!$I$2:$J$5,1)),0,ROUND(MIN(VLOOKUP(AI3,$A$27:$C$29,2,TRUE),ROUND(AL3*VLOOKUP(AI3,$A$27:$C$29,3,TRUE)%,0))*IF(AI3=$A$36,$C$36,IF(AI3=$A$37,$C$37,IF(AI3=$A$38,$C$38,IF(AI3=$A$39,$C$39,IF(AI3=$A$40,$C$40,IF(AI3=$A$41,$C$41,1))))))*(DAY(AK3)-DAY(AJ3)+1)/DAY(EOMONTH(AJ3,0)),0))))</f>
        <v/>
      </c>
      <c r="AU3" s="461" t="str">
        <f>IF(AJ3="","",IF(AND($AG$3=$AG$1,AJ3&lt;=$AZ$1),0,IF(Main!$C$26="UGC",0,IF(OR(BB3=3,AL3=VLOOKUP(AL3,'IN RPS-2015'!$I$2:$J$5,1)),0,ROUND(IF(BB3=2,VLOOKUP(AL3,IF($AG$3=$I$29,$A$20:$E$23,$F$144:$J$147),IF($B$19=VLOOKUP(AJ3,$B$2:$G$4,3,TRUE),2,IF($C$19=VLOOKUP(AJ3,$B$2:$G$4,3,TRUE),3,IF($D$19=VLOOKUP(AJ3,$B$2:$G$4,3,TRUE),4,5))),TRUE),VLOOKUP(AL3,IF($AG$3=$I$29,$A$20:$E$23,$F$144:$J$147),IF($B$19=VLOOKUP(AJ3,$B$2:$G$4,3,TRUE),2,IF($C$19=VLOOKUP(AJ3,$B$2:$G$4,3,TRUE),3,IF($D$19=VLOOKUP(AJ3,$B$2:$G$4,3,TRUE),4,5))),TRUE))*(DAY(AK3)-DAY(AJ3)+1)/DAY(EOMONTH(AJ3,0)),0)))))</f>
        <v/>
      </c>
      <c r="AV3" s="461" t="str">
        <f>IF(AJ3="","",IF(AND($AG$3=$AG$1,AJ3&lt;=$AZ$1),0,IF(Main!$C$26="UGC",0,IF(OR(AI3&lt;DATE(2010,4,1),BB3=3,AL3=VLOOKUP(AL3,'IN RPS-2015'!$I$2:$J$5,1)),0,ROUND(IF(BB3=2,IF(AJ3&lt;$J$152,Main!$L$9,Main!$CI$3)/2,IF(AJ3&lt;$J$152,Main!$L$9,Main!$CI$3))*(DAY(AK3)-DAY(AJ3)+1)/DAY(EOMONTH(AJ3,0)),0)))))</f>
        <v/>
      </c>
      <c r="AW3" s="461"/>
      <c r="AX3" s="461" t="str">
        <f>IF(AJ3="","",IF(AND($AG$3=$AG$1,AJ3&lt;=$AZ$1),0,IF(Main!$C$26="UGC",0,IF(OR(BB3=3,AL3=VLOOKUP(AL3,'IN RPS-2015'!$I$2:$J$5,1)),0,ROUND(IF(BB3=2,VLOOKUP(AM3,IF(AJ3&lt;$J$152,$A$154:$E$159,$F$154:$J$159),IF($B$10=VLOOKUP(AI3,$B$2:$G$4,6,TRUE),2,IF($B$10=VLOOKUP(AI3,$B$2:$G$4,6,TRUE),3,IF($D$10=VLOOKUP(AI3,$B$2:$G$4,6,TRUE),4,5))))/2,VLOOKUP(AM3,IF(AJ3&lt;$J$152,$A$154:$E$159,$F$154:$J$159),IF($B$10=VLOOKUP(AI3,$B$2:$G$4,6,TRUE),2,IF($B$10=VLOOKUP(AI3,$B$2:$G$4,6,TRUE),3,IF($D$10=VLOOKUP(AI3,$B$2:$G$4,6,TRUE),4,5)))))*(DAY(AK3)-DAY(AJ3)+1)/DAY(EOMONTH(AJ3,0)),0)))))</f>
        <v/>
      </c>
      <c r="AY3" s="461">
        <f>SUM(AM3:AX3)</f>
        <v>0</v>
      </c>
      <c r="AZ3" s="464" t="str">
        <f>IF(AJ3="","",IF(AND($AG$3=$AG$1,AJ3&lt;=$AZ$1),0,IF(AND(Main!$F$22=Main!$CA$24,AJ3&gt;$AZ$1),ROUND(SUM(AM3,AO3)*10%,0),"")))</f>
        <v/>
      </c>
      <c r="BA3" s="464" t="str">
        <f>IF(AI3="","",IF(AND($AG$3=$AG$1,AJ3&lt;=$AZ$1),0,IF(OR(Main!$H$10=Main!$BH$4,Main!$H$10=Main!$BH$5),0,LOOKUP(AY3*DAY(EOMONTH(AJ3,0))/(DAY(AK3)-DAY(AJ3)+1),$H$184:$I$189))))</f>
        <v/>
      </c>
      <c r="BB3" s="457">
        <f t="shared" ref="BB3:BB50" si="55">IF(OR(AND(AJ3=$E$48,$G$48=3),AND(AJ3=$E$49,$G$49=3),AND(AJ3=$E$50,$G$50=3),AND(AJ3=$E$51,$G$51=3),AND(AJ3=$E$52,$G$52=3),AND(AJ3=$E$53,$G$53=3)),3,IF(OR(AND(AJ3=$E$48,$G$48=2),AND(AJ3=$E$49,$G$49=2),AND(AJ3=$E$50,$G$50=2),AND(AJ3=$E$51,$G$51=2),AND(AJ3=$E$52,$G$52=2),AND(AJ3=$E$53,$G$53=2)),2,1))</f>
        <v>1</v>
      </c>
      <c r="BC3" s="464"/>
      <c r="BD3" s="492" t="str">
        <f t="shared" ref="BD3:BD50" si="56">IF(BE3="","",DATE(YEAR(BE3),MONTH(BE3),1))</f>
        <v/>
      </c>
      <c r="BE3" s="489" t="str">
        <f>IF(BE1&gt;='IN RPS-2015'!$C$9,"",BE1)</f>
        <v/>
      </c>
      <c r="BF3" s="484" t="str">
        <f>IF(BE3="","",MIN(EOMONTH(BE3,0),VLOOKUP(BE3,'IN RPS-2015'!$O$164:$P$202,2,TRUE)-1,LOOKUP(BE3,$E$47:$F$53)-1,IF(BE3&lt;$B$2,$B$2-1,'IN RPS-2015'!$Q$9),IF(BE3&lt;$B$3,$B$3-1,'IN RPS-2015'!$Q$9),IF(BE3&lt;$B$4,$B$4-1,'IN RPS-2015'!$Q$9),LOOKUP(BE3,$H$47:$I$53)))</f>
        <v/>
      </c>
      <c r="BG3" s="493" t="str">
        <f>IF(BE3="","",VLOOKUP(BE3,'IN RPS-2015'!$P$164:$AA$202,10))</f>
        <v/>
      </c>
      <c r="BH3" s="461" t="str">
        <f>IF(BE3="","",IF(AND($AG$3=$AG$1,BE3&lt;=$AZ$1),0,ROUND(IF(BW3=3,0,IF(BW3=2,BG3/2,BG3))*(DAY(BF3)-DAY(BE3)+1)/DAY(EOMONTH(BE3,0)),0)))</f>
        <v/>
      </c>
      <c r="BI3" s="461" t="str">
        <f>IF(BE3="","",IF(AND($AG$3=$AG$1,BE3&lt;=$AZ$1),0,ROUND(IF(BW3=3,0,IF(BW3=2,IF(BG3=VLOOKUP(BG3,'IN RPS-2015'!$I$2:$J$5,1),0,Main!$H$9)/2,IF(BG3=VLOOKUP(BG3,'IN RPS-2015'!$I$2:$J$5,1),0,Main!$H$9)))*(DAY(BF3)-DAY(BE3)+1)/DAY(EOMONTH(BE3,0)),0)))</f>
        <v/>
      </c>
      <c r="BJ3" s="461" t="str">
        <f>IF(BE3="","",IF(AND($AG$3=$AG$1,BE3&lt;=$AZ$1),0,IF(BG3=VLOOKUP(BG3,'IN RPS-2015'!$I$2:$J$5,1),0,ROUND(BH3*VLOOKUP(BE3,$AF$4:$AG$7,2)%,0))))</f>
        <v/>
      </c>
      <c r="BK3" s="461" t="str">
        <f>IF(BE3="","",IF(AND($AG$3=$AG$1,BE3&lt;=$AZ$1),0,IF(OR(BW3=3,BG3=VLOOKUP(BG3,'IN RPS-2015'!$I$2:$J$5,1)),0,ROUND(MIN(ROUND(BG3*VLOOKUP(BE3,$B$1:$G$4,2)%,0),VLOOKUP(BE3,$B$2:$I$4,IF($AG$3=$I$29,7,8),TRUE))*(DAY(BF3)-DAY(BE3)+1)/DAY(EOMONTH(BE3,0)),0))))</f>
        <v/>
      </c>
      <c r="BL3" s="491" t="str">
        <f>IF(BE3="","",IF(AND($AG$3=$AG$1,BE3&lt;=$AZ$1),0,IF(Main!$C$26="UGC",0,IF(OR(BE3&lt;DATE(2010,4,1),$I$6=VLOOKUP(BE3,$B$2:$G$4,5,TRUE),BG3=VLOOKUP(BG3,'IN RPS-2015'!$I$2:$J$5,1)),0,ROUND(IF(BW3=3,0,IF(BW3=2,MIN(ROUND(BG3*$G$13%,0),IF(BE3&lt;$J$152,$G$14,$G$15))/2,MIN(ROUND(BG3*$G$13%,0),IF(BE3&lt;$J$152,$G$14,$G$15))))*(DAY(BF3)-DAY(BE3)+1)/DAY(EOMONTH(BE3,0)),0)))))</f>
        <v/>
      </c>
      <c r="BM3" s="461" t="str">
        <f>IF(BE3="","",IF(AND($AG$3=$AG$1,BE3&lt;=$AZ$1),0,IF(Main!$C$26="UGC",0,IF(BG3=VLOOKUP(BG3,'IN RPS-2015'!$I$2:$J$5,1),0,ROUND(BH3*VLOOKUP(BE3,$AF$11:$AG$12,2)%,0)))))</f>
        <v/>
      </c>
      <c r="BN3" s="461" t="str">
        <f>IF(BE3="","",IF(AND($AG$3=$AG$1,BE3&lt;=$AZ$1),0,IF(Main!$C$26="UGC",0,IF(BE3&lt;DATE(2010,4,1),0,IF(OR(BW3=2,BW3=3,BG3=VLOOKUP(BG3,'IN RPS-2015'!$I$2:$J$5,1)),0,ROUND(IF(BE3&lt;$J$152,VLOOKUP(BE3,$B$1:$G$4,4),VLOOKUP(VLOOKUP(BE3,$B$1:$G$4,4),Main!$CE$2:$CF$5,2,FALSE))*(DAY(BF3)-DAY(BE3)+1)/DAY(EOMONTH(BE3,0)),0))))))</f>
        <v/>
      </c>
      <c r="BO3" s="461" t="str">
        <f>IF(BE3="","",IF(AND($AG$3=$AG$1,BE3&lt;=$AZ$1),0,IF(OR(BW3=2,BW3=3,$D$31=$D$28,BG3=VLOOKUP(BG3,'IN RPS-2015'!$I$2:$J$5,1)),0,ROUND(MIN(VLOOKUP(BD3,$A$27:$C$29,2,TRUE),ROUND(BG3*VLOOKUP(BD3,$A$27:$C$29,3,TRUE)%,0))*IF(BD3=$A$36,$C$36,IF(BD3=$A$37,$C$37,IF(BD3=$A$38,$C$38,IF(BD3=$A$39,$C$39,IF(BD3=$A$40,$C$40,IF(BD3=$A$41,$C$41,1))))))*(DAY(BF3)-DAY(BE3)+1)/DAY(EOMONTH(BE3,0)),0))))</f>
        <v/>
      </c>
      <c r="BP3" s="461" t="str">
        <f>IF(BE3="","",IF(AND($AG$3=$AG$1,BE3&lt;=$AZ$1),0,IF(Main!$C$26="UGC",0,IF(OR(BW3=3,BG3=VLOOKUP(BG3,'IN RPS-2015'!$I$2:$J$5,1)),0,ROUND(IF(BW3=2,VLOOKUP(BG3,IF($AG$3=$I$29,$A$20:$E$23,$F$144:$J$147),IF($B$19=VLOOKUP(BE3,$B$2:$G$4,3,TRUE),2,IF($C$19=VLOOKUP(BE3,$B$2:$G$4,3,TRUE),3,IF($D$19=VLOOKUP(BE3,$B$2:$G$4,3,TRUE),4,5))),TRUE),VLOOKUP(BG3,IF($AG$3=$I$29,$A$20:$E$23,$F$144:$J$147),IF($B$19=VLOOKUP(BE3,$B$2:$G$4,3,TRUE),2,IF($C$19=VLOOKUP(BE3,$B$2:$G$4,3,TRUE),3,IF($D$19=VLOOKUP(BE3,$B$2:$G$4,3,TRUE),4,5))),TRUE))*(DAY(BF3)-DAY(BE3)+1)/DAY(EOMONTH(BE3,0)),0)))))</f>
        <v/>
      </c>
      <c r="BQ3" s="461" t="str">
        <f>IF(BE3="","",IF(AND($AG$3=$AG$1,BE3&lt;=$AZ$1),0,IF(Main!$C$26="UGC",0,IF(OR(BD3&lt;DATE(2010,4,1),BW3=3,BG3=VLOOKUP(BG3,'IN RPS-2015'!$I$2:$J$5,1)),0,ROUND(IF(BW3=2,IF(BE3&lt;$J$152,Main!$L$9,Main!$CI$3)/2,IF(BE3&lt;$J$152,Main!$L$9,Main!$CI$3))*(DAY(BF3)-DAY(BE3)+1)/DAY(EOMONTH(BE3,0)),0)))))</f>
        <v/>
      </c>
      <c r="BR3" s="461"/>
      <c r="BS3" s="461" t="str">
        <f>IF(BE3="","",IF(AND($AG$3=$AG$1,BE3&lt;=$AZ$1),0,IF(Main!$C$26="UGC",0,IF(OR(BW3=3,BG3=VLOOKUP(BG3,'IN RPS-2015'!$I$2:$J$5,1)),0,ROUND(IF(BW3=2,VLOOKUP(BH3,IF(BE3&lt;$J$152,$A$154:$E$159,$F$154:$J$159),IF($B$10=VLOOKUP(BD3,$B$2:$G$4,6,TRUE),2,IF($B$10=VLOOKUP(BD3,$B$2:$G$4,6,TRUE),3,IF($D$10=VLOOKUP(BD3,$B$2:$G$4,6,TRUE),4,5))))/2,VLOOKUP(BH3,IF(BE3&lt;$J$152,$A$154:$E$159,$F$154:$J$159),IF($B$10=VLOOKUP(BD3,$B$2:$G$4,6,TRUE),2,IF($B$10=VLOOKUP(BD3,$B$2:$G$4,6,TRUE),3,IF($D$10=VLOOKUP(BD3,$B$2:$G$4,6,TRUE),4,5)))))*(DAY(BF3)-DAY(BE3)+1)/DAY(EOMONTH(BE3,0)),0)))))</f>
        <v/>
      </c>
      <c r="BT3" s="461">
        <f>SUM(BH3:BS3)</f>
        <v>0</v>
      </c>
      <c r="BU3" s="464" t="str">
        <f>IF(BE3="","",IF(AND($AG$3=$AG$1,BE3&lt;=$AZ$1),0,IF(AND(Main!$F$22=Main!$CA$24,BE3&gt;$AZ$1),ROUND(SUM(BH3,BJ3)*10%,0),"")))</f>
        <v/>
      </c>
      <c r="BV3" s="464" t="str">
        <f>IF(BD3="","",IF(AND($AG$3=$AG$1,BE3&lt;=$AZ$1),0,IF(OR(Main!$H$10=Main!$BH$4,Main!$H$10=Main!$BH$5),0,LOOKUP(BT3*DAY(EOMONTH(BE3,0))/(DAY(BF3)-DAY(BE3)+1),$H$184:$I$189))))</f>
        <v/>
      </c>
      <c r="BW3" s="464">
        <f>IF(OR(AND(BE3=$E$48,$G$48=3),AND(BE3=$E$49,$G$49=3),AND(BE3=$E$50,$G$50=3),AND(BE3=$E$51,$G$51=3),AND(BE3=$E$52,$G$52=3),AND(BE3=$E$53,$G$53=3)),3,IF(OR(AND(BE3=$E$48,$G$48=2),AND(BE3=$E$49,$G$49=2),AND(BE3=$E$50,$G$50=2),AND(BE3=$E$51,$G$51=2),AND(BE3=$E$52,$G$52=2),AND(BE3=$E$53,$G$53=2)),2,1))</f>
        <v>1</v>
      </c>
      <c r="BX3" s="457">
        <f>AY3-BT3</f>
        <v>0</v>
      </c>
      <c r="BY3" s="460"/>
      <c r="BZ3" s="487">
        <f>BB8</f>
        <v>1</v>
      </c>
      <c r="CA3" s="487" t="str">
        <f>IF(CE1&lt;Main!$C$27,$I$29,$I$28)</f>
        <v>RPS-2015</v>
      </c>
      <c r="CB3" s="461"/>
      <c r="CC3" s="488" t="str">
        <f t="shared" ref="CC3:CC50" si="57">IF(CD3="","",DATE(YEAR(CD3),MONTH(CD3),1))</f>
        <v/>
      </c>
      <c r="CD3" s="489" t="str">
        <f>IF(CD1&gt;='IN RPS-2015'!$C$9,"",CD1)</f>
        <v/>
      </c>
      <c r="CE3" s="484" t="str">
        <f>IF(CD3="","",MIN(EOMONTH(CD3,0),VLOOKUP(CD3,'IN RPS-2015'!$O$164:$P$202,2,TRUE)-1,LOOKUP(CD3,$E$47:$F$53)-1,IF(CD3&lt;$B$2,$B$2-1,'IN RPS-2015'!$Q$9),IF(CD3&lt;$B$3,$B$3-1,'IN RPS-2015'!$Q$9),IF(CD3&lt;$B$4,$B$4-1,'IN RPS-2015'!$Q$9),LOOKUP(CD3,$H$47:$I$53)))</f>
        <v/>
      </c>
      <c r="CF3" s="490" t="str">
        <f>IF(CD3="","",VLOOKUP(CD3,'IN RPS-2015'!$T$207:$Y$222,5))</f>
        <v/>
      </c>
      <c r="CG3" s="461" t="str">
        <f>IF(CD3="","",IF(AND($CA$3=$CA$1,CD3&lt;=$CT$1),0,ROUND(IF(CV3=3,0,IF(CV3=2,CF3/2,CF3))*(DAY(CE3)-DAY(CD3)+1)/DAY(EOMONTH(CD3,0)),0)))</f>
        <v/>
      </c>
      <c r="CH3" s="461" t="str">
        <f>IF(CD3="","",IF(AND($CA$3=$CA$1,CD3&lt;=$CT$1),0,ROUND(IF(CV3=3,0,IF(CV3=2,IF(CF3=VLOOKUP(CF3,'IN RPS-2015'!$I$2:$J$5,1),0,Main!$H$9)/2,IF(CF3=VLOOKUP(CF3,'IN RPS-2015'!$I$2:$J$5,1),0,Main!$H$9)))*(DAY(CE3)-DAY(CD3)+1)/DAY(EOMONTH(CD3,0)),0)))</f>
        <v/>
      </c>
      <c r="CI3" s="461" t="str">
        <f>IF(CD3="","",IF(AND($CA$3=$CA$1,CD3&lt;=$CT$1),0,IF(CF3=VLOOKUP(CF3,'IN RPS-2015'!$I$2:$J$5,1),0,ROUND(CG3*VLOOKUP(CD3,$BZ$4:$CA$7,2)%,0))))</f>
        <v/>
      </c>
      <c r="CJ3" s="461" t="str">
        <f>IF(CD3="","",IF(AND($CA$3=$CA$1,CD3&lt;=$CT$1),0,IF(OR(CV3=3,CF3=VLOOKUP(CF3,'IN RPS-2015'!$I$2:$J$5,1)),0,ROUND(MIN(ROUND(CF3*VLOOKUP(CD3,$B$1:$G$4,2)%,0),VLOOKUP(CD3,$B$2:$I$4,IF($CA$3=$I$29,7,8),TRUE))*(DAY(CE3)-DAY(CD3)+1)/DAY(EOMONTH(CD3,0)),0))))</f>
        <v/>
      </c>
      <c r="CK3" s="491" t="str">
        <f>IF(CD3="","",IF(AND($CA$3=$CA$1,CD3&lt;=$CT$1),0,IF(Main!$C$26="UGC",0,IF(OR(CD3&lt;DATE(2010,4,1),$I$6=VLOOKUP(CD3,$B$2:$G$4,5,TRUE),CF3=VLOOKUP(CF3,'IN RPS-2015'!$I$2:$J$5,1)),0,ROUND(IF(CV3=3,0,IF(CV3=2,MIN(ROUND(CF3*$G$13%,0),IF(CD3&lt;$J$152,$G$14,$G$15))/2,MIN(ROUND(CF3*$G$13%,0),IF(CD3&lt;$J$152,$G$14,$G$15))))*(DAY(CE3)-DAY(CD3)+1)/DAY(EOMONTH(CD3,0)),0)))))</f>
        <v/>
      </c>
      <c r="CL3" s="461" t="str">
        <f>IF(CD3="","",IF(AND($CA$3=$CA$1,CD3&lt;=$CT$1),0,IF(Main!$C$26="UGC",0,IF(CF3=VLOOKUP(CF3,'IN RPS-2015'!$I$2:$J$5,1),0,ROUND(CG3*VLOOKUP(CD3,$BZ$11:$CA$12,2)%,0)))))</f>
        <v/>
      </c>
      <c r="CM3" s="461" t="str">
        <f>IF(CD3="","",IF(AND($CA$3=$CA$1,CD3&lt;=$CT$1),0,IF(Main!$C$26="UGC",0,IF(CD3&lt;DATE(2010,4,1),0,IF(OR(CV3=2,CV3=3,CF3=VLOOKUP(CF3,'IN RPS-2015'!$I$2:$J$5,1)),0,ROUND(IF(CD3&lt;$J$152,VLOOKUP(CD3,$B$1:$G$4,4),VLOOKUP(VLOOKUP(CD3,$B$1:$G$4,4),Main!$CE$2:$CF$5,2,FALSE))*(DAY(CE3)-DAY(CD3)+1)/DAY(EOMONTH(CD3,0)),0))))))</f>
        <v/>
      </c>
      <c r="CN3" s="461" t="str">
        <f>IF(CD3="","",IF(AND($CA$3=$CA$1,CD3&lt;=$CT$1),0,IF(OR(CV3=2,CV3=3,$D$31=$D$28,CF3=VLOOKUP(CF3,'IN RPS-2015'!$I$2:$J$5,1)),0,ROUND(MIN(VLOOKUP(CC3,$A$27:$C$29,2,TRUE),ROUND(CF3*VLOOKUP(CC3,$A$27:$C$29,3,TRUE)%,0))*IF(CC3=$A$36,$C$36,IF(CC3=$A$37,$C$37,IF(CC3=$A$38,$C$38,IF(CC3=$A$39,$C$39,IF(CC3=$A$40,$C$40,IF(CC3=$A$41,$C$41,1))))))*(DAY(CE3)-DAY(CD3)+1)/DAY(EOMONTH(CD3,0)),0))))</f>
        <v/>
      </c>
      <c r="CO3" s="461" t="str">
        <f>IF(CD3="","",IF(AND($CA$3=$CA$1,CD3&lt;=$CT$1),0,IF(Main!$C$26="UGC",0,IF(OR(CV3=3,CF3=VLOOKUP(CF3,'IN RPS-2015'!$I$2:$J$5,1)),0,ROUND(IF(CV3=2,VLOOKUP(CF3,IF($CA$3=$I$29,$A$20:$E$23,$F$144:$J$147),IF($B$19=VLOOKUP(CD3,$B$2:$G$4,3,TRUE),2,IF($C$19=VLOOKUP(CD3,$B$2:$G$4,3,TRUE),3,IF($D$19=VLOOKUP(CD3,$B$2:$G$4,3,TRUE),4,5))),TRUE),VLOOKUP(CF3,IF($CA$3=$I$29,$A$20:$E$23,$F$144:$J$147),IF($B$19=VLOOKUP(CD3,$B$2:$G$4,3,TRUE),2,IF($C$19=VLOOKUP(CD3,$B$2:$G$4,3,TRUE),3,IF($D$19=VLOOKUP(CD3,$B$2:$G$4,3,TRUE),4,5))),TRUE))*(DAY(CE3)-DAY(CD3)+1)/DAY(EOMONTH(CD3,0)),0)))))</f>
        <v/>
      </c>
      <c r="CP3" s="461" t="str">
        <f>IF(CD3="","",IF(AND($CA$3=$CA$1,CD3&lt;=$CT$1),0,IF(Main!$C$26="UGC",0,IF(OR(CC3&lt;DATE(2010,4,1),CV3=3,CF3=VLOOKUP(CF3,'IN RPS-2015'!$I$2:$J$5,1)),0,ROUND(IF(CV3=2,IF(CD3&lt;$J$152,Main!$L$9,Main!$CI$3)/2,IF(CD3&lt;$J$152,Main!$L$9,Main!$CI$3))*(DAY(CE3)-DAY(CD3)+1)/DAY(EOMONTH(CD3,0)),0)))))</f>
        <v/>
      </c>
      <c r="CQ3" s="461"/>
      <c r="CR3" s="461" t="str">
        <f>IF(CD3="","",IF(AND($CA$3=$CA$1,CD3&lt;=$CT$1),0,IF(Main!$C$26="UGC",0,IF(OR(CV3=3,CF3=VLOOKUP(CF3,'IN RPS-2015'!$I$2:$J$5,1)),0,ROUND(IF(CV3=2,VLOOKUP(CG3,IF(CD3&lt;$J$152,$A$154:$E$159,$F$154:$J$159),IF($B$10=VLOOKUP(CC3,$B$2:$G$4,6,TRUE),2,IF($B$10=VLOOKUP(CC3,$B$2:$G$4,6,TRUE),3,IF($D$10=VLOOKUP(CC3,$B$2:$G$4,6,TRUE),4,5))))/2,VLOOKUP(CG3,IF(CD3&lt;$J$152,$A$154:$E$159,$F$154:$J$159),IF($B$10=VLOOKUP(CC3,$B$2:$G$4,6,TRUE),2,IF($B$10=VLOOKUP(CC3,$B$2:$G$4,6,TRUE),3,IF($D$10=VLOOKUP(CC3,$B$2:$G$4,6,TRUE),4,5)))))*(DAY(CE3)-DAY(CD3)+1)/DAY(EOMONTH(CD3,0)),0)))))</f>
        <v/>
      </c>
      <c r="CS3" s="461">
        <f>SUM(CG3:CR3)</f>
        <v>0</v>
      </c>
      <c r="CT3" s="464" t="str">
        <f>IF(CD3="","",IF(AND($CA$3=$CA$1,CD3&lt;=$CT$1),0,IF(AND(Main!$F$22=Main!$CA$24,CD3&gt;$CT$1),ROUND(SUM(CG3,CI3)*10%,0),"")))</f>
        <v/>
      </c>
      <c r="CU3" s="464" t="str">
        <f>IF(CC3="","",IF(CG3=0,0,IF(OR(Main!$H$10=Main!$BH$4,Main!$H$10=Main!$BH$5),0,LOOKUP(CS3*DAY(EOMONTH(CD3,0))/(DAY(CE3)-DAY(CD3)+1),$H$184:$I$189))))</f>
        <v/>
      </c>
      <c r="CV3" s="457">
        <f t="shared" ref="CV3" si="58">IF(OR(AND(CD3=$E$48,$G$48=3),AND(CD3=$E$49,$G$49=3),AND(CD3=$E$50,$G$50=3),AND(CD3=$E$51,$G$51=3),AND(CD3=$E$52,$G$52=3),AND(CD3=$E$53,$G$53=3)),3,IF(OR(AND(CD3=$E$48,$G$48=2),AND(CD3=$E$49,$G$49=2),AND(CD3=$E$50,$G$50=2),AND(CD3=$E$51,$G$51=2),AND(CD3=$E$52,$G$52=2),AND(CD3=$E$53,$G$53=2)),2,1))</f>
        <v>1</v>
      </c>
      <c r="CW3" s="464"/>
      <c r="CX3" s="492" t="str">
        <f t="shared" ref="CX3:CX50" si="59">IF(CY3="","",DATE(YEAR(CY3),MONTH(CY3),1))</f>
        <v/>
      </c>
      <c r="CY3" s="489" t="str">
        <f>IF(CY1&gt;='IN RPS-2015'!$C$9,"",CY1)</f>
        <v/>
      </c>
      <c r="CZ3" s="484" t="str">
        <f>IF(CY3="","",MIN(EOMONTH(CY3,0),VLOOKUP(CY3,'IN RPS-2015'!$O$164:$P$202,2,TRUE)-1,LOOKUP(CY3,$E$47:$F$53)-1,IF(CY3&lt;$B$2,$B$2-1,'IN RPS-2015'!$Q$9),IF(CY3&lt;$B$3,$B$3-1,'IN RPS-2015'!$Q$9),IF(CY3&lt;$B$4,$B$4-1,'IN RPS-2015'!$Q$9),LOOKUP(CY3,$H$47:$I$53)))</f>
        <v/>
      </c>
      <c r="DA3" s="493" t="str">
        <f>IF(CY3="","",VLOOKUP(CY3,'IN RPS-2015'!$T$207:$Y$222,6))</f>
        <v/>
      </c>
      <c r="DB3" s="461" t="str">
        <f>IF(CY3="","",IF(AND($CA$3=$CA$1,CY3&lt;=$CT$1),0,ROUND(IF(DQ3=3,0,IF(DQ3=2,DA3/2,DA3))*(DAY(CZ3)-DAY(CY3)+1)/DAY(EOMONTH(CY3,0)),0)))</f>
        <v/>
      </c>
      <c r="DC3" s="461" t="str">
        <f>IF(CY3="","",IF(AND($CA$3=$CA$1,CY3&lt;=$CT$1),0,ROUND(IF(DQ3=3,0,IF(DQ3=2,IF(DA3=VLOOKUP(DA3,'IN RPS-2015'!$I$2:$J$5,1),0,Main!$H$9)/2,IF(DA3=VLOOKUP(DA3,'IN RPS-2015'!$I$2:$J$5,1),0,Main!$H$9)))*(DAY(CZ3)-DAY(CY3)+1)/DAY(EOMONTH(CY3,0)),0)))</f>
        <v/>
      </c>
      <c r="DD3" s="461" t="str">
        <f>IF(CY3="","",IF(AND($CA$3=$CA$1,CY3&lt;=$CT$1),0,IF(DA3=VLOOKUP(DA3,'IN RPS-2015'!$I$2:$J$5,1),0,ROUND(DB3*VLOOKUP(CY3,$BZ$4:$CA$7,2)%,0))))</f>
        <v/>
      </c>
      <c r="DE3" s="461" t="str">
        <f>IF(CY3="","",IF(AND($CA$3=$CA$1,CY3&lt;=$CT$1),0,IF(OR(DQ3=3,DA3=VLOOKUP(DA3,'IN RPS-2015'!$I$2:$J$5,1)),0,ROUND(MIN(ROUND(DA3*VLOOKUP(CY3,$B$1:$G$4,2)%,0),VLOOKUP(CY3,$B$2:$I$4,IF($CA$3=$I$29,7,8),TRUE))*(DAY(CZ3)-DAY(CY3)+1)/DAY(EOMONTH(CY3,0)),0))))</f>
        <v/>
      </c>
      <c r="DF3" s="491" t="str">
        <f>IF(CY3="","",IF(AND($CA$3=$CA$1,CY3&lt;=$CT$1),0,IF(Main!$C$26="UGC",0,IF(OR(CY3&lt;DATE(2010,4,1),$I$6=VLOOKUP(CY3,$B$2:$G$4,5,TRUE),DA3=VLOOKUP(DA3,'IN RPS-2015'!$I$2:$J$5,1)),0,ROUND(IF(DQ3=3,0,IF(DQ3=2,MIN(ROUND(DA3*$G$13%,0),IF(CY3&lt;$J$152,$G$14,$G$15))/2,MIN(ROUND(DA3*$G$13%,0),IF(CY3&lt;$J$152,$G$14,$G$15))))*(DAY(CZ3)-DAY(CY3)+1)/DAY(EOMONTH(CY3,0)),0)))))</f>
        <v/>
      </c>
      <c r="DG3" s="461" t="str">
        <f>IF(CY3="","",IF(AND($CA$3=$CA$1,CY3&lt;=$CT$1),0,IF(Main!$C$26="UGC",0,IF(DA3=VLOOKUP(DA3,'IN RPS-2015'!$I$2:$J$5,1),0,ROUND(DB3*VLOOKUP(CY3,$BZ$11:$CA$12,2)%,0)))))</f>
        <v/>
      </c>
      <c r="DH3" s="461" t="str">
        <f>IF(CY3="","",IF(AND($CA$3=$CA$1,CY3&lt;=$CT$1),0,IF(Main!$C$26="UGC",0,IF(CY3&lt;DATE(2010,4,1),0,IF(OR(DQ3=2,DQ3=3,DA3=VLOOKUP(DA3,'IN RPS-2015'!$I$2:$J$5,1)),0,ROUND(IF(CY3&lt;$J$152,VLOOKUP(CY3,$B$1:$G$4,4),VLOOKUP(VLOOKUP(CY3,$B$1:$G$4,4),Main!$CE$2:$CF$5,2,FALSE))*(DAY(CZ3)-DAY(CY3)+1)/DAY(EOMONTH(CY3,0)),0))))))</f>
        <v/>
      </c>
      <c r="DI3" s="461" t="str">
        <f>IF(CY3="","",IF(AND($CA$3=$CA$1,CY3&lt;=$CT$1),0,IF(OR(DQ3=2,DQ3=3,$D$31=$D$28,DA3=VLOOKUP(DA3,'IN RPS-2015'!$I$2:$J$5,1)),0,ROUND(MIN(VLOOKUP(CX3,$A$27:$C$29,2,TRUE),ROUND(DA3*VLOOKUP(CX3,$A$27:$C$29,3,TRUE)%,0))*IF(CX3=$A$36,$C$36,IF(CX3=$A$37,$C$37,IF(CX3=$A$38,$C$38,IF(CX3=$A$39,$C$39,IF(CX3=$A$40,$C$40,IF(CX3=$A$41,$C$41,1))))))*(DAY(CZ3)-DAY(CY3)+1)/DAY(EOMONTH(CY3,0)),0))))</f>
        <v/>
      </c>
      <c r="DJ3" s="461" t="str">
        <f>IF(CY3="","",IF(AND($CA$3=$CA$1,CY3&lt;=$CT$1),0,IF(Main!$C$26="UGC",0,IF(OR(DQ3=3,DA3=VLOOKUP(DA3,'IN RPS-2015'!$I$2:$J$5,1)),0,ROUND(IF(DQ3=2,VLOOKUP(DA3,IF($CA$3=$I$29,$A$20:$E$23,$F$144:$J$147),IF($B$19=VLOOKUP(CY3,$B$2:$G$4,3,TRUE),2,IF($C$19=VLOOKUP(CY3,$B$2:$G$4,3,TRUE),3,IF($D$19=VLOOKUP(CY3,$B$2:$G$4,3,TRUE),4,5))),TRUE),VLOOKUP(DA3,IF($CA$3=$I$29,$A$20:$E$23,$F$144:$J$147),IF($B$19=VLOOKUP(CY3,$B$2:$G$4,3,TRUE),2,IF($C$19=VLOOKUP(CY3,$B$2:$G$4,3,TRUE),3,IF($D$19=VLOOKUP(CY3,$B$2:$G$4,3,TRUE),4,5))),TRUE))*(DAY(CZ3)-DAY(CY3)+1)/DAY(EOMONTH(CY3,0)),0)))))</f>
        <v/>
      </c>
      <c r="DK3" s="461" t="str">
        <f>IF(CY3="","",IF(AND($CA$3=$CA$1,CY3&lt;=$CT$1),0,IF(Main!$C$26="UGC",0,IF(OR(CX3&lt;DATE(2010,4,1),DQ3=3,DA3=VLOOKUP(DA3,'IN RPS-2015'!$I$2:$J$5,1)),0,ROUND(IF(DQ3=2,IF(CY3&lt;$J$152,Main!$L$9,Main!$CI$3)/2,IF(CY3&lt;$J$152,Main!$L$9,Main!$CI$3))*(DAY(CZ3)-DAY(CY3)+1)/DAY(EOMONTH(CY3,0)),0)))))</f>
        <v/>
      </c>
      <c r="DL3" s="461"/>
      <c r="DM3" s="461" t="str">
        <f>IF(CY3="","",IF(AND($CA$3=$CA$1,CY3&lt;=$CT$1),0,IF(Main!$C$26="UGC",0,IF(OR(DQ3=3,DA3=VLOOKUP(DA3,'IN RPS-2015'!$I$2:$J$5,1)),0,ROUND(IF(DQ3=2,VLOOKUP(DB3,IF(CY3&lt;$J$152,$A$154:$E$159,$F$154:$J$159),IF($B$10=VLOOKUP(CX3,$B$2:$G$4,6,TRUE),2,IF($B$10=VLOOKUP(CX3,$B$2:$G$4,6,TRUE),3,IF($D$10=VLOOKUP(CX3,$B$2:$G$4,6,TRUE),4,5))))/2,VLOOKUP(DB3,IF(CY3&lt;$J$152,$A$154:$E$159,$F$154:$J$159),IF($B$10=VLOOKUP(CX3,$B$2:$G$4,6,TRUE),2,IF($B$10=VLOOKUP(CX3,$B$2:$G$4,6,TRUE),3,IF($D$10=VLOOKUP(CX3,$B$2:$G$4,6,TRUE),4,5)))))*(DAY(CZ3)-DAY(CY3)+1)/DAY(EOMONTH(CY3,0)),0)))))</f>
        <v/>
      </c>
      <c r="DN3" s="461">
        <f>SUM(DB3:DM3)</f>
        <v>0</v>
      </c>
      <c r="DO3" s="464" t="str">
        <f>IF(CY3="","",IF(AND($CA$3=$CA$1,CY3&lt;=$CT$1),0,IF(AND(Main!$F$22=Main!$CA$24,CY3&gt;$CT$1),ROUND(SUM(DB3,DD3)*10%,0),"")))</f>
        <v/>
      </c>
      <c r="DP3" s="464" t="str">
        <f>IF(CX3="","",IF(AND($CA$3=$CA$1,CY3&lt;=$CT$1),0,IF(OR(Main!$H$10=Main!$BH$4,Main!$H$10=Main!$BH$5),0,LOOKUP(DN3*DAY(EOMONTH(CY3,0))/(DAY(CZ3)-DAY(CY3)+1),$H$184:$I$189))))</f>
        <v/>
      </c>
      <c r="DQ3" s="457">
        <f t="shared" ref="DQ3:DQ50" si="60">IF(OR(AND(CY3=$E$48,$G$48=3),AND(CY3=$E$49,$G$49=3),AND(CY3=$E$50,$G$50=3),AND(CY3=$E$51,$G$51=3),AND(CY3=$E$52,$G$52=3),AND(CY3=$E$53,$G$53=3)),3,IF(OR(AND(CY3=$E$48,$G$48=2),AND(CY3=$E$49,$G$49=2),AND(CY3=$E$50,$G$50=2),AND(CY3=$E$51,$G$51=2),AND(CY3=$E$52,$G$52=2),AND(CY3=$E$53,$G$53=2)),2,1))</f>
        <v>1</v>
      </c>
      <c r="DR3" s="457">
        <f>CS3-DN3</f>
        <v>0</v>
      </c>
      <c r="DS3" s="460"/>
      <c r="DT3" s="487">
        <f>CV8</f>
        <v>1</v>
      </c>
      <c r="DU3" s="487" t="str">
        <f>$I$28</f>
        <v>RPS-2015</v>
      </c>
      <c r="DV3" s="461"/>
      <c r="DW3" s="488">
        <f t="shared" ref="DW3:DW50" si="61">IF(DX3="","",DATE(YEAR(DX3),MONTH(DX3),1))</f>
        <v>42095</v>
      </c>
      <c r="DX3" s="489">
        <f>IF(DX1&gt;='IN RPS-2015'!$C$9,"",DX1)</f>
        <v>42095</v>
      </c>
      <c r="DY3" s="484">
        <f>IF(DX3="","",MIN(EOMONTH(DX3,0),VLOOKUP(DX3,'IN RPS-2015'!$O$164:$P$202,2,TRUE)-1,LOOKUP(DX3,$E$47:$F$53)-1,IF(DX3&lt;$B$2,$B$2-1,'IN RPS-2015'!$Q$9),IF(DX3&lt;$B$3,$B$3-1,'IN RPS-2015'!$Q$9),IF(DX3&lt;$B$4,$B$4-1,'IN RPS-2015'!$Q$9),LOOKUP(DX3,$H$47:$I$53)))</f>
        <v>42124</v>
      </c>
      <c r="DZ3" s="490">
        <f>IF(DX3="","",VLOOKUP(DX3,'IN RPS-2015'!$P$164:$AA$202,11))</f>
        <v>53950</v>
      </c>
      <c r="EA3" s="461">
        <f>IF(DX3="","",ROUND(IF(EP3=3,0,IF(EP3=2,DZ3/2,DZ3))*(DAY(DY3)-DAY(DX3)+1)/DAY(EOMONTH(DX3,0)),0))</f>
        <v>53950</v>
      </c>
      <c r="EB3" s="461">
        <f>IF(DX3="","",ROUND(IF(EP3=3,0,IF(EP3=2,IF(DZ3=VLOOKUP(DZ3,'IN RPS-2015'!$I$2:$J$5,1),0,Main!$H$9)/2,IF(DZ3=VLOOKUP(DZ3,'IN RPS-2015'!$I$2:$J$5,1),0,Main!$H$9)))*(DAY(DY3)-DAY(DX3)+1)/DAY(EOMONTH(DX3,0)),0))</f>
        <v>105</v>
      </c>
      <c r="EC3" s="461">
        <f>IF(DX3="","",IF(DZ3=VLOOKUP(DZ3,'IN RPS-2015'!$I$2:$J$5,1),0,ROUND(EA3*VLOOKUP(DX3,$DT$4:$DU$7,2)%,0)))</f>
        <v>4806</v>
      </c>
      <c r="ED3" s="461">
        <f>IF(DX3="","",IF(OR(EP3=3,DZ3=VLOOKUP(DZ3,'IN RPS-2015'!$I$2:$J$5,1)),0,ROUND(MIN(ROUND(DZ3*VLOOKUP(DX3,$B$1:$G$4,2)%,0),VLOOKUP(DX3,$B$2:$I$4,IF($DU$3=$I$29,7,8),TRUE))*(DAY(DY3)-DAY(DX3)+1)/DAY(EOMONTH(DX3,0)),0)))</f>
        <v>10790</v>
      </c>
      <c r="EE3" s="491">
        <f>IF(DX3="","",IF(Main!$C$26="UGC",0,IF(OR(DX3&lt;DATE(2010,4,1),$I$6=VLOOKUP(DX3,$B$2:$G$4,5,TRUE),DZ3=VLOOKUP(DZ3,'IN RPS-2015'!$I$2:$J$5,1)),0,ROUND(IF(EP3=3,0,IF(EP3=2,MIN(ROUND(DZ3*$G$13%,0),IF(DX3&lt;$I$152,$G$14,$G$15))/2,MIN(ROUND(DZ3*$G$13%,0),IF(DX3&lt;$I$152,$G$14,$G$15))))*(DAY(DY3)-DAY(DX3)+1)/DAY(EOMONTH(DX3,0)),0))))</f>
        <v>0</v>
      </c>
      <c r="EF3" s="461">
        <f>IF(DX3="","",IF(Main!$C$26="UGC",0,IF(DZ3=VLOOKUP(DZ3,'IN RPS-2015'!$I$2:$J$5,1),0,ROUND(EA3*VLOOKUP(DX3,$DT$11:$DU$12,2)%,0))))</f>
        <v>0</v>
      </c>
      <c r="EG3" s="461">
        <f>IF(DX3="","",IF(Main!$C$26="UGC",0,IF(DX3&lt;DATE(2010,4,1),0,IF(OR(EP3=2,EP3=3,DZ3=VLOOKUP(DZ3,'IN RPS-2015'!$I$2:$J$5,1)),0,ROUND(IF(DX3&lt;$I$152,VLOOKUP(DX3,$B$1:$G$4,4),VLOOKUP(VLOOKUP(DX3,$B$1:$G$4,4),Main!$CE$2:$CF$5,2,FALSE))*(DAY(DY3)-DAY(DX3)+1)/DAY(EOMONTH(DX3,0)),0)))))</f>
        <v>0</v>
      </c>
      <c r="EH3" s="461">
        <f>IF(DX3="","",IF(OR(EP3=2,EP3=3,$D$31=$D$28,DZ3=VLOOKUP(DZ3,'IN RPS-2015'!$I$2:$J$5,1)),0,ROUND(MIN(IF(DX3&lt;$I$152,900,1350),ROUND(DZ3*VLOOKUP(DW3,$A$27:$C$29,3,TRUE)%,0))*IF(DW3=$A$36,$C$36,IF(DW3=$A$37,$C$37,IF(DW3=$A$38,$C$38,IF(DW3=$A$39,$C$39,IF(DW3=$A$40,$C$40,IF(DW3=$A$41,$C$41,1))))))*(DAY(DY3)-DAY(DX3)+1)/DAY(EOMONTH(DX3,0)),0)))</f>
        <v>690</v>
      </c>
      <c r="EI3" s="461">
        <f>IF(DX3="","",IF(Main!$C$26="UGC",0,IF(OR(EP3=3,DZ3=VLOOKUP(DZ3,'IN RPS-2015'!$I$2:$J$5,1)),0,ROUND(IF(EP3=2,VLOOKUP(DZ3,IF($DU$3=$I$29,$A$20:$E$23,$F$144:$J$147),IF($B$19=VLOOKUP(DX3,$B$2:$G$4,3,TRUE),2,IF($C$19=VLOOKUP(DX3,$B$2:$G$4,3,TRUE),3,IF($D$19=VLOOKUP(DX3,$B$2:$G$4,3,TRUE),4,5))),TRUE),VLOOKUP(DZ3,IF($DU$3=$I$29,$A$20:$E$23,$F$144:$J$147),IF($B$19=VLOOKUP(DX3,$B$2:$G$4,3,TRUE),2,IF($C$19=VLOOKUP(DX3,$B$2:$G$4,3,TRUE),3,IF($D$19=VLOOKUP(DX3,$B$2:$G$4,3,TRUE),4,5))),TRUE))*(DAY(DY3)-DAY(DX3)+1)/DAY(EOMONTH(DX3,0)),0))))</f>
        <v>500</v>
      </c>
      <c r="EJ3" s="461">
        <f>IF(DX3="","",IF(Main!$C$26="UGC",0,IF(OR(DW3&lt;DATE(2010,4,1),EP3=3,DZ3=VLOOKUP(DZ3,'IN RPS-2015'!$I$2:$J$5,1)),0,ROUND(IF(EP3=2,IF(DX3&lt;$I$152,Main!$L$9,Main!$CI$3)/2,IF(DX3&lt;$I$152,Main!$L$9,Main!$CI$3))*(DAY(DY3)-DAY(DX3)+1)/DAY(EOMONTH(DX3,0)),0))))</f>
        <v>0</v>
      </c>
      <c r="EK3" s="461"/>
      <c r="EL3" s="461">
        <f>IF(DX3="","",IF(Main!$C$26="UGC",0,IF(OR(EP3=3,DZ3=VLOOKUP(DZ3,'IN RPS-2015'!$I$2:$J$5,1)),0,ROUND(IF(EP3=2,VLOOKUP(EA3,IF(DX3&lt;$I$152,$A$154:$E$159,$F$154:$J$159),IF($B$10=VLOOKUP(DW3,$B$2:$G$4,6,TRUE),2,IF($B$10=VLOOKUP(DW3,$B$2:$G$4,6,TRUE),3,IF($D$10=VLOOKUP(DW3,$B$2:$G$4,6,TRUE),4,5))))/2,VLOOKUP(EA3,IF(DX3&lt;$I$152,$A$154:$E$159,$F$154:$J$159),IF($B$10=VLOOKUP(DW3,$B$2:$G$4,6,TRUE),2,IF($B$10=VLOOKUP(DW3,$B$2:$G$4,6,TRUE),3,IF($D$10=VLOOKUP(DW3,$B$2:$G$4,6,TRUE),4,5)))))*(DAY(DY3)-DAY(DX3)+1)/DAY(EOMONTH(DX3,0)),0))))</f>
        <v>0</v>
      </c>
      <c r="EM3" s="461">
        <f>SUM(EA3:EL3)</f>
        <v>70841</v>
      </c>
      <c r="EN3" s="464">
        <f>IF(DX3="","",IF(AND(Main!$F$22=Main!$CA$24,DX3&gt;$EN$1),ROUND(SUM(EA3,EC3)*10%,0),""))</f>
        <v>5876</v>
      </c>
      <c r="EO3" s="464">
        <f>IF(DW3="","",IF(EA3=0,0,IF(OR(Main!$H$10=Main!$BH$4,Main!$H$10=Main!$BH$5),0,LOOKUP(EM3*DAY(EOMONTH(DX3,0))/(DAY(DY3)-DAY(DX3)+1),$H$184:$I$189))))</f>
        <v>0</v>
      </c>
      <c r="EP3" s="457">
        <f t="shared" ref="EP3:EP50" si="62">IF(OR(AND(DX3=$E$48,$G$48=3),AND(DX3=$E$49,$G$49=3),AND(DX3=$E$50,$G$50=3),AND(DX3=$E$51,$G$51=3),AND(DX3=$E$52,$G$52=3),AND(DX3=$E$53,$G$53=3)),3,IF(OR(AND(DX3=$E$48,$G$48=2),AND(DX3=$E$49,$G$49=2),AND(DX3=$E$50,$G$50=2),AND(DX3=$E$51,$G$51=2),AND(DX3=$E$52,$G$52=2),AND(DX3=$E$53,$G$53=2)),2,1))</f>
        <v>1</v>
      </c>
      <c r="ER3" s="487">
        <f>DT8</f>
        <v>0</v>
      </c>
      <c r="ES3" s="487" t="str">
        <f>$I$29</f>
        <v>RPS-2010</v>
      </c>
      <c r="ET3" s="461"/>
      <c r="EU3" s="488">
        <f t="shared" ref="EU3:EU50" si="63">IF(EV3="","",DATE(YEAR(EV3),MONTH(EV3),1))</f>
        <v>42095</v>
      </c>
      <c r="EV3" s="489">
        <f>IF(EV1&gt;='IN RPS-2015'!$C$9,"",EV1)</f>
        <v>42095</v>
      </c>
      <c r="EW3" s="484">
        <f>IF(EV3="","",MIN(EOMONTH(EV3,0),VLOOKUP(EV3,'IN RPS-2015'!$O$164:$P$202,2,TRUE)-1,LOOKUP(EV3,$E$47:$F$53)-1,IF(EV3&lt;$B$2,$B$2-1,'IN RPS-2015'!$Q$9),IF(EV3&lt;$B$3,$B$3-1,'IN RPS-2015'!$Q$9),IF(EV3&lt;$B$4,$B$4-1,'IN RPS-2015'!$Q$9),LOOKUP(EV3,$H$47:$I$53)))</f>
        <v>42124</v>
      </c>
      <c r="EX3" s="490">
        <f>IF(EV3="","",VLOOKUP(EV3,'IN RPS-2015'!$P$164:$AA$202,12))</f>
        <v>25600</v>
      </c>
      <c r="EY3" s="461">
        <f>IF(EV3="","",ROUND(IF(FN3=3,0,IF(FN3=2,EX3/2,EX3))*(DAY(EW3)-DAY(EV3)+1)/DAY(EOMONTH(EV3,0)),0))</f>
        <v>25600</v>
      </c>
      <c r="EZ3" s="461">
        <f>IF(EV3="","",ROUND(IF(FN3=3,0,IF(FN3=2,IF(EX3=VLOOKUP(EX3,'IN RPS-2015'!$I$2:$J$5,1),0,Main!$H$9)/2,IF(EX3=VLOOKUP(EX3,'IN RPS-2015'!$I$2:$J$5,1),0,Main!$H$9)))*(DAY(EW3)-DAY(EV3)+1)/DAY(EOMONTH(EV3,0)),0))</f>
        <v>105</v>
      </c>
      <c r="FA3" s="461">
        <f>IF(EV3="","",IF(EX3=VLOOKUP(EX3,'IN RPS-2015'!$I$2:$J$5,1),0,ROUND(EY3*VLOOKUP(EV3,$ER$4:$ES$7,2)%,0)))</f>
        <v>19941</v>
      </c>
      <c r="FB3" s="461">
        <f>IF(EV3="","",IF(OR(FN3=3,EX3=VLOOKUP(EX3,'IN RPS-2015'!$I$2:$J$5,1)),0,ROUND(MIN(ROUND(EX3*VLOOKUP(EV3,$B$1:$G$4,2)%,0),VLOOKUP(EV3,$B$2:$I$4,IF($ES$3=$I$29,7,8),TRUE))*(DAY(EW3)-DAY(EV3)+1)/DAY(EOMONTH(EV3,0)),0)))</f>
        <v>5120</v>
      </c>
      <c r="FC3" s="491">
        <f>IF(EV3="","",IF(Main!$C$26="UGC",0,IF(OR(EV3&lt;DATE(2010,4,1),$I$6=VLOOKUP(EV3,$B$2:$G$4,5,TRUE),EX3=VLOOKUP(EX3,'IN RPS-2015'!$I$2:$J$5,1)),0,ROUND(IF(FN3=3,0,IF(FN3=2,MIN(ROUND(EX3*$G$13%,0),IF(EV3&lt;$J$152,$G$14,$G$15))/2,MIN(ROUND(EX3*$G$13%,0),IF(EV3&lt;$J$152,$G$14,$G$15))))*(DAY(EW3)-DAY(EV3)+1)/DAY(EOMONTH(EV3,0)),0))))</f>
        <v>0</v>
      </c>
      <c r="FD3" s="461">
        <f>IF(EV3="","",IF(Main!$C$26="UGC",0,IF(EX3=VLOOKUP(EX3,'IN RPS-2015'!$I$2:$J$5,1),0,ROUND(EY3*VLOOKUP(EV3,$ER$11:$ES$12,2)%,0))))</f>
        <v>6912</v>
      </c>
      <c r="FE3" s="461">
        <f>IF(EV3="","",IF(Main!$C$26="UGC",0,IF(EV3&lt;DATE(2010,4,1),0,IF(OR(FN3=2,FN3=3,EX3=VLOOKUP(EX3,'IN RPS-2015'!$I$2:$J$5,1)),0,ROUND(IF(EV3&lt;$J$152,VLOOKUP(EV3,$B$1:$G$4,4),VLOOKUP(VLOOKUP(EV3,$B$1:$G$4,4),Main!$CE$2:$CF$5,2,FALSE))*(DAY(EW3)-DAY(EV3)+1)/DAY(EOMONTH(EV3,0)),0)))))</f>
        <v>0</v>
      </c>
      <c r="FF3" s="461">
        <f>IF(EV3="","",IF(OR(FN3=2,FN3=3,$D$31=$D$28,EX3=VLOOKUP(EX3,'IN RPS-2015'!$I$2:$J$5,1)),0,ROUND(MIN(VLOOKUP(EU3,$A$27:$C$29,2,TRUE),ROUND(EX3*VLOOKUP(EU3,$A$27:$C$29,3,TRUE)%,0))*IF(EU3=$A$36,$C$36,IF(EU3=$A$37,$C$37,IF(EU3=$A$38,$C$38,IF(EU3=$A$39,$C$39,IF(EU3=$A$40,$C$40,IF(EU3=$A$41,$C$41,1))))))*(DAY(EW3)-DAY(EV3)+1)/DAY(EOMONTH(EV3,0)),0)))</f>
        <v>690</v>
      </c>
      <c r="FG3" s="461">
        <f>IF(EV3="","",IF(Main!$C$26="UGC",0,IF(OR(FN3=3,EX3=VLOOKUP(EX3,'IN RPS-2015'!$I$2:$J$5,1)),0,ROUND(IF(FN3=2,VLOOKUP(EX3,IF($ES$3=$I$29,$A$20:$E$23,$F$144:$J$147),IF($B$19=VLOOKUP(EV3,$B$2:$G$4,3,TRUE),2,IF($C$19=VLOOKUP(EV3,$B$2:$G$4,3,TRUE),3,IF($D$19=VLOOKUP(EV3,$B$2:$G$4,3,TRUE),4,5))),TRUE),VLOOKUP(EX3,IF($ES$3=$I$29,$A$20:$E$23,$F$144:$J$147),IF($B$19=VLOOKUP(EV3,$B$2:$G$4,3,TRUE),2,IF($C$19=VLOOKUP(EV3,$B$2:$G$4,3,TRUE),3,IF($D$19=VLOOKUP(EV3,$B$2:$G$4,3,TRUE),4,5))),TRUE))*(DAY(EW3)-DAY(EV3)+1)/DAY(EOMONTH(EV3,0)),0))))</f>
        <v>140</v>
      </c>
      <c r="FH3" s="461">
        <f>IF(EV3="","",IF(Main!$C$26="UGC",0,IF(OR(EU3&lt;DATE(2010,4,1),FN3=3,EX3=VLOOKUP(EX3,'IN RPS-2015'!$I$2:$J$5,1)),0,ROUND(IF(FN3=2,IF(EV3&lt;$J$152,Main!$L$9,Main!$CI$3)/2,IF(EV3&lt;$J$152,Main!$L$9,Main!$CI$3))*(DAY(EW3)-DAY(EV3)+1)/DAY(EOMONTH(EV3,0)),0))))</f>
        <v>0</v>
      </c>
      <c r="FI3" s="461"/>
      <c r="FJ3" s="461">
        <f>IF(EV3="","",IF(Main!$C$26="UGC",0,IF(OR(FN3=3,EX3=VLOOKUP(EX3,'IN RPS-2015'!$I$2:$J$5,1)),0,ROUND(IF(FN3=2,VLOOKUP(EY3,IF(EV3&lt;$J$152,$A$154:$E$159,$F$154:$J$159),IF($B$10=VLOOKUP(EU3,$B$2:$G$4,6,TRUE),2,IF($B$10=VLOOKUP(EU3,$B$2:$G$4,6,TRUE),3,IF($D$10=VLOOKUP(EU3,$B$2:$G$4,6,TRUE),4,5))))/2,VLOOKUP(EY3,IF(EV3&lt;$J$152,$A$154:$E$159,$F$154:$J$159),IF($B$10=VLOOKUP(EU3,$B$2:$G$4,6,TRUE),2,IF($B$10=VLOOKUP(EU3,$B$2:$G$4,6,TRUE),3,IF($D$10=VLOOKUP(EU3,$B$2:$G$4,6,TRUE),4,5)))))*(DAY(EW3)-DAY(EV3)+1)/DAY(EOMONTH(EV3,0)),0))))</f>
        <v>0</v>
      </c>
      <c r="FK3" s="461">
        <f>SUM(EY3:FJ3)</f>
        <v>58508</v>
      </c>
      <c r="FL3" s="464">
        <f>IF(EV3="","",IF(AND(Main!$F$22=Main!$CA$24,EV3&gt;$FL$1),ROUND(SUM(EY3,FA3)*10%,0),""))</f>
        <v>4554</v>
      </c>
      <c r="FM3" s="464">
        <f>IF(EU3="","",IF(EY3=0,0,IF(OR(Main!$H$10=Main!$BH$4,Main!$H$10=Main!$BH$5),0,LOOKUP(FK3*DAY(EOMONTH(EV3,0))/(DAY(EW3)-DAY(EV3)+1),$H$184:$I$189))))</f>
        <v>0</v>
      </c>
      <c r="FN3" s="457">
        <f t="shared" ref="FN3:FN50" si="64">IF(OR(AND(EV3=$E$48,$G$48=3),AND(EV3=$E$49,$G$49=3),AND(EV3=$E$50,$G$50=3),AND(EV3=$E$51,$G$51=3),AND(EV3=$E$52,$G$52=3),AND(EV3=$E$53,$G$53=3)),3,IF(OR(AND(EV3=$E$48,$G$48=2),AND(EV3=$E$49,$G$49=2),AND(EV3=$E$50,$G$50=2),AND(EV3=$E$51,$G$51=2),AND(EV3=$E$52,$G$52=2),AND(EV3=$E$53,$G$53=2)),2,1))</f>
        <v>1</v>
      </c>
    </row>
    <row r="4" spans="1:170">
      <c r="A4" s="116" t="s">
        <v>1516</v>
      </c>
      <c r="B4" s="468">
        <f>IF(Main!F18=Main!$BC$7,Main!G18-1+Main!H18,'IN RPS-2015'!$C$9)</f>
        <v>42461</v>
      </c>
      <c r="C4" s="61">
        <f>IF(B4='IN RPS-2015'!$C$9,0,Main!I18)</f>
        <v>0</v>
      </c>
      <c r="D4" s="61" t="str">
        <f>IF(B4='IN RPS-2015'!$C$9,Main!$AX$4,Main!J18)</f>
        <v>Not-Applicable</v>
      </c>
      <c r="E4" s="61">
        <f>IF($B$2='IN RPS-2015'!$C$9,0,Main!K18)</f>
        <v>0</v>
      </c>
      <c r="F4" s="61" t="str">
        <f>IF(B4='IN RPS-2015'!$C$9,Main!$AX$4,Main!L18)</f>
        <v>Not-Applicable</v>
      </c>
      <c r="G4" s="61" t="str">
        <f>IF(B4='IN RPS-2015'!$C$9,Main!$AX$4,Main!M18)</f>
        <v>Not-Applicable</v>
      </c>
      <c r="H4" s="469">
        <f>IF(C4=30,12000,8000)</f>
        <v>8000</v>
      </c>
      <c r="I4" s="457">
        <f t="shared" si="51"/>
        <v>15000</v>
      </c>
      <c r="K4" s="494">
        <f t="shared" ref="K4:K27" si="65">IF(L4="","",DATE(YEAR(L4),MONTH(L4),1))</f>
        <v>42095</v>
      </c>
      <c r="L4" s="495">
        <f>IF(L3="","",IF($M$1&lt;=M3,"",M3+1))</f>
        <v>42095</v>
      </c>
      <c r="M4" s="484">
        <f>IF(L4="","",MIN(EOMONTH(L4,0),VLOOKUP(L4,'IN RPS-2015'!$O$164:$P$202,2,TRUE)-1,LOOKUP(L4,$E$47:$F$53)-1,IF(L4&lt;$B$2,$B$2-1,'IN RPS-2015'!$Q$9),IF(L4&lt;$B$3,$B$3-1,'IN RPS-2015'!$Q$9),IF(L4&lt;$B$4,$B$4-1,'IN RPS-2015'!$Q$9),LOOKUP(L4,$H$47:$I$53)))</f>
        <v>42124</v>
      </c>
      <c r="N4" s="496">
        <f>IF(L4="","",VLOOKUP(L4,'Advance Tax'!$A$3:$C$14,3))</f>
        <v>25600</v>
      </c>
      <c r="O4" s="497">
        <f t="shared" si="52"/>
        <v>25600</v>
      </c>
      <c r="P4" s="497">
        <f>IF(L4="","",ROUND(IF(AD4=3,0,IF(AD4=2,IF(N4=VLOOKUP(N4,'IN RPS-2015'!$I$2:$J$5,1),0,Main!$H$9)/2,IF(N4=VLOOKUP(N4,'IN RPS-2015'!$I$2:$J$5,1),0,Main!$H$9)))*(DAY(M4)-DAY(L4)+1)/DAY(EOMONTH(L4,0)),0))</f>
        <v>105</v>
      </c>
      <c r="Q4" s="457">
        <f>IF(L4="","",IF(N4=VLOOKUP(N4,'IN RPS-2015'!$I$2:$J$5,1),0,ROUND(O4*IF(L4&lt;Main!$C$27,VLOOKUP(L4,$H$9:$J$12,3),VLOOKUP(L4,$H$9:$J$12,2))%,0)))</f>
        <v>19941</v>
      </c>
      <c r="R4" s="457">
        <f>IF(L4="","",IF(OR(AD4=3,N4=VLOOKUP(N4,'IN RPS-2015'!$I$2:$J$5,1)),0,ROUND(MIN(ROUND(N4*VLOOKUP(L4,$B$1:$G$4,2)%,0),VLOOKUP(L4,$B$2:$I$4,IF(L4&lt;$G$7,7,8),TRUE))*(DAY(M4)-DAY(L4)+1)/DAY(EOMONTH(L4,0)),0)))</f>
        <v>5120</v>
      </c>
      <c r="S4" s="486">
        <f>IF(L4="","",IF(Main!$C$26="UGC",0,IF(OR(L4&lt;DATE(2010,4,1),$I$6=VLOOKUP(L4,$B$2:$G$4,5,TRUE),N4=VLOOKUP(N4,'IN RPS-2015'!$I$2:$J$5,1)),0,ROUND(IF(AD4=3,0,IF(AD4=2,MIN(ROUND(N4*$G$13%,0),IF(L4&lt;$J$152,$G$14,$G$15))/2,MIN(ROUND(N4*$G$13%,0),IF(L4&lt;$J$152,$G$14,$G$15))))*(DAY(M4)-DAY(L4)+1)/DAY(EOMONTH(L4,0)),0))))</f>
        <v>0</v>
      </c>
      <c r="T4" s="457">
        <f>IF(L4="","",IF(Main!$C$26="UGC",0,IF(N4=VLOOKUP(N4,'IN RPS-2015'!$I$2:$J$5,1),0,ROUND(O4*VLOOKUP(L4,$H$205:$I$206,2)%,0))))</f>
        <v>6912</v>
      </c>
      <c r="U4" s="457">
        <f>IF(L4="","",IF(Main!$C$26="UGC",0,IF(L4&lt;DATE(2010,4,1),0,IF(OR(AD4=2,AD4=3,N4=VLOOKUP(N4,'IN RPS-2015'!$I$2:$J$5,1)),0,ROUND(IF(L4&lt;$J$152,VLOOKUP(L4,$B$1:$G$4,4),VLOOKUP(VLOOKUP(L4,$B$1:$G$4,4),Main!$CE$2:$CF$5,2,FALSE))*(DAY(M4)-DAY(L4)+1)/DAY(EOMONTH(L4,0)),0)))))</f>
        <v>0</v>
      </c>
      <c r="V4" s="457">
        <f>IF(L4="","",IF(OR(AD4=2,AD4=3,$D$31=$D$28,N4=VLOOKUP(N4,'IN RPS-2015'!$I$2:$J$5,1)),0,ROUND(MIN(VLOOKUP(K4,$A$27:$C$29,2,TRUE),ROUND(N4*VLOOKUP(K4,$A$27:$C$29,3,TRUE)%,0))*IF(K4=$A$36,$C$36,IF(K4=$A$37,$C$37,IF(K4=$A$38,$C$38,IF(K4=$A$39,$C$39,IF(K4=$A$40,$C$40,IF(K4=$A$41,$C$41,1))))))*(DAY(M4)-DAY(L4)+1)/DAY(EOMONTH(L4,0)),0)))</f>
        <v>690</v>
      </c>
      <c r="W4" s="457">
        <f>IF(L4="","",IF(Main!$C$26="UGC",0,IF(OR(AD4=3,N4=VLOOKUP(N4,'IN RPS-2015'!$I$2:$J$5,1)),0,ROUND(IF(AD4=2,VLOOKUP(N4,IF(L4&lt;$G$7,$A$20:$E$23,$F$144:$J$147),IF($B$19=VLOOKUP(L4,$B$2:$G$4,3,TRUE),2,IF($C$19=VLOOKUP(L4,$B$2:$G$4,3,TRUE),3,IF($D$19=VLOOKUP(L4,$B$2:$G$4,3,TRUE),4,5))),TRUE),VLOOKUP(N4,IF(L4&lt;$G$7,$A$20:$E$23,$F$144:$J$147),IF($B$19=VLOOKUP(L4,$B$2:$G$4,3,TRUE),2,IF($C$19=VLOOKUP(L4,$B$2:$G$4,3,TRUE),3,IF($D$19=VLOOKUP(L4,$B$2:$G$4,3,TRUE),4,5))),TRUE))*(DAY(M4)-DAY(L4)+1)/DAY(EOMONTH(L4,0)),0))))</f>
        <v>140</v>
      </c>
      <c r="X4" s="457">
        <f>IF(L4="","",IF(Main!$C$26="UGC",0,IF(OR(K4&lt;DATE(2010,4,1),AD4=3,N4=VLOOKUP(N4,'IN RPS-2015'!$I$2:$J$5,1)),0,ROUND(IF(AD4=2,IF(L4&lt;$J$152,Main!$L$9,Main!$CI$3)/2,IF(L4&lt;$J$152,Main!$L$9,Main!$CI$3))*(DAY(M4)-DAY(L4)+1)/DAY(EOMONTH(L4,0)),0))))</f>
        <v>0</v>
      </c>
      <c r="Y4" s="497"/>
      <c r="Z4" s="457">
        <f>IF(L4="","",IF(Main!$C$26="UGC",0,IF(OR(AD4=3,N4=VLOOKUP(N4,'IN RPS-2015'!$I$2:$J$5,1)),0,ROUND(IF(AD4=2,VLOOKUP(O4,IF(L4&lt;$J$152,$A$154:$E$159,$F$154:$J$159),IF($B$10=VLOOKUP(K4,$B$2:$G$4,6,TRUE),2,IF($B$10=VLOOKUP(K4,$B$2:$G$4,6,TRUE),3,IF($D$10=VLOOKUP(K4,$B$2:$G$4,6,TRUE),4,5))))/2,VLOOKUP(O4,IF(L4&lt;$J$152,$A$154:$E$159,$F$154:$J$159),IF($B$10=VLOOKUP(K4,$B$2:$G$4,6,TRUE),2,IF($B$10=VLOOKUP(K4,$B$2:$G$4,6,TRUE),3,IF($D$10=VLOOKUP(K4,$B$2:$G$4,6,TRUE),4,5)))))*(DAY(M4)-DAY(L4)+1)/DAY(EOMONTH(L4,0)),0))))</f>
        <v>0</v>
      </c>
      <c r="AA4" s="497">
        <f>SUM(O4:Z4)</f>
        <v>58508</v>
      </c>
      <c r="AB4" s="497"/>
      <c r="AC4" s="497"/>
      <c r="AD4" s="497">
        <f t="shared" si="53"/>
        <v>1</v>
      </c>
      <c r="AE4" s="3"/>
      <c r="AF4" s="744">
        <f>$A$48</f>
        <v>41821</v>
      </c>
      <c r="AG4" s="498">
        <f>IF($AG$3=$I$29,$J$9,$I$9)</f>
        <v>8.9079999999999995</v>
      </c>
      <c r="AH4" s="461"/>
      <c r="AI4" s="499" t="str">
        <f t="shared" si="54"/>
        <v/>
      </c>
      <c r="AJ4" s="500" t="str">
        <f>IF(AJ3="","",IF($AK$1&lt;=AK3,"",AK3+1))</f>
        <v/>
      </c>
      <c r="AK4" s="484" t="str">
        <f>IF(AJ4="","",MIN(EOMONTH(AJ4,0),VLOOKUP(AJ4,'IN RPS-2015'!$O$164:$P$202,2,TRUE)-1,LOOKUP(AJ4,$E$47:$F$53)-1,IF(AJ4&lt;$B$2,$B$2-1,'IN RPS-2015'!$Q$9),IF(AJ4&lt;$B$3,$B$3-1,'IN RPS-2015'!$Q$9),IF(AJ4&lt;$B$4,$B$4-1,'IN RPS-2015'!$Q$9),LOOKUP(AJ4,$H$47:$I$53)))</f>
        <v/>
      </c>
      <c r="AL4" s="490" t="str">
        <f>IF(AJ4="","",VLOOKUP(AJ4,'IN RPS-2015'!$P$164:$AA$202,9))</f>
        <v/>
      </c>
      <c r="AM4" s="461" t="str">
        <f t="shared" ref="AM4:AM50" si="66">IF(AJ4="","",IF(AND($AG$3=$AG$1,AJ4&lt;=$AZ$1),0,ROUND(IF(BB4=3,0,IF(BB4=2,AL4/2,AL4))*(DAY(AK4)-DAY(AJ4)+1)/DAY(EOMONTH(AJ4,0)),0)))</f>
        <v/>
      </c>
      <c r="AN4" s="461" t="str">
        <f>IF(AJ4="","",IF(AND($AG$3=$AG$1,AJ4&lt;=$AZ$1),0,ROUND(IF(BB4=3,0,IF(BB4=2,IF(AL4=VLOOKUP(AL4,'IN RPS-2015'!$I$2:$J$5,1),0,Main!$H$9)/2,IF(AL4=VLOOKUP(AL4,'IN RPS-2015'!$I$2:$J$5,1),0,Main!$H$9)))*(DAY(AK4)-DAY(AJ4)+1)/DAY(EOMONTH(AJ4,0)),0)))</f>
        <v/>
      </c>
      <c r="AO4" s="461" t="str">
        <f>IF(AJ4="","",IF(AND($AG$3=$AG$1,AJ4&lt;=$AZ$1),0,IF(AL4=VLOOKUP(AL4,'IN RPS-2015'!$I$2:$J$5,1),0,ROUND(AM4*VLOOKUP(AJ4,$AF$4:$AG$7,2)%,0))))</f>
        <v/>
      </c>
      <c r="AP4" s="461" t="str">
        <f>IF(AJ4="","",IF(AND($AG$3=$AG$1,AJ4&lt;=$AZ$1),0,IF(OR(BB4=3,AL4=VLOOKUP(AL4,'IN RPS-2015'!$I$2:$J$5,1)),0,ROUND(MIN(ROUND(AL4*VLOOKUP(AJ4,$B$1:$G$4,2)%,0),VLOOKUP(AJ4,$B$2:$I$4,IF($AG$3=$I$29,7,8),TRUE))*(DAY(AK4)-DAY(AJ4)+1)/DAY(EOMONTH(AJ4,0)),0))))</f>
        <v/>
      </c>
      <c r="AQ4" s="491" t="str">
        <f>IF(AJ4="","",IF(AND($AG$3=$AG$1,AJ4&lt;=$AZ$1),0,IF(Main!$C$26="UGC",0,IF(OR(AJ4&lt;DATE(2010,4,1),$I$6=VLOOKUP(AJ4,$B$2:$G$4,5,TRUE),AL4=VLOOKUP(AL4,'IN RPS-2015'!$I$2:$J$5,1)),0,ROUND(IF(BB4=3,0,IF(BB4=2,MIN(ROUND(AL4*$G$13%,0),IF(AJ4&lt;$J$152,$G$14,$G$15))/2,MIN(ROUND(AL4*$G$13%,0),IF(AJ4&lt;$J$152,$G$14,$G$15))))*(DAY(AK4)-DAY(AJ4)+1)/DAY(EOMONTH(AJ4,0)),0)))))</f>
        <v/>
      </c>
      <c r="AR4" s="461" t="str">
        <f>IF(AJ4="","",IF(AND($AG$3=$AG$1,AJ4&lt;=$AZ$1),0,IF(Main!$C$26="UGC",0,IF(AL4=VLOOKUP(AL4,'IN RPS-2015'!$I$2:$J$5,1),0,ROUND(AM4*VLOOKUP(AJ4,$AF$11:$AG$12,2)%,0)))))</f>
        <v/>
      </c>
      <c r="AS4" s="461" t="str">
        <f>IF(AJ4="","",IF(AND($AG$3=$AG$1,AJ4&lt;=$AZ$1),0,IF(Main!$C$26="UGC",0,IF(AJ4&lt;DATE(2010,4,1),0,IF(OR(BB4=2,BB4=3,AL4=VLOOKUP(AL4,'IN RPS-2015'!$I$2:$J$5,1)),0,ROUND(IF(AJ4&lt;$J$152,VLOOKUP(AJ4,$B$1:$G$4,4),VLOOKUP(VLOOKUP(AJ4,$B$1:$G$4,4),Main!$CE$2:$CF$5,2,FALSE))*(DAY(AK4)-DAY(AJ4)+1)/DAY(EOMONTH(AJ4,0)),0))))))</f>
        <v/>
      </c>
      <c r="AT4" s="461" t="str">
        <f>IF(AJ4="","",IF(AND($AG$3=$AG$1,AJ4&lt;=$AZ$1),0,IF(OR(BB4=2,BB4=3,$D$31=$D$28,AL4=VLOOKUP(AL4,'IN RPS-2015'!$I$2:$J$5,1)),0,ROUND(MIN(VLOOKUP(AI4,$A$27:$C$29,2,TRUE),ROUND(AL4*VLOOKUP(AI4,$A$27:$C$29,3,TRUE)%,0))*IF(AI4=$A$36,$C$36,IF(AI4=$A$37,$C$37,IF(AI4=$A$38,$C$38,IF(AI4=$A$39,$C$39,IF(AI4=$A$40,$C$40,IF(AI4=$A$41,$C$41,1))))))*(DAY(AK4)-DAY(AJ4)+1)/DAY(EOMONTH(AJ4,0)),0))))</f>
        <v/>
      </c>
      <c r="AU4" s="461" t="str">
        <f>IF(AJ4="","",IF(AND($AG$3=$AG$1,AJ4&lt;=$AZ$1),0,IF(Main!$C$26="UGC",0,IF(OR(BB4=3,AL4=VLOOKUP(AL4,'IN RPS-2015'!$I$2:$J$5,1)),0,ROUND(IF(BB4=2,VLOOKUP(AL4,IF($AG$3=$I$29,$A$20:$E$23,$F$144:$J$147),IF($B$19=VLOOKUP(AJ4,$B$2:$G$4,3,TRUE),2,IF($C$19=VLOOKUP(AJ4,$B$2:$G$4,3,TRUE),3,IF($D$19=VLOOKUP(AJ4,$B$2:$G$4,3,TRUE),4,5))),TRUE),VLOOKUP(AL4,IF($AG$3=$I$29,$A$20:$E$23,$F$144:$J$147),IF($B$19=VLOOKUP(AJ4,$B$2:$G$4,3,TRUE),2,IF($C$19=VLOOKUP(AJ4,$B$2:$G$4,3,TRUE),3,IF($D$19=VLOOKUP(AJ4,$B$2:$G$4,3,TRUE),4,5))),TRUE))*(DAY(AK4)-DAY(AJ4)+1)/DAY(EOMONTH(AJ4,0)),0)))))</f>
        <v/>
      </c>
      <c r="AV4" s="461" t="str">
        <f>IF(AJ4="","",IF(AND($AG$3=$AG$1,AJ4&lt;=$AZ$1),0,IF(Main!$C$26="UGC",0,IF(OR(AI4&lt;DATE(2010,4,1),BB4=3,AL4=VLOOKUP(AL4,'IN RPS-2015'!$I$2:$J$5,1)),0,ROUND(IF(BB4=2,IF(AJ4&lt;$J$152,Main!$L$9,Main!$CI$3)/2,IF(AJ4&lt;$J$152,Main!$L$9,Main!$CI$3))*(DAY(AK4)-DAY(AJ4)+1)/DAY(EOMONTH(AJ4,0)),0)))))</f>
        <v/>
      </c>
      <c r="AW4" s="461"/>
      <c r="AX4" s="461" t="str">
        <f>IF(AJ4="","",IF(AND($AG$3=$AG$1,AJ4&lt;=$AZ$1),0,IF(Main!$C$26="UGC",0,IF(OR(BB4=3,AL4=VLOOKUP(AL4,'IN RPS-2015'!$I$2:$J$5,1)),0,ROUND(IF(BB4=2,VLOOKUP(AM4,IF(AJ4&lt;$J$152,$A$154:$E$159,$F$154:$J$159),IF($B$10=VLOOKUP(AI4,$B$2:$G$4,6,TRUE),2,IF($B$10=VLOOKUP(AI4,$B$2:$G$4,6,TRUE),3,IF($D$10=VLOOKUP(AI4,$B$2:$G$4,6,TRUE),4,5))))/2,VLOOKUP(AM4,IF(AJ4&lt;$J$152,$A$154:$E$159,$F$154:$J$159),IF($B$10=VLOOKUP(AI4,$B$2:$G$4,6,TRUE),2,IF($B$10=VLOOKUP(AI4,$B$2:$G$4,6,TRUE),3,IF($D$10=VLOOKUP(AI4,$B$2:$G$4,6,TRUE),4,5)))))*(DAY(AK4)-DAY(AJ4)+1)/DAY(EOMONTH(AJ4,0)),0)))))</f>
        <v/>
      </c>
      <c r="AY4" s="461">
        <f t="shared" ref="AY4:AY50" si="67">SUM(AM4:AX4)</f>
        <v>0</v>
      </c>
      <c r="AZ4" s="464" t="str">
        <f>IF(AJ4="","",IF(AND($AG$3=$AG$1,AJ4&lt;=$AZ$1),0,IF(AND(Main!$F$22=Main!$CA$24,AJ4&gt;$AZ$1),ROUND(SUM(AM4,AO4)*10%,0),"")))</f>
        <v/>
      </c>
      <c r="BA4" s="464" t="str">
        <f>IF(AI4="","",IF(AND($AG$3=$AG$1,AJ4&lt;=$AZ$1),0,IF(OR(Main!$H$10=Main!$BH$4,Main!$H$10=Main!$BH$5),0,LOOKUP(AY4*DAY(EOMONTH(AJ4,0))/(DAY(AK4)-DAY(AJ4)+1),$H$184:$I$189))))</f>
        <v/>
      </c>
      <c r="BB4" s="497">
        <f t="shared" si="55"/>
        <v>1</v>
      </c>
      <c r="BC4" s="464"/>
      <c r="BD4" s="501" t="str">
        <f t="shared" si="56"/>
        <v/>
      </c>
      <c r="BE4" s="502" t="str">
        <f>IF(BE3="","",IF($BF$1&lt;=BF3,"",BF3+1))</f>
        <v/>
      </c>
      <c r="BF4" s="484" t="str">
        <f>IF(BE4="","",MIN(EOMONTH(BE4,0),VLOOKUP(BE4,'IN RPS-2015'!$O$164:$P$202,2,TRUE)-1,LOOKUP(BE4,$E$47:$F$53)-1,IF(BE4&lt;$B$2,$B$2-1,'IN RPS-2015'!$Q$9),IF(BE4&lt;$B$3,$B$3-1,'IN RPS-2015'!$Q$9),IF(BE4&lt;$B$4,$B$4-1,'IN RPS-2015'!$Q$9),LOOKUP(BE4,$H$47:$I$53)))</f>
        <v/>
      </c>
      <c r="BG4" s="493" t="str">
        <f>IF(BE4="","",VLOOKUP(BE4,'IN RPS-2015'!$P$164:$AA$202,10))</f>
        <v/>
      </c>
      <c r="BH4" s="461" t="str">
        <f t="shared" ref="BH4:BH50" si="68">IF(BE4="","",IF(AND($AG$3=$AG$1,BE4&lt;=$AZ$1),0,ROUND(IF(BW4=3,0,IF(BW4=2,BG4/2,BG4))*(DAY(BF4)-DAY(BE4)+1)/DAY(EOMONTH(BE4,0)),0)))</f>
        <v/>
      </c>
      <c r="BI4" s="461" t="str">
        <f>IF(BE4="","",IF(AND($AG$3=$AG$1,BE4&lt;=$AZ$1),0,ROUND(IF(BW4=3,0,IF(BW4=2,IF(BG4=VLOOKUP(BG4,'IN RPS-2015'!$I$2:$J$5,1),0,Main!$H$9)/2,IF(BG4=VLOOKUP(BG4,'IN RPS-2015'!$I$2:$J$5,1),0,Main!$H$9)))*(DAY(BF4)-DAY(BE4)+1)/DAY(EOMONTH(BE4,0)),0)))</f>
        <v/>
      </c>
      <c r="BJ4" s="461" t="str">
        <f>IF(BE4="","",IF(AND($AG$3=$AG$1,BE4&lt;=$AZ$1),0,IF(BG4=VLOOKUP(BG4,'IN RPS-2015'!$I$2:$J$5,1),0,ROUND(BH4*VLOOKUP(BE4,$AF$4:$AG$7,2)%,0))))</f>
        <v/>
      </c>
      <c r="BK4" s="461" t="str">
        <f>IF(BE4="","",IF(AND($AG$3=$AG$1,BE4&lt;=$AZ$1),0,IF(OR(BW4=3,BG4=VLOOKUP(BG4,'IN RPS-2015'!$I$2:$J$5,1)),0,ROUND(MIN(ROUND(BG4*VLOOKUP(BE4,$B$1:$G$4,2)%,0),VLOOKUP(BE4,$B$2:$I$4,IF($AG$3=$I$29,7,8),TRUE))*(DAY(BF4)-DAY(BE4)+1)/DAY(EOMONTH(BE4,0)),0))))</f>
        <v/>
      </c>
      <c r="BL4" s="491" t="str">
        <f>IF(BE4="","",IF(AND($AG$3=$AG$1,BE4&lt;=$AZ$1),0,IF(Main!$C$26="UGC",0,IF(OR(BE4&lt;DATE(2010,4,1),$I$6=VLOOKUP(BE4,$B$2:$G$4,5,TRUE),BG4=VLOOKUP(BG4,'IN RPS-2015'!$I$2:$J$5,1)),0,ROUND(IF(BW4=3,0,IF(BW4=2,MIN(ROUND(BG4*$G$13%,0),IF(BE4&lt;$J$152,$G$14,$G$15))/2,MIN(ROUND(BG4*$G$13%,0),IF(BE4&lt;$J$152,$G$14,$G$15))))*(DAY(BF4)-DAY(BE4)+1)/DAY(EOMONTH(BE4,0)),0)))))</f>
        <v/>
      </c>
      <c r="BM4" s="461" t="str">
        <f>IF(BE4="","",IF(AND($AG$3=$AG$1,BE4&lt;=$AZ$1),0,IF(Main!$C$26="UGC",0,IF(BG4=VLOOKUP(BG4,'IN RPS-2015'!$I$2:$J$5,1),0,ROUND(BH4*VLOOKUP(BE4,$AF$11:$AG$12,2)%,0)))))</f>
        <v/>
      </c>
      <c r="BN4" s="461" t="str">
        <f>IF(BE4="","",IF(AND($AG$3=$AG$1,BE4&lt;=$AZ$1),0,IF(Main!$C$26="UGC",0,IF(BE4&lt;DATE(2010,4,1),0,IF(OR(BW4=2,BW4=3,BG4=VLOOKUP(BG4,'IN RPS-2015'!$I$2:$J$5,1)),0,ROUND(IF(BE4&lt;$J$152,VLOOKUP(BE4,$B$1:$G$4,4),VLOOKUP(VLOOKUP(BE4,$B$1:$G$4,4),Main!$CE$2:$CF$5,2,FALSE))*(DAY(BF4)-DAY(BE4)+1)/DAY(EOMONTH(BE4,0)),0))))))</f>
        <v/>
      </c>
      <c r="BO4" s="461" t="str">
        <f>IF(BE4="","",IF(AND($AG$3=$AG$1,BE4&lt;=$AZ$1),0,IF(OR(BW4=2,BW4=3,$D$31=$D$28,BG4=VLOOKUP(BG4,'IN RPS-2015'!$I$2:$J$5,1)),0,ROUND(MIN(VLOOKUP(BD4,$A$27:$C$29,2,TRUE),ROUND(BG4*VLOOKUP(BD4,$A$27:$C$29,3,TRUE)%,0))*IF(BD4=$A$36,$C$36,IF(BD4=$A$37,$C$37,IF(BD4=$A$38,$C$38,IF(BD4=$A$39,$C$39,IF(BD4=$A$40,$C$40,IF(BD4=$A$41,$C$41,1))))))*(DAY(BF4)-DAY(BE4)+1)/DAY(EOMONTH(BE4,0)),0))))</f>
        <v/>
      </c>
      <c r="BP4" s="461" t="str">
        <f>IF(BE4="","",IF(AND($AG$3=$AG$1,BE4&lt;=$AZ$1),0,IF(Main!$C$26="UGC",0,IF(OR(BW4=3,BG4=VLOOKUP(BG4,'IN RPS-2015'!$I$2:$J$5,1)),0,ROUND(IF(BW4=2,VLOOKUP(BG4,IF($AG$3=$I$29,$A$20:$E$23,$F$144:$J$147),IF($B$19=VLOOKUP(BE4,$B$2:$G$4,3,TRUE),2,IF($C$19=VLOOKUP(BE4,$B$2:$G$4,3,TRUE),3,IF($D$19=VLOOKUP(BE4,$B$2:$G$4,3,TRUE),4,5))),TRUE),VLOOKUP(BG4,IF($AG$3=$I$29,$A$20:$E$23,$F$144:$J$147),IF($B$19=VLOOKUP(BE4,$B$2:$G$4,3,TRUE),2,IF($C$19=VLOOKUP(BE4,$B$2:$G$4,3,TRUE),3,IF($D$19=VLOOKUP(BE4,$B$2:$G$4,3,TRUE),4,5))),TRUE))*(DAY(BF4)-DAY(BE4)+1)/DAY(EOMONTH(BE4,0)),0)))))</f>
        <v/>
      </c>
      <c r="BQ4" s="461" t="str">
        <f>IF(BE4="","",IF(AND($AG$3=$AG$1,BE4&lt;=$AZ$1),0,IF(Main!$C$26="UGC",0,IF(OR(BD4&lt;DATE(2010,4,1),BW4=3,BG4=VLOOKUP(BG4,'IN RPS-2015'!$I$2:$J$5,1)),0,ROUND(IF(BW4=2,IF(BE4&lt;$J$152,Main!$L$9,Main!$CI$3)/2,IF(BE4&lt;$J$152,Main!$L$9,Main!$CI$3))*(DAY(BF4)-DAY(BE4)+1)/DAY(EOMONTH(BE4,0)),0)))))</f>
        <v/>
      </c>
      <c r="BR4" s="461"/>
      <c r="BS4" s="461" t="str">
        <f>IF(BE4="","",IF(AND($AG$3=$AG$1,BE4&lt;=$AZ$1),0,IF(Main!$C$26="UGC",0,IF(OR(BW4=3,BG4=VLOOKUP(BG4,'IN RPS-2015'!$I$2:$J$5,1)),0,ROUND(IF(BW4=2,VLOOKUP(BH4,IF(BE4&lt;$J$152,$A$154:$E$159,$F$154:$J$159),IF($B$10=VLOOKUP(BD4,$B$2:$G$4,6,TRUE),2,IF($B$10=VLOOKUP(BD4,$B$2:$G$4,6,TRUE),3,IF($D$10=VLOOKUP(BD4,$B$2:$G$4,6,TRUE),4,5))))/2,VLOOKUP(BH4,IF(BE4&lt;$J$152,$A$154:$E$159,$F$154:$J$159),IF($B$10=VLOOKUP(BD4,$B$2:$G$4,6,TRUE),2,IF($B$10=VLOOKUP(BD4,$B$2:$G$4,6,TRUE),3,IF($D$10=VLOOKUP(BD4,$B$2:$G$4,6,TRUE),4,5)))))*(DAY(BF4)-DAY(BE4)+1)/DAY(EOMONTH(BE4,0)),0)))))</f>
        <v/>
      </c>
      <c r="BT4" s="461">
        <f t="shared" ref="BT4:BT51" si="69">SUM(BH4:BS4)</f>
        <v>0</v>
      </c>
      <c r="BU4" s="464" t="str">
        <f>IF(BE4="","",IF(AND($AG$3=$AG$1,BE4&lt;=$AZ$1),0,IF(AND(Main!$F$22=Main!$CA$24,BE4&gt;$AZ$1),ROUND(SUM(BH4,BJ4)*10%,0),"")))</f>
        <v/>
      </c>
      <c r="BV4" s="464" t="str">
        <f>IF(BD4="","",IF(AND($AG$3=$AG$1,BE4&lt;=$AZ$1),0,IF(OR(Main!$H$10=Main!$BH$4,Main!$H$10=Main!$BH$5),0,LOOKUP(BT4*DAY(EOMONTH(BE4,0))/(DAY(BF4)-DAY(BE4)+1),$H$184:$I$189))))</f>
        <v/>
      </c>
      <c r="BW4" s="503">
        <f t="shared" ref="BW4:BW50" si="70">IF(OR(AND(BE4=$E$48,$G$48=3),AND(BE4=$E$49,$G$49=3),AND(BE4=$E$50,$G$50=3),AND(BE4=$E$51,$G$51=3),AND(BE4=$E$52,$G$52=3),AND(BE4=$E$53,$G$53=3)),3,IF(OR(AND(BE4=$E$48,$G$48=2),AND(BE4=$E$49,$G$49=2),AND(BE4=$E$50,$G$50=2),AND(BE4=$E$51,$G$51=2),AND(BE4=$E$52,$G$52=2),AND(BE4=$E$53,$G$53=2)),2,1))</f>
        <v>1</v>
      </c>
      <c r="BX4" s="457">
        <f t="shared" ref="BX4:BX34" si="71">AY4-BT4</f>
        <v>0</v>
      </c>
      <c r="BZ4" s="744">
        <f>$A$48</f>
        <v>41821</v>
      </c>
      <c r="CA4" s="498">
        <f>IF($CA$3=$I$29,$J$9,$I$9)</f>
        <v>8.9079999999999995</v>
      </c>
      <c r="CB4" s="461"/>
      <c r="CC4" s="499" t="str">
        <f t="shared" si="57"/>
        <v/>
      </c>
      <c r="CD4" s="500" t="str">
        <f>IF(CD3="","",IF($CE$1&lt;=CE3,"",CE3+1))</f>
        <v/>
      </c>
      <c r="CE4" s="484" t="str">
        <f>IF(CD4="","",MIN(EOMONTH(CD4,0),VLOOKUP(CD4,'IN RPS-2015'!$O$164:$P$202,2,TRUE)-1,LOOKUP(CD4,$E$47:$F$53)-1,IF(CD4&lt;$B$2,$B$2-1,'IN RPS-2015'!$Q$9),IF(CD4&lt;$B$3,$B$3-1,'IN RPS-2015'!$Q$9),IF(CD4&lt;$B$4,$B$4-1,'IN RPS-2015'!$Q$9),LOOKUP(CD4,$H$47:$I$53)))</f>
        <v/>
      </c>
      <c r="CF4" s="490" t="str">
        <f>IF(CD4="","",VLOOKUP(CD4,'IN RPS-2015'!$T$207:$Y$222,5))</f>
        <v/>
      </c>
      <c r="CG4" s="461" t="str">
        <f t="shared" ref="CG4:CG50" si="72">IF(CD4="","",IF(AND($CA$3=$CA$1,CD4&lt;=$CT$1),0,ROUND(IF(CV4=3,0,IF(CV4=2,CF4/2,CF4))*(DAY(CE4)-DAY(CD4)+1)/DAY(EOMONTH(CD4,0)),0)))</f>
        <v/>
      </c>
      <c r="CH4" s="461" t="str">
        <f>IF(CD4="","",IF(AND($CA$3=$CA$1,CD4&lt;=$CT$1),0,ROUND(IF(CV4=3,0,IF(CV4=2,IF(CF4=VLOOKUP(CF4,'IN RPS-2015'!$I$2:$J$5,1),0,Main!$H$9)/2,IF(CF4=VLOOKUP(CF4,'IN RPS-2015'!$I$2:$J$5,1),0,Main!$H$9)))*(DAY(CE4)-DAY(CD4)+1)/DAY(EOMONTH(CD4,0)),0)))</f>
        <v/>
      </c>
      <c r="CI4" s="461" t="str">
        <f>IF(CD4="","",IF(AND($CA$3=$CA$1,CD4&lt;=$CT$1),0,IF(CF4=VLOOKUP(CF4,'IN RPS-2015'!$I$2:$J$5,1),0,ROUND(CG4*VLOOKUP(CD4,$BZ$4:$CA$7,2)%,0))))</f>
        <v/>
      </c>
      <c r="CJ4" s="461" t="str">
        <f>IF(CD4="","",IF(AND($CA$3=$CA$1,CD4&lt;=$CT$1),0,IF(OR(CV4=3,CF4=VLOOKUP(CF4,'IN RPS-2015'!$I$2:$J$5,1)),0,ROUND(MIN(ROUND(CF4*VLOOKUP(CD4,$B$1:$G$4,2)%,0),VLOOKUP(CD4,$B$2:$I$4,IF($CA$3=$I$29,7,8),TRUE))*(DAY(CE4)-DAY(CD4)+1)/DAY(EOMONTH(CD4,0)),0))))</f>
        <v/>
      </c>
      <c r="CK4" s="491" t="str">
        <f>IF(CD4="","",IF(AND($CA$3=$CA$1,CD4&lt;=$CT$1),0,IF(Main!$C$26="UGC",0,IF(OR(CD4&lt;DATE(2010,4,1),$I$6=VLOOKUP(CD4,$B$2:$G$4,5,TRUE),CF4=VLOOKUP(CF4,'IN RPS-2015'!$I$2:$J$5,1)),0,ROUND(IF(CV4=3,0,IF(CV4=2,MIN(ROUND(CF4*$G$13%,0),IF(CD4&lt;$J$152,$G$14,$G$15))/2,MIN(ROUND(CF4*$G$13%,0),IF(CD4&lt;$J$152,$G$14,$G$15))))*(DAY(CE4)-DAY(CD4)+1)/DAY(EOMONTH(CD4,0)),0)))))</f>
        <v/>
      </c>
      <c r="CL4" s="461" t="str">
        <f>IF(CD4="","",IF(AND($CA$3=$CA$1,CD4&lt;=$CT$1),0,IF(Main!$C$26="UGC",0,IF(CF4=VLOOKUP(CF4,'IN RPS-2015'!$I$2:$J$5,1),0,ROUND(CG4*VLOOKUP(CD4,$BZ$11:$CA$12,2)%,0)))))</f>
        <v/>
      </c>
      <c r="CM4" s="461" t="str">
        <f>IF(CD4="","",IF(AND($CA$3=$CA$1,CD4&lt;=$CT$1),0,IF(Main!$C$26="UGC",0,IF(CD4&lt;DATE(2010,4,1),0,IF(OR(CV4=2,CV4=3,CF4=VLOOKUP(CF4,'IN RPS-2015'!$I$2:$J$5,1)),0,ROUND(IF(CD4&lt;$J$152,VLOOKUP(CD4,$B$1:$G$4,4),VLOOKUP(VLOOKUP(CD4,$B$1:$G$4,4),Main!$CE$2:$CF$5,2,FALSE))*(DAY(CE4)-DAY(CD4)+1)/DAY(EOMONTH(CD4,0)),0))))))</f>
        <v/>
      </c>
      <c r="CN4" s="461" t="str">
        <f>IF(CD4="","",IF(AND($CA$3=$CA$1,CD4&lt;=$CT$1),0,IF(OR(CV4=2,CV4=3,$D$31=$D$28,CF4=VLOOKUP(CF4,'IN RPS-2015'!$I$2:$J$5,1)),0,ROUND(MIN(VLOOKUP(CC4,$A$27:$C$29,2,TRUE),ROUND(CF4*VLOOKUP(CC4,$A$27:$C$29,3,TRUE)%,0))*IF(CC4=$A$36,$C$36,IF(CC4=$A$37,$C$37,IF(CC4=$A$38,$C$38,IF(CC4=$A$39,$C$39,IF(CC4=$A$40,$C$40,IF(CC4=$A$41,$C$41,1))))))*(DAY(CE4)-DAY(CD4)+1)/DAY(EOMONTH(CD4,0)),0))))</f>
        <v/>
      </c>
      <c r="CO4" s="461" t="str">
        <f>IF(CD4="","",IF(AND($CA$3=$CA$1,CD4&lt;=$CT$1),0,IF(Main!$C$26="UGC",0,IF(OR(CV4=3,CF4=VLOOKUP(CF4,'IN RPS-2015'!$I$2:$J$5,1)),0,ROUND(IF(CV4=2,VLOOKUP(CF4,IF($CA$3=$I$29,$A$20:$E$23,$F$144:$J$147),IF($B$19=VLOOKUP(CD4,$B$2:$G$4,3,TRUE),2,IF($C$19=VLOOKUP(CD4,$B$2:$G$4,3,TRUE),3,IF($D$19=VLOOKUP(CD4,$B$2:$G$4,3,TRUE),4,5))),TRUE),VLOOKUP(CF4,IF($CA$3=$I$29,$A$20:$E$23,$F$144:$J$147),IF($B$19=VLOOKUP(CD4,$B$2:$G$4,3,TRUE),2,IF($C$19=VLOOKUP(CD4,$B$2:$G$4,3,TRUE),3,IF($D$19=VLOOKUP(CD4,$B$2:$G$4,3,TRUE),4,5))),TRUE))*(DAY(CE4)-DAY(CD4)+1)/DAY(EOMONTH(CD4,0)),0)))))</f>
        <v/>
      </c>
      <c r="CP4" s="461" t="str">
        <f>IF(CD4="","",IF(AND($CA$3=$CA$1,CD4&lt;=$CT$1),0,IF(Main!$C$26="UGC",0,IF(OR(CC4&lt;DATE(2010,4,1),CV4=3,CF4=VLOOKUP(CF4,'IN RPS-2015'!$I$2:$J$5,1)),0,ROUND(IF(CV4=2,IF(CD4&lt;$J$152,Main!$L$9,Main!$CI$3)/2,IF(CD4&lt;$J$152,Main!$L$9,Main!$CI$3))*(DAY(CE4)-DAY(CD4)+1)/DAY(EOMONTH(CD4,0)),0)))))</f>
        <v/>
      </c>
      <c r="CQ4" s="461"/>
      <c r="CR4" s="461" t="str">
        <f>IF(CD4="","",IF(AND($CA$3=$CA$1,CD4&lt;=$CT$1),0,IF(Main!$C$26="UGC",0,IF(OR(CV4=3,CF4=VLOOKUP(CF4,'IN RPS-2015'!$I$2:$J$5,1)),0,ROUND(IF(CV4=2,VLOOKUP(CG4,IF(CD4&lt;$J$152,$A$154:$E$159,$F$154:$J$159),IF($B$10=VLOOKUP(CC4,$B$2:$G$4,6,TRUE),2,IF($B$10=VLOOKUP(CC4,$B$2:$G$4,6,TRUE),3,IF($D$10=VLOOKUP(CC4,$B$2:$G$4,6,TRUE),4,5))))/2,VLOOKUP(CG4,IF(CD4&lt;$J$152,$A$154:$E$159,$F$154:$J$159),IF($B$10=VLOOKUP(CC4,$B$2:$G$4,6,TRUE),2,IF($B$10=VLOOKUP(CC4,$B$2:$G$4,6,TRUE),3,IF($D$10=VLOOKUP(CC4,$B$2:$G$4,6,TRUE),4,5)))))*(DAY(CE4)-DAY(CD4)+1)/DAY(EOMONTH(CD4,0)),0)))))</f>
        <v/>
      </c>
      <c r="CS4" s="461">
        <f t="shared" ref="CS4:CS50" si="73">SUM(CG4:CR4)</f>
        <v>0</v>
      </c>
      <c r="CT4" s="464" t="str">
        <f>IF(CD4="","",IF(AND($CA$3=$CA$1,CD4&lt;=$CT$1),0,IF(AND(Main!$F$22=Main!$CA$24,CD4&gt;$CT$1),ROUND(SUM(CG4,CI4)*10%,0),"")))</f>
        <v/>
      </c>
      <c r="CU4" s="464" t="str">
        <f>IF(CC4="","",IF(CG4=0,0,IF(OR(Main!$H$10=Main!$BH$4,Main!$H$10=Main!$BH$5),0,LOOKUP(CS4*DAY(EOMONTH(CD4,0))/(DAY(CE4)-DAY(CD4)+1),$H$184:$I$189))))</f>
        <v/>
      </c>
      <c r="CV4" s="457">
        <f t="shared" ref="CV4:CV50" si="74">IF(OR(AND(CD4=$E$48,$G$48=3),AND(CD4=$E$49,$G$49=3),AND(CD4=$E$50,$G$50=3),AND(CD4=$E$51,$G$51=3),AND(CD4=$E$52,$G$52=3),AND(CD4=$E$53,$G$53=3)),3,IF(OR(AND(CD4=$E$48,$G$48=2),AND(CD4=$E$49,$G$49=2),AND(CD4=$E$50,$G$50=2),AND(CD4=$E$51,$G$51=2),AND(CD4=$E$52,$G$52=2),AND(CD4=$E$53,$G$53=2)),2,1))</f>
        <v>1</v>
      </c>
      <c r="CW4" s="464"/>
      <c r="CX4" s="501" t="str">
        <f t="shared" si="59"/>
        <v/>
      </c>
      <c r="CY4" s="502" t="str">
        <f>IF(CY3="","",IF($CZ$1&lt;=CZ3,"",CZ3+1))</f>
        <v/>
      </c>
      <c r="CZ4" s="484" t="str">
        <f>IF(CY4="","",MIN(EOMONTH(CY4,0),VLOOKUP(CY4,'IN RPS-2015'!$O$164:$P$202,2,TRUE)-1,LOOKUP(CY4,$E$47:$F$53)-1,IF(CY4&lt;$B$2,$B$2-1,'IN RPS-2015'!$Q$9),IF(CY4&lt;$B$3,$B$3-1,'IN RPS-2015'!$Q$9),IF(CY4&lt;$B$4,$B$4-1,'IN RPS-2015'!$Q$9),LOOKUP(CY4,$H$47:$I$53)))</f>
        <v/>
      </c>
      <c r="DA4" s="493" t="str">
        <f>IF(CY4="","",VLOOKUP(CY4,'IN RPS-2015'!$T$207:$Y$222,6))</f>
        <v/>
      </c>
      <c r="DB4" s="461" t="str">
        <f t="shared" ref="DB4:DB50" si="75">IF(CY4="","",IF(AND($CA$3=$CA$1,CY4&lt;=$CT$1),0,ROUND(IF(DQ4=3,0,IF(DQ4=2,DA4/2,DA4))*(DAY(CZ4)-DAY(CY4)+1)/DAY(EOMONTH(CY4,0)),0)))</f>
        <v/>
      </c>
      <c r="DC4" s="461" t="str">
        <f>IF(CY4="","",IF(AND($CA$3=$CA$1,CY4&lt;=$CT$1),0,ROUND(IF(DQ4=3,0,IF(DQ4=2,IF(DA4=VLOOKUP(DA4,'IN RPS-2015'!$I$2:$J$5,1),0,Main!$H$9)/2,IF(DA4=VLOOKUP(DA4,'IN RPS-2015'!$I$2:$J$5,1),0,Main!$H$9)))*(DAY(CZ4)-DAY(CY4)+1)/DAY(EOMONTH(CY4,0)),0)))</f>
        <v/>
      </c>
      <c r="DD4" s="461" t="str">
        <f>IF(CY4="","",IF(AND($CA$3=$CA$1,CY4&lt;=$CT$1),0,IF(DA4=VLOOKUP(DA4,'IN RPS-2015'!$I$2:$J$5,1),0,ROUND(DB4*VLOOKUP(CY4,$BZ$4:$CA$7,2)%,0))))</f>
        <v/>
      </c>
      <c r="DE4" s="461" t="str">
        <f>IF(CY4="","",IF(AND($CA$3=$CA$1,CY4&lt;=$CT$1),0,IF(OR(DQ4=3,DA4=VLOOKUP(DA4,'IN RPS-2015'!$I$2:$J$5,1)),0,ROUND(MIN(ROUND(DA4*VLOOKUP(CY4,$B$1:$G$4,2)%,0),VLOOKUP(CY4,$B$2:$I$4,IF($CA$3=$I$29,7,8),TRUE))*(DAY(CZ4)-DAY(CY4)+1)/DAY(EOMONTH(CY4,0)),0))))</f>
        <v/>
      </c>
      <c r="DF4" s="491" t="str">
        <f>IF(CY4="","",IF(AND($CA$3=$CA$1,CY4&lt;=$CT$1),0,IF(Main!$C$26="UGC",0,IF(OR(CY4&lt;DATE(2010,4,1),$I$6=VLOOKUP(CY4,$B$2:$G$4,5,TRUE),DA4=VLOOKUP(DA4,'IN RPS-2015'!$I$2:$J$5,1)),0,ROUND(IF(DQ4=3,0,IF(DQ4=2,MIN(ROUND(DA4*$G$13%,0),IF(CY4&lt;$J$152,$G$14,$G$15))/2,MIN(ROUND(DA4*$G$13%,0),IF(CY4&lt;$J$152,$G$14,$G$15))))*(DAY(CZ4)-DAY(CY4)+1)/DAY(EOMONTH(CY4,0)),0)))))</f>
        <v/>
      </c>
      <c r="DG4" s="461" t="str">
        <f>IF(CY4="","",IF(AND($CA$3=$CA$1,CY4&lt;=$CT$1),0,IF(Main!$C$26="UGC",0,IF(DA4=VLOOKUP(DA4,'IN RPS-2015'!$I$2:$J$5,1),0,ROUND(DB4*VLOOKUP(CY4,$BZ$11:$CA$12,2)%,0)))))</f>
        <v/>
      </c>
      <c r="DH4" s="461" t="str">
        <f>IF(CY4="","",IF(AND($CA$3=$CA$1,CY4&lt;=$CT$1),0,IF(Main!$C$26="UGC",0,IF(CY4&lt;DATE(2010,4,1),0,IF(OR(DQ4=2,DQ4=3,DA4=VLOOKUP(DA4,'IN RPS-2015'!$I$2:$J$5,1)),0,ROUND(IF(CY4&lt;$J$152,VLOOKUP(CY4,$B$1:$G$4,4),VLOOKUP(VLOOKUP(CY4,$B$1:$G$4,4),Main!$CE$2:$CF$5,2,FALSE))*(DAY(CZ4)-DAY(CY4)+1)/DAY(EOMONTH(CY4,0)),0))))))</f>
        <v/>
      </c>
      <c r="DI4" s="461" t="str">
        <f>IF(CY4="","",IF(AND($CA$3=$CA$1,CY4&lt;=$CT$1),0,IF(OR(DQ4=2,DQ4=3,$D$31=$D$28,DA4=VLOOKUP(DA4,'IN RPS-2015'!$I$2:$J$5,1)),0,ROUND(MIN(VLOOKUP(CX4,$A$27:$C$29,2,TRUE),ROUND(DA4*VLOOKUP(CX4,$A$27:$C$29,3,TRUE)%,0))*IF(CX4=$A$36,$C$36,IF(CX4=$A$37,$C$37,IF(CX4=$A$38,$C$38,IF(CX4=$A$39,$C$39,IF(CX4=$A$40,$C$40,IF(CX4=$A$41,$C$41,1))))))*(DAY(CZ4)-DAY(CY4)+1)/DAY(EOMONTH(CY4,0)),0))))</f>
        <v/>
      </c>
      <c r="DJ4" s="461" t="str">
        <f>IF(CY4="","",IF(AND($CA$3=$CA$1,CY4&lt;=$CT$1),0,IF(Main!$C$26="UGC",0,IF(OR(DQ4=3,DA4=VLOOKUP(DA4,'IN RPS-2015'!$I$2:$J$5,1)),0,ROUND(IF(DQ4=2,VLOOKUP(DA4,IF($CA$3=$I$29,$A$20:$E$23,$F$144:$J$147),IF($B$19=VLOOKUP(CY4,$B$2:$G$4,3,TRUE),2,IF($C$19=VLOOKUP(CY4,$B$2:$G$4,3,TRUE),3,IF($D$19=VLOOKUP(CY4,$B$2:$G$4,3,TRUE),4,5))),TRUE),VLOOKUP(DA4,IF($CA$3=$I$29,$A$20:$E$23,$F$144:$J$147),IF($B$19=VLOOKUP(CY4,$B$2:$G$4,3,TRUE),2,IF($C$19=VLOOKUP(CY4,$B$2:$G$4,3,TRUE),3,IF($D$19=VLOOKUP(CY4,$B$2:$G$4,3,TRUE),4,5))),TRUE))*(DAY(CZ4)-DAY(CY4)+1)/DAY(EOMONTH(CY4,0)),0)))))</f>
        <v/>
      </c>
      <c r="DK4" s="461" t="str">
        <f>IF(CY4="","",IF(AND($CA$3=$CA$1,CY4&lt;=$CT$1),0,IF(Main!$C$26="UGC",0,IF(OR(CX4&lt;DATE(2010,4,1),DQ4=3,DA4=VLOOKUP(DA4,'IN RPS-2015'!$I$2:$J$5,1)),0,ROUND(IF(DQ4=2,IF(CY4&lt;$J$152,Main!$L$9,Main!$CI$3)/2,IF(CY4&lt;$J$152,Main!$L$9,Main!$CI$3))*(DAY(CZ4)-DAY(CY4)+1)/DAY(EOMONTH(CY4,0)),0)))))</f>
        <v/>
      </c>
      <c r="DL4" s="461"/>
      <c r="DM4" s="461" t="str">
        <f>IF(CY4="","",IF(AND($CA$3=$CA$1,CY4&lt;=$CT$1),0,IF(Main!$C$26="UGC",0,IF(OR(DQ4=3,DA4=VLOOKUP(DA4,'IN RPS-2015'!$I$2:$J$5,1)),0,ROUND(IF(DQ4=2,VLOOKUP(DB4,IF(CY4&lt;$J$152,$A$154:$E$159,$F$154:$J$159),IF($B$10=VLOOKUP(CX4,$B$2:$G$4,6,TRUE),2,IF($B$10=VLOOKUP(CX4,$B$2:$G$4,6,TRUE),3,IF($D$10=VLOOKUP(CX4,$B$2:$G$4,6,TRUE),4,5))))/2,VLOOKUP(DB4,IF(CY4&lt;$J$152,$A$154:$E$159,$F$154:$J$159),IF($B$10=VLOOKUP(CX4,$B$2:$G$4,6,TRUE),2,IF($B$10=VLOOKUP(CX4,$B$2:$G$4,6,TRUE),3,IF($D$10=VLOOKUP(CX4,$B$2:$G$4,6,TRUE),4,5)))))*(DAY(CZ4)-DAY(CY4)+1)/DAY(EOMONTH(CY4,0)),0)))))</f>
        <v/>
      </c>
      <c r="DN4" s="461">
        <f t="shared" ref="DN4:DN51" si="76">SUM(DB4:DM4)</f>
        <v>0</v>
      </c>
      <c r="DO4" s="464" t="str">
        <f>IF(CY4="","",IF(AND($CA$3=$CA$1,CY4&lt;=$CT$1),0,IF(AND(Main!$F$22=Main!$CA$24,CY4&gt;$CT$1),ROUND(SUM(DB4,DD4)*10%,0),"")))</f>
        <v/>
      </c>
      <c r="DP4" s="464" t="str">
        <f>IF(CX4="","",IF(AND($CA$3=$CA$1,CY4&lt;=$CT$1),0,IF(OR(Main!$H$10=Main!$BH$4,Main!$H$10=Main!$BH$5),0,LOOKUP(DN4*DAY(EOMONTH(CY4,0))/(DAY(CZ4)-DAY(CY4)+1),$H$184:$I$189))))</f>
        <v/>
      </c>
      <c r="DQ4" s="457">
        <f t="shared" si="60"/>
        <v>1</v>
      </c>
      <c r="DR4" s="457">
        <f t="shared" ref="DR4:DR52" si="77">CS4-DN4</f>
        <v>0</v>
      </c>
      <c r="DT4" s="744">
        <f>$A$48</f>
        <v>41821</v>
      </c>
      <c r="DU4" s="498">
        <f>IF($DU$3=$I$29,$J$9,$I$9)</f>
        <v>8.9079999999999995</v>
      </c>
      <c r="DV4" s="461"/>
      <c r="DW4" s="499">
        <f t="shared" si="61"/>
        <v>42125</v>
      </c>
      <c r="DX4" s="500">
        <f>IF(DX3="","",IF($DY$1&lt;=DY3,"",DY3+1))</f>
        <v>42125</v>
      </c>
      <c r="DY4" s="484">
        <f>IF(DX4="","",MIN(EOMONTH(DX4,0),VLOOKUP(DX4,'IN RPS-2015'!$O$164:$P$202,2,TRUE)-1,LOOKUP(DX4,$E$47:$F$53)-1,IF(DX4&lt;$B$2,$B$2-1,'IN RPS-2015'!$Q$9),IF(DX4&lt;$B$3,$B$3-1,'IN RPS-2015'!$Q$9),IF(DX4&lt;$B$4,$B$4-1,'IN RPS-2015'!$Q$9),LOOKUP(DX4,$H$47:$I$53)))</f>
        <v>42155</v>
      </c>
      <c r="DZ4" s="490">
        <f>IF(DX4="","",VLOOKUP(DX4,'IN RPS-2015'!$P$164:$AA$202,11))</f>
        <v>53950</v>
      </c>
      <c r="EA4" s="461">
        <f t="shared" ref="EA4:EA50" si="78">IF(DX4="","",ROUND(IF(EP4=3,0,IF(EP4=2,DZ4/2,DZ4))*(DAY(DY4)-DAY(DX4)+1)/DAY(EOMONTH(DX4,0)),0))</f>
        <v>53950</v>
      </c>
      <c r="EB4" s="461">
        <f>IF(DX4="","",ROUND(IF(EP4=3,0,IF(EP4=2,IF(DZ4=VLOOKUP(DZ4,'IN RPS-2015'!$I$2:$J$5,1),0,Main!$H$9)/2,IF(DZ4=VLOOKUP(DZ4,'IN RPS-2015'!$I$2:$J$5,1),0,Main!$H$9)))*(DAY(DY4)-DAY(DX4)+1)/DAY(EOMONTH(DX4,0)),0))</f>
        <v>105</v>
      </c>
      <c r="EC4" s="461">
        <f>IF(DX4="","",IF(DZ4=VLOOKUP(DZ4,'IN RPS-2015'!$I$2:$J$5,1),0,ROUND(EA4*VLOOKUP(DX4,$DT$4:$DU$7,2)%,0)))</f>
        <v>4806</v>
      </c>
      <c r="ED4" s="461">
        <f>IF(DX4="","",IF(OR(EP4=3,DZ4=VLOOKUP(DZ4,'IN RPS-2015'!$I$2:$J$5,1)),0,ROUND(MIN(ROUND(DZ4*VLOOKUP(DX4,$B$1:$G$4,2)%,0),VLOOKUP(DX4,$B$2:$I$4,IF($DU$3=$I$29,7,8),TRUE))*(DAY(DY4)-DAY(DX4)+1)/DAY(EOMONTH(DX4,0)),0)))</f>
        <v>10790</v>
      </c>
      <c r="EE4" s="491">
        <f>IF(DX4="","",IF(Main!$C$26="UGC",0,IF(OR(DX4&lt;DATE(2010,4,1),$I$6=VLOOKUP(DX4,$B$2:$G$4,5,TRUE),DZ4=VLOOKUP(DZ4,'IN RPS-2015'!$I$2:$J$5,1)),0,ROUND(IF(EP4=3,0,IF(EP4=2,MIN(ROUND(DZ4*$G$13%,0),IF(DX4&lt;$I$152,$G$14,$G$15))/2,MIN(ROUND(DZ4*$G$13%,0),IF(DX4&lt;$I$152,$G$14,$G$15))))*(DAY(DY4)-DAY(DX4)+1)/DAY(EOMONTH(DX4,0)),0))))</f>
        <v>0</v>
      </c>
      <c r="EF4" s="461">
        <f>IF(DX4="","",IF(Main!$C$26="UGC",0,IF(DZ4=VLOOKUP(DZ4,'IN RPS-2015'!$I$2:$J$5,1),0,ROUND(EA4*VLOOKUP(DX4,$DT$11:$DU$12,2)%,0))))</f>
        <v>0</v>
      </c>
      <c r="EG4" s="461">
        <f>IF(DX4="","",IF(Main!$C$26="UGC",0,IF(DX4&lt;DATE(2010,4,1),0,IF(OR(EP4=2,EP4=3,DZ4=VLOOKUP(DZ4,'IN RPS-2015'!$I$2:$J$5,1)),0,ROUND(IF(DX4&lt;$I$152,VLOOKUP(DX4,$B$1:$G$4,4),VLOOKUP(VLOOKUP(DX4,$B$1:$G$4,4),Main!$CE$2:$CF$5,2,FALSE))*(DAY(DY4)-DAY(DX4)+1)/DAY(EOMONTH(DX4,0)),0)))))</f>
        <v>0</v>
      </c>
      <c r="EH4" s="461">
        <f>IF(DX4="","",IF(OR(EP4=2,EP4=3,$D$31=$D$28,DZ4=VLOOKUP(DZ4,'IN RPS-2015'!$I$2:$J$5,1)),0,ROUND(MIN(IF(DX4&lt;$I$152,900,1350),ROUND(DZ4*VLOOKUP(DW4,$A$27:$C$29,3,TRUE)%,0))*IF(DW4=$A$36,$C$36,IF(DW4=$A$37,$C$37,IF(DW4=$A$38,$C$38,IF(DW4=$A$39,$C$39,IF(DW4=$A$40,$C$40,IF(DW4=$A$41,$C$41,1))))))*(DAY(DY4)-DAY(DX4)+1)/DAY(EOMONTH(DX4,0)),0)))</f>
        <v>0</v>
      </c>
      <c r="EI4" s="461">
        <f>IF(DX4="","",IF(Main!$C$26="UGC",0,IF(OR(EP4=3,DZ4=VLOOKUP(DZ4,'IN RPS-2015'!$I$2:$J$5,1)),0,ROUND(IF(EP4=2,VLOOKUP(DZ4,IF($DU$3=$I$29,$A$20:$E$23,$F$144:$J$147),IF($B$19=VLOOKUP(DX4,$B$2:$G$4,3,TRUE),2,IF($C$19=VLOOKUP(DX4,$B$2:$G$4,3,TRUE),3,IF($D$19=VLOOKUP(DX4,$B$2:$G$4,3,TRUE),4,5))),TRUE),VLOOKUP(DZ4,IF($DU$3=$I$29,$A$20:$E$23,$F$144:$J$147),IF($B$19=VLOOKUP(DX4,$B$2:$G$4,3,TRUE),2,IF($C$19=VLOOKUP(DX4,$B$2:$G$4,3,TRUE),3,IF($D$19=VLOOKUP(DX4,$B$2:$G$4,3,TRUE),4,5))),TRUE))*(DAY(DY4)-DAY(DX4)+1)/DAY(EOMONTH(DX4,0)),0))))</f>
        <v>500</v>
      </c>
      <c r="EJ4" s="461">
        <f>IF(DX4="","",IF(Main!$C$26="UGC",0,IF(OR(DW4&lt;DATE(2010,4,1),EP4=3,DZ4=VLOOKUP(DZ4,'IN RPS-2015'!$I$2:$J$5,1)),0,ROUND(IF(EP4=2,IF(DX4&lt;$I$152,Main!$L$9,Main!$CI$3)/2,IF(DX4&lt;$I$152,Main!$L$9,Main!$CI$3))*(DAY(DY4)-DAY(DX4)+1)/DAY(EOMONTH(DX4,0)),0))))</f>
        <v>0</v>
      </c>
      <c r="EK4" s="461"/>
      <c r="EL4" s="461">
        <f>IF(DX4="","",IF(Main!$C$26="UGC",0,IF(OR(EP4=3,DZ4=VLOOKUP(DZ4,'IN RPS-2015'!$I$2:$J$5,1)),0,ROUND(IF(EP4=2,VLOOKUP(EA4,IF(DX4&lt;$I$152,$A$154:$E$159,$F$154:$J$159),IF($B$10=VLOOKUP(DW4,$B$2:$G$4,6,TRUE),2,IF($B$10=VLOOKUP(DW4,$B$2:$G$4,6,TRUE),3,IF($D$10=VLOOKUP(DW4,$B$2:$G$4,6,TRUE),4,5))))/2,VLOOKUP(EA4,IF(DX4&lt;$I$152,$A$154:$E$159,$F$154:$J$159),IF($B$10=VLOOKUP(DW4,$B$2:$G$4,6,TRUE),2,IF($B$10=VLOOKUP(DW4,$B$2:$G$4,6,TRUE),3,IF($D$10=VLOOKUP(DW4,$B$2:$G$4,6,TRUE),4,5)))))*(DAY(DY4)-DAY(DX4)+1)/DAY(EOMONTH(DX4,0)),0))))</f>
        <v>0</v>
      </c>
      <c r="EM4" s="461">
        <f t="shared" ref="EM4:EM50" si="79">SUM(EA4:EL4)</f>
        <v>70151</v>
      </c>
      <c r="EN4" s="464">
        <f>IF(DX4="","",IF(AND(Main!$F$22=Main!$CA$24,DX4&gt;$EN$1),ROUND(SUM(EA4,EC4)*10%,0),""))</f>
        <v>5876</v>
      </c>
      <c r="EO4" s="464">
        <f>IF(DW4="","",IF(EA4=0,0,IF(OR(Main!$H$10=Main!$BH$4,Main!$H$10=Main!$BH$5),0,LOOKUP(EM4*DAY(EOMONTH(DX4,0))/(DAY(DY4)-DAY(DX4)+1),$H$184:$I$189))))</f>
        <v>0</v>
      </c>
      <c r="EP4" s="457">
        <f t="shared" si="62"/>
        <v>1</v>
      </c>
      <c r="ER4" s="744">
        <f>$A$48</f>
        <v>41821</v>
      </c>
      <c r="ES4" s="498">
        <f>IF($ES$3=$I$29,$J$9,$I$9)</f>
        <v>77.896000000000001</v>
      </c>
      <c r="ET4" s="461"/>
      <c r="EU4" s="499">
        <f t="shared" si="63"/>
        <v>42125</v>
      </c>
      <c r="EV4" s="500">
        <f>IF(EV3="","",IF($DY$1&lt;=EW3,"",EW3+1))</f>
        <v>42125</v>
      </c>
      <c r="EW4" s="484">
        <f>IF(EV4="","",MIN(EOMONTH(EV4,0),VLOOKUP(EV4,'IN RPS-2015'!$O$164:$P$202,2,TRUE)-1,LOOKUP(EV4,$E$47:$F$53)-1,IF(EV4&lt;$B$2,$B$2-1,'IN RPS-2015'!$Q$9),IF(EV4&lt;$B$3,$B$3-1,'IN RPS-2015'!$Q$9),IF(EV4&lt;$B$4,$B$4-1,'IN RPS-2015'!$Q$9),LOOKUP(EV4,$H$47:$I$53)))</f>
        <v>42155</v>
      </c>
      <c r="EX4" s="490">
        <f>IF(EV4="","",VLOOKUP(EV4,'IN RPS-2015'!$P$164:$AA$202,12))</f>
        <v>25600</v>
      </c>
      <c r="EY4" s="461">
        <f t="shared" ref="EY4:EY50" si="80">IF(EV4="","",ROUND(IF(FN4=3,0,IF(FN4=2,EX4/2,EX4))*(DAY(EW4)-DAY(EV4)+1)/DAY(EOMONTH(EV4,0)),0))</f>
        <v>25600</v>
      </c>
      <c r="EZ4" s="461">
        <f>IF(EV4="","",ROUND(IF(FN4=3,0,IF(FN4=2,IF(EX4=VLOOKUP(EX4,'IN RPS-2015'!$I$2:$J$5,1),0,Main!$H$9)/2,IF(EX4=VLOOKUP(EX4,'IN RPS-2015'!$I$2:$J$5,1),0,Main!$H$9)))*(DAY(EW4)-DAY(EV4)+1)/DAY(EOMONTH(EV4,0)),0))</f>
        <v>105</v>
      </c>
      <c r="FA4" s="461">
        <f>IF(EV4="","",IF(EX4=VLOOKUP(EX4,'IN RPS-2015'!$I$2:$J$5,1),0,ROUND(EY4*VLOOKUP(EV4,$ER$4:$ES$7,2)%,0)))</f>
        <v>19941</v>
      </c>
      <c r="FB4" s="461">
        <f>IF(EV4="","",IF(OR(FN4=3,EX4=VLOOKUP(EX4,'IN RPS-2015'!$I$2:$J$5,1)),0,ROUND(MIN(ROUND(EX4*VLOOKUP(EV4,$B$1:$G$4,2)%,0),VLOOKUP(EV4,$B$2:$I$4,IF($ES$3=$I$29,7,8),TRUE))*(DAY(EW4)-DAY(EV4)+1)/DAY(EOMONTH(EV4,0)),0)))</f>
        <v>5120</v>
      </c>
      <c r="FC4" s="491">
        <f>IF(EV4="","",IF(Main!$C$26="UGC",0,IF(OR(EV4&lt;DATE(2010,4,1),$I$6=VLOOKUP(EV4,$B$2:$G$4,5,TRUE),EX4=VLOOKUP(EX4,'IN RPS-2015'!$I$2:$J$5,1)),0,ROUND(IF(FN4=3,0,IF(FN4=2,MIN(ROUND(EX4*$G$13%,0),IF(EV4&lt;$J$152,$G$14,$G$15))/2,MIN(ROUND(EX4*$G$13%,0),IF(EV4&lt;$J$152,$G$14,$G$15))))*(DAY(EW4)-DAY(EV4)+1)/DAY(EOMONTH(EV4,0)),0))))</f>
        <v>0</v>
      </c>
      <c r="FD4" s="461">
        <f>IF(EV4="","",IF(Main!$C$26="UGC",0,IF(EX4=VLOOKUP(EX4,'IN RPS-2015'!$I$2:$J$5,1),0,ROUND(EY4*VLOOKUP(EV4,$ER$11:$ES$12,2)%,0))))</f>
        <v>6912</v>
      </c>
      <c r="FE4" s="461">
        <f>IF(EV4="","",IF(Main!$C$26="UGC",0,IF(EV4&lt;DATE(2010,4,1),0,IF(OR(FN4=2,FN4=3,EX4=VLOOKUP(EX4,'IN RPS-2015'!$I$2:$J$5,1)),0,ROUND(IF(EV4&lt;$J$152,VLOOKUP(EV4,$B$1:$G$4,4),VLOOKUP(VLOOKUP(EV4,$B$1:$G$4,4),Main!$CE$2:$CF$5,2,FALSE))*(DAY(EW4)-DAY(EV4)+1)/DAY(EOMONTH(EV4,0)),0)))))</f>
        <v>0</v>
      </c>
      <c r="FF4" s="461">
        <f>IF(EV4="","",IF(OR(FN4=2,FN4=3,$D$31=$D$28,EX4=VLOOKUP(EX4,'IN RPS-2015'!$I$2:$J$5,1)),0,ROUND(MIN(VLOOKUP(EU4,$A$27:$C$29,2,TRUE),ROUND(EX4*VLOOKUP(EU4,$A$27:$C$29,3,TRUE)%,0))*IF(EU4=$A$36,$C$36,IF(EU4=$A$37,$C$37,IF(EU4=$A$38,$C$38,IF(EU4=$A$39,$C$39,IF(EU4=$A$40,$C$40,IF(EU4=$A$41,$C$41,1))))))*(DAY(EW4)-DAY(EV4)+1)/DAY(EOMONTH(EV4,0)),0)))</f>
        <v>0</v>
      </c>
      <c r="FG4" s="461">
        <f>IF(EV4="","",IF(Main!$C$26="UGC",0,IF(OR(FN4=3,EX4=VLOOKUP(EX4,'IN RPS-2015'!$I$2:$J$5,1)),0,ROUND(IF(FN4=2,VLOOKUP(EX4,IF($ES$3=$I$29,$A$20:$E$23,$F$144:$J$147),IF($B$19=VLOOKUP(EV4,$B$2:$G$4,3,TRUE),2,IF($C$19=VLOOKUP(EV4,$B$2:$G$4,3,TRUE),3,IF($D$19=VLOOKUP(EV4,$B$2:$G$4,3,TRUE),4,5))),TRUE),VLOOKUP(EX4,IF($ES$3=$I$29,$A$20:$E$23,$F$144:$J$147),IF($B$19=VLOOKUP(EV4,$B$2:$G$4,3,TRUE),2,IF($C$19=VLOOKUP(EV4,$B$2:$G$4,3,TRUE),3,IF($D$19=VLOOKUP(EV4,$B$2:$G$4,3,TRUE),4,5))),TRUE))*(DAY(EW4)-DAY(EV4)+1)/DAY(EOMONTH(EV4,0)),0))))</f>
        <v>140</v>
      </c>
      <c r="FH4" s="461">
        <f>IF(EV4="","",IF(Main!$C$26="UGC",0,IF(OR(EU4&lt;DATE(2010,4,1),FN4=3,EX4=VLOOKUP(EX4,'IN RPS-2015'!$I$2:$J$5,1)),0,ROUND(IF(FN4=2,IF(EV4&lt;$J$152,Main!$L$9,Main!$CI$3)/2,IF(EV4&lt;$J$152,Main!$L$9,Main!$CI$3))*(DAY(EW4)-DAY(EV4)+1)/DAY(EOMONTH(EV4,0)),0))))</f>
        <v>0</v>
      </c>
      <c r="FI4" s="461"/>
      <c r="FJ4" s="461">
        <f>IF(EV4="","",IF(Main!$C$26="UGC",0,IF(OR(FN4=3,EX4=VLOOKUP(EX4,'IN RPS-2015'!$I$2:$J$5,1)),0,ROUND(IF(FN4=2,VLOOKUP(EY4,IF(EV4&lt;$J$152,$A$154:$E$159,$F$154:$J$159),IF($B$10=VLOOKUP(EU4,$B$2:$G$4,6,TRUE),2,IF($B$10=VLOOKUP(EU4,$B$2:$G$4,6,TRUE),3,IF($D$10=VLOOKUP(EU4,$B$2:$G$4,6,TRUE),4,5))))/2,VLOOKUP(EY4,IF(EV4&lt;$J$152,$A$154:$E$159,$F$154:$J$159),IF($B$10=VLOOKUP(EU4,$B$2:$G$4,6,TRUE),2,IF($B$10=VLOOKUP(EU4,$B$2:$G$4,6,TRUE),3,IF($D$10=VLOOKUP(EU4,$B$2:$G$4,6,TRUE),4,5)))))*(DAY(EW4)-DAY(EV4)+1)/DAY(EOMONTH(EV4,0)),0))))</f>
        <v>0</v>
      </c>
      <c r="FK4" s="461">
        <f t="shared" ref="FK4:FK50" si="81">SUM(EY4:FJ4)</f>
        <v>57818</v>
      </c>
      <c r="FL4" s="464">
        <f>IF(EV4="","",IF(AND(Main!$F$22=Main!$CA$24,EV4&gt;$FL$1),ROUND(SUM(EY4,FA4)*10%,0),""))</f>
        <v>4554</v>
      </c>
      <c r="FM4" s="464">
        <f>IF(EU4="","",IF(EY4=0,0,IF(OR(Main!$H$10=Main!$BH$4,Main!$H$10=Main!$BH$5),0,LOOKUP(FK4*DAY(EOMONTH(EV4,0))/(DAY(EW4)-DAY(EV4)+1),$H$184:$I$189))))</f>
        <v>0</v>
      </c>
      <c r="FN4" s="457">
        <f t="shared" si="64"/>
        <v>1</v>
      </c>
    </row>
    <row r="5" spans="1:170">
      <c r="A5" s="100"/>
      <c r="B5" s="504"/>
      <c r="C5" s="61"/>
      <c r="D5" s="61"/>
      <c r="E5" s="61"/>
      <c r="F5" s="61"/>
      <c r="G5" s="61"/>
      <c r="H5" s="469"/>
      <c r="I5" s="38" t="s">
        <v>1353</v>
      </c>
      <c r="K5" s="494">
        <f t="shared" si="65"/>
        <v>42125</v>
      </c>
      <c r="L5" s="495">
        <f t="shared" ref="L5:L27" si="82">IF(L4="","",IF($M$1&lt;=M4,"",M4+1))</f>
        <v>42125</v>
      </c>
      <c r="M5" s="484">
        <f>IF(L5="","",MIN(EOMONTH(L5,0),VLOOKUP(L5,'IN RPS-2015'!$O$164:$P$202,2,TRUE)-1,LOOKUP(L5,$E$47:$F$53)-1,IF(L5&lt;$B$2,$B$2-1,'IN RPS-2015'!$Q$9),IF(L5&lt;$B$3,$B$3-1,'IN RPS-2015'!$Q$9),IF(L5&lt;$B$4,$B$4-1,'IN RPS-2015'!$Q$9),LOOKUP(L5,$H$47:$I$53)))</f>
        <v>42155</v>
      </c>
      <c r="N5" s="496">
        <f>IF(L5="","",VLOOKUP(L5,'Advance Tax'!$A$3:$C$14,3))</f>
        <v>25600</v>
      </c>
      <c r="O5" s="497">
        <f t="shared" si="52"/>
        <v>25600</v>
      </c>
      <c r="P5" s="497">
        <f>IF(L5="","",ROUND(IF(AD5=3,0,IF(AD5=2,IF(N5=VLOOKUP(N5,'IN RPS-2015'!$I$2:$J$5,1),0,Main!$H$9)/2,IF(N5=VLOOKUP(N5,'IN RPS-2015'!$I$2:$J$5,1),0,Main!$H$9)))*(DAY(M5)-DAY(L5)+1)/DAY(EOMONTH(L5,0)),0))</f>
        <v>105</v>
      </c>
      <c r="Q5" s="457">
        <f>IF(L5="","",IF(N5=VLOOKUP(N5,'IN RPS-2015'!$I$2:$J$5,1),0,ROUND(O5*IF(L5&lt;Main!$C$27,VLOOKUP(L5,$H$9:$J$12,3),VLOOKUP(L5,$H$9:$J$12,2))%,0)))</f>
        <v>19941</v>
      </c>
      <c r="R5" s="457">
        <f>IF(L5="","",IF(OR(AD5=3,N5=VLOOKUP(N5,'IN RPS-2015'!$I$2:$J$5,1)),0,ROUND(MIN(ROUND(N5*VLOOKUP(L5,$B$1:$G$4,2)%,0),VLOOKUP(L5,$B$2:$I$4,IF(L5&lt;$G$7,7,8),TRUE))*(DAY(M5)-DAY(L5)+1)/DAY(EOMONTH(L5,0)),0)))</f>
        <v>5120</v>
      </c>
      <c r="S5" s="486">
        <f>IF(L5="","",IF(Main!$C$26="UGC",0,IF(OR(L5&lt;DATE(2010,4,1),$I$6=VLOOKUP(L5,$B$2:$G$4,5,TRUE),N5=VLOOKUP(N5,'IN RPS-2015'!$I$2:$J$5,1)),0,ROUND(IF(AD5=3,0,IF(AD5=2,MIN(ROUND(N5*$G$13%,0),IF(L5&lt;$J$152,$G$14,$G$15))/2,MIN(ROUND(N5*$G$13%,0),IF(L5&lt;$J$152,$G$14,$G$15))))*(DAY(M5)-DAY(L5)+1)/DAY(EOMONTH(L5,0)),0))))</f>
        <v>0</v>
      </c>
      <c r="T5" s="457">
        <f>IF(L5="","",IF(Main!$C$26="UGC",0,IF(N5=VLOOKUP(N5,'IN RPS-2015'!$I$2:$J$5,1),0,ROUND(O5*VLOOKUP(L5,$H$205:$I$206,2)%,0))))</f>
        <v>6912</v>
      </c>
      <c r="U5" s="457">
        <f>IF(L5="","",IF(Main!$C$26="UGC",0,IF(L5&lt;DATE(2010,4,1),0,IF(OR(AD5=2,AD5=3,N5=VLOOKUP(N5,'IN RPS-2015'!$I$2:$J$5,1)),0,ROUND(IF(L5&lt;$J$152,VLOOKUP(L5,$B$1:$G$4,4),VLOOKUP(VLOOKUP(L5,$B$1:$G$4,4),Main!$CE$2:$CF$5,2,FALSE))*(DAY(M5)-DAY(L5)+1)/DAY(EOMONTH(L5,0)),0)))))</f>
        <v>0</v>
      </c>
      <c r="V5" s="457">
        <f>IF(L5="","",IF(OR(AD5=2,AD5=3,$D$31=$D$28,N5=VLOOKUP(N5,'IN RPS-2015'!$I$2:$J$5,1)),0,ROUND(MIN(VLOOKUP(K5,$A$27:$C$29,2,TRUE),ROUND(N5*VLOOKUP(K5,$A$27:$C$29,3,TRUE)%,0))*IF(K5=$A$36,$C$36,IF(K5=$A$37,$C$37,IF(K5=$A$38,$C$38,IF(K5=$A$39,$C$39,IF(K5=$A$40,$C$40,IF(K5=$A$41,$C$41,1))))))*(DAY(M5)-DAY(L5)+1)/DAY(EOMONTH(L5,0)),0)))</f>
        <v>0</v>
      </c>
      <c r="W5" s="457">
        <f>IF(L5="","",IF(Main!$C$26="UGC",0,IF(OR(AD5=3,N5=VLOOKUP(N5,'IN RPS-2015'!$I$2:$J$5,1)),0,ROUND(IF(AD5=2,VLOOKUP(N5,IF(L5&lt;$G$7,$A$20:$E$23,$F$144:$J$147),IF($B$19=VLOOKUP(L5,$B$2:$G$4,3,TRUE),2,IF($C$19=VLOOKUP(L5,$B$2:$G$4,3,TRUE),3,IF($D$19=VLOOKUP(L5,$B$2:$G$4,3,TRUE),4,5))),TRUE),VLOOKUP(N5,IF(L5&lt;$G$7,$A$20:$E$23,$F$144:$J$147),IF($B$19=VLOOKUP(L5,$B$2:$G$4,3,TRUE),2,IF($C$19=VLOOKUP(L5,$B$2:$G$4,3,TRUE),3,IF($D$19=VLOOKUP(L5,$B$2:$G$4,3,TRUE),4,5))),TRUE))*(DAY(M5)-DAY(L5)+1)/DAY(EOMONTH(L5,0)),0))))</f>
        <v>140</v>
      </c>
      <c r="X5" s="457">
        <f>IF(L5="","",IF(Main!$C$26="UGC",0,IF(OR(K5&lt;DATE(2010,4,1),AD5=3,N5=VLOOKUP(N5,'IN RPS-2015'!$I$2:$J$5,1)),0,ROUND(IF(AD5=2,IF(L5&lt;$J$152,Main!$L$9,Main!$CI$3)/2,IF(L5&lt;$J$152,Main!$L$9,Main!$CI$3))*(DAY(M5)-DAY(L5)+1)/DAY(EOMONTH(L5,0)),0))))</f>
        <v>0</v>
      </c>
      <c r="Y5" s="497"/>
      <c r="Z5" s="457">
        <f>IF(L5="","",IF(Main!$C$26="UGC",0,IF(OR(AD5=3,N5=VLOOKUP(N5,'IN RPS-2015'!$I$2:$J$5,1)),0,ROUND(IF(AD5=2,VLOOKUP(O5,IF(L5&lt;$J$152,$A$154:$E$159,$F$154:$J$159),IF($B$10=VLOOKUP(K5,$B$2:$G$4,6,TRUE),2,IF($B$10=VLOOKUP(K5,$B$2:$G$4,6,TRUE),3,IF($D$10=VLOOKUP(K5,$B$2:$G$4,6,TRUE),4,5))))/2,VLOOKUP(O5,IF(L5&lt;$J$152,$A$154:$E$159,$F$154:$J$159),IF($B$10=VLOOKUP(K5,$B$2:$G$4,6,TRUE),2,IF($B$10=VLOOKUP(K5,$B$2:$G$4,6,TRUE),3,IF($D$10=VLOOKUP(K5,$B$2:$G$4,6,TRUE),4,5)))))*(DAY(M5)-DAY(L5)+1)/DAY(EOMONTH(L5,0)),0))))</f>
        <v>0</v>
      </c>
      <c r="AA5" s="497">
        <f t="shared" ref="AA5:AA30" si="83">SUM(O5:Z5)</f>
        <v>57818</v>
      </c>
      <c r="AB5" s="497"/>
      <c r="AC5" s="497"/>
      <c r="AD5" s="497">
        <f t="shared" si="53"/>
        <v>1</v>
      </c>
      <c r="AE5" s="497"/>
      <c r="AF5" s="750">
        <f>IF($H$10&lt;AK1,$A$49,$H$10)</f>
        <v>42461</v>
      </c>
      <c r="AG5" s="498">
        <f>IF($AG$3=$I$29,$J$10,$I$10)</f>
        <v>12.052</v>
      </c>
      <c r="AH5" s="461"/>
      <c r="AI5" s="499" t="str">
        <f t="shared" si="54"/>
        <v/>
      </c>
      <c r="AJ5" s="500" t="str">
        <f t="shared" ref="AJ5:AJ50" si="84">IF(AJ4="","",IF($AK$1&lt;=AK4,"",AK4+1))</f>
        <v/>
      </c>
      <c r="AK5" s="484" t="str">
        <f>IF(AJ5="","",MIN(EOMONTH(AJ5,0),VLOOKUP(AJ5,'IN RPS-2015'!$O$164:$P$202,2,TRUE)-1,LOOKUP(AJ5,$E$47:$F$53)-1,IF(AJ5&lt;$B$2,$B$2-1,'IN RPS-2015'!$Q$9),IF(AJ5&lt;$B$3,$B$3-1,'IN RPS-2015'!$Q$9),IF(AJ5&lt;$B$4,$B$4-1,'IN RPS-2015'!$Q$9),LOOKUP(AJ5,$H$47:$I$53)))</f>
        <v/>
      </c>
      <c r="AL5" s="490" t="str">
        <f>IF(AJ5="","",VLOOKUP(AJ5,'IN RPS-2015'!$P$164:$AA$202,9))</f>
        <v/>
      </c>
      <c r="AM5" s="461" t="str">
        <f t="shared" si="66"/>
        <v/>
      </c>
      <c r="AN5" s="461" t="str">
        <f>IF(AJ5="","",IF(AND($AG$3=$AG$1,AJ5&lt;=$AZ$1),0,ROUND(IF(BB5=3,0,IF(BB5=2,IF(AL5=VLOOKUP(AL5,'IN RPS-2015'!$I$2:$J$5,1),0,Main!$H$9)/2,IF(AL5=VLOOKUP(AL5,'IN RPS-2015'!$I$2:$J$5,1),0,Main!$H$9)))*(DAY(AK5)-DAY(AJ5)+1)/DAY(EOMONTH(AJ5,0)),0)))</f>
        <v/>
      </c>
      <c r="AO5" s="461" t="str">
        <f>IF(AJ5="","",IF(AND($AG$3=$AG$1,AJ5&lt;=$AZ$1),0,IF(AL5=VLOOKUP(AL5,'IN RPS-2015'!$I$2:$J$5,1),0,ROUND(AM5*VLOOKUP(AJ5,$AF$4:$AG$7,2)%,0))))</f>
        <v/>
      </c>
      <c r="AP5" s="461" t="str">
        <f>IF(AJ5="","",IF(AND($AG$3=$AG$1,AJ5&lt;=$AZ$1),0,IF(OR(BB5=3,AL5=VLOOKUP(AL5,'IN RPS-2015'!$I$2:$J$5,1)),0,ROUND(MIN(ROUND(AL5*VLOOKUP(AJ5,$B$1:$G$4,2)%,0),VLOOKUP(AJ5,$B$2:$I$4,IF($AG$3=$I$29,7,8),TRUE))*(DAY(AK5)-DAY(AJ5)+1)/DAY(EOMONTH(AJ5,0)),0))))</f>
        <v/>
      </c>
      <c r="AQ5" s="491" t="str">
        <f>IF(AJ5="","",IF(AND($AG$3=$AG$1,AJ5&lt;=$AZ$1),0,IF(Main!$C$26="UGC",0,IF(OR(AJ5&lt;DATE(2010,4,1),$I$6=VLOOKUP(AJ5,$B$2:$G$4,5,TRUE),AL5=VLOOKUP(AL5,'IN RPS-2015'!$I$2:$J$5,1)),0,ROUND(IF(BB5=3,0,IF(BB5=2,MIN(ROUND(AL5*$G$13%,0),IF(AJ5&lt;$J$152,$G$14,$G$15))/2,MIN(ROUND(AL5*$G$13%,0),IF(AJ5&lt;$J$152,$G$14,$G$15))))*(DAY(AK5)-DAY(AJ5)+1)/DAY(EOMONTH(AJ5,0)),0)))))</f>
        <v/>
      </c>
      <c r="AR5" s="461" t="str">
        <f>IF(AJ5="","",IF(AND($AG$3=$AG$1,AJ5&lt;=$AZ$1),0,IF(Main!$C$26="UGC",0,IF(AL5=VLOOKUP(AL5,'IN RPS-2015'!$I$2:$J$5,1),0,ROUND(AM5*VLOOKUP(AJ5,$AF$11:$AG$12,2)%,0)))))</f>
        <v/>
      </c>
      <c r="AS5" s="461" t="str">
        <f>IF(AJ5="","",IF(AND($AG$3=$AG$1,AJ5&lt;=$AZ$1),0,IF(Main!$C$26="UGC",0,IF(AJ5&lt;DATE(2010,4,1),0,IF(OR(BB5=2,BB5=3,AL5=VLOOKUP(AL5,'IN RPS-2015'!$I$2:$J$5,1)),0,ROUND(IF(AJ5&lt;$J$152,VLOOKUP(AJ5,$B$1:$G$4,4),VLOOKUP(VLOOKUP(AJ5,$B$1:$G$4,4),Main!$CE$2:$CF$5,2,FALSE))*(DAY(AK5)-DAY(AJ5)+1)/DAY(EOMONTH(AJ5,0)),0))))))</f>
        <v/>
      </c>
      <c r="AT5" s="461" t="str">
        <f>IF(AJ5="","",IF(AND($AG$3=$AG$1,AJ5&lt;=$AZ$1),0,IF(OR(BB5=2,BB5=3,$D$31=$D$28,AL5=VLOOKUP(AL5,'IN RPS-2015'!$I$2:$J$5,1)),0,ROUND(MIN(VLOOKUP(AI5,$A$27:$C$29,2,TRUE),ROUND(AL5*VLOOKUP(AI5,$A$27:$C$29,3,TRUE)%,0))*IF(AI5=$A$36,$C$36,IF(AI5=$A$37,$C$37,IF(AI5=$A$38,$C$38,IF(AI5=$A$39,$C$39,IF(AI5=$A$40,$C$40,IF(AI5=$A$41,$C$41,1))))))*(DAY(AK5)-DAY(AJ5)+1)/DAY(EOMONTH(AJ5,0)),0))))</f>
        <v/>
      </c>
      <c r="AU5" s="461" t="str">
        <f>IF(AJ5="","",IF(AND($AG$3=$AG$1,AJ5&lt;=$AZ$1),0,IF(Main!$C$26="UGC",0,IF(OR(BB5=3,AL5=VLOOKUP(AL5,'IN RPS-2015'!$I$2:$J$5,1)),0,ROUND(IF(BB5=2,VLOOKUP(AL5,IF($AG$3=$I$29,$A$20:$E$23,$F$144:$J$147),IF($B$19=VLOOKUP(AJ5,$B$2:$G$4,3,TRUE),2,IF($C$19=VLOOKUP(AJ5,$B$2:$G$4,3,TRUE),3,IF($D$19=VLOOKUP(AJ5,$B$2:$G$4,3,TRUE),4,5))),TRUE),VLOOKUP(AL5,IF($AG$3=$I$29,$A$20:$E$23,$F$144:$J$147),IF($B$19=VLOOKUP(AJ5,$B$2:$G$4,3,TRUE),2,IF($C$19=VLOOKUP(AJ5,$B$2:$G$4,3,TRUE),3,IF($D$19=VLOOKUP(AJ5,$B$2:$G$4,3,TRUE),4,5))),TRUE))*(DAY(AK5)-DAY(AJ5)+1)/DAY(EOMONTH(AJ5,0)),0)))))</f>
        <v/>
      </c>
      <c r="AV5" s="461" t="str">
        <f>IF(AJ5="","",IF(AND($AG$3=$AG$1,AJ5&lt;=$AZ$1),0,IF(Main!$C$26="UGC",0,IF(OR(AI5&lt;DATE(2010,4,1),BB5=3,AL5=VLOOKUP(AL5,'IN RPS-2015'!$I$2:$J$5,1)),0,ROUND(IF(BB5=2,IF(AJ5&lt;$J$152,Main!$L$9,Main!$CI$3)/2,IF(AJ5&lt;$J$152,Main!$L$9,Main!$CI$3))*(DAY(AK5)-DAY(AJ5)+1)/DAY(EOMONTH(AJ5,0)),0)))))</f>
        <v/>
      </c>
      <c r="AW5" s="461"/>
      <c r="AX5" s="461" t="str">
        <f>IF(AJ5="","",IF(AND($AG$3=$AG$1,AJ5&lt;=$AZ$1),0,IF(Main!$C$26="UGC",0,IF(OR(BB5=3,AL5=VLOOKUP(AL5,'IN RPS-2015'!$I$2:$J$5,1)),0,ROUND(IF(BB5=2,VLOOKUP(AM5,IF(AJ5&lt;$J$152,$A$154:$E$159,$F$154:$J$159),IF($B$10=VLOOKUP(AI5,$B$2:$G$4,6,TRUE),2,IF($B$10=VLOOKUP(AI5,$B$2:$G$4,6,TRUE),3,IF($D$10=VLOOKUP(AI5,$B$2:$G$4,6,TRUE),4,5))))/2,VLOOKUP(AM5,IF(AJ5&lt;$J$152,$A$154:$E$159,$F$154:$J$159),IF($B$10=VLOOKUP(AI5,$B$2:$G$4,6,TRUE),2,IF($B$10=VLOOKUP(AI5,$B$2:$G$4,6,TRUE),3,IF($D$10=VLOOKUP(AI5,$B$2:$G$4,6,TRUE),4,5)))))*(DAY(AK5)-DAY(AJ5)+1)/DAY(EOMONTH(AJ5,0)),0)))))</f>
        <v/>
      </c>
      <c r="AY5" s="461">
        <f t="shared" si="67"/>
        <v>0</v>
      </c>
      <c r="AZ5" s="464" t="str">
        <f>IF(AJ5="","",IF(AND($AG$3=$AG$1,AJ5&lt;=$AZ$1),0,IF(AND(Main!$F$22=Main!$CA$24,AJ5&gt;$AZ$1),ROUND(SUM(AM5,AO5)*10%,0),"")))</f>
        <v/>
      </c>
      <c r="BA5" s="464" t="str">
        <f>IF(AI5="","",IF(AND($AG$3=$AG$1,AJ5&lt;=$AZ$1),0,IF(OR(Main!$H$10=Main!$BH$4,Main!$H$10=Main!$BH$5),0,LOOKUP(AY5*DAY(EOMONTH(AJ5,0))/(DAY(AK5)-DAY(AJ5)+1),$H$184:$I$189))))</f>
        <v/>
      </c>
      <c r="BB5" s="497">
        <f t="shared" si="55"/>
        <v>1</v>
      </c>
      <c r="BC5" s="464"/>
      <c r="BD5" s="501" t="str">
        <f t="shared" si="56"/>
        <v/>
      </c>
      <c r="BE5" s="502" t="str">
        <f t="shared" ref="BE5:BE50" si="85">IF(BE4="","",IF($BF$1&lt;=BF4,"",BF4+1))</f>
        <v/>
      </c>
      <c r="BF5" s="484" t="str">
        <f>IF(BE5="","",MIN(EOMONTH(BE5,0),VLOOKUP(BE5,'IN RPS-2015'!$O$164:$P$202,2,TRUE)-1,LOOKUP(BE5,$E$47:$F$53)-1,IF(BE5&lt;$B$2,$B$2-1,'IN RPS-2015'!$Q$9),IF(BE5&lt;$B$3,$B$3-1,'IN RPS-2015'!$Q$9),IF(BE5&lt;$B$4,$B$4-1,'IN RPS-2015'!$Q$9),LOOKUP(BE5,$H$47:$I$53)))</f>
        <v/>
      </c>
      <c r="BG5" s="493" t="str">
        <f>IF(BE5="","",VLOOKUP(BE5,'IN RPS-2015'!$P$164:$AA$202,10))</f>
        <v/>
      </c>
      <c r="BH5" s="461" t="str">
        <f t="shared" si="68"/>
        <v/>
      </c>
      <c r="BI5" s="461" t="str">
        <f>IF(BE5="","",IF(AND($AG$3=$AG$1,BE5&lt;=$AZ$1),0,ROUND(IF(BW5=3,0,IF(BW5=2,IF(BG5=VLOOKUP(BG5,'IN RPS-2015'!$I$2:$J$5,1),0,Main!$H$9)/2,IF(BG5=VLOOKUP(BG5,'IN RPS-2015'!$I$2:$J$5,1),0,Main!$H$9)))*(DAY(BF5)-DAY(BE5)+1)/DAY(EOMONTH(BE5,0)),0)))</f>
        <v/>
      </c>
      <c r="BJ5" s="461" t="str">
        <f>IF(BE5="","",IF(AND($AG$3=$AG$1,BE5&lt;=$AZ$1),0,IF(BG5=VLOOKUP(BG5,'IN RPS-2015'!$I$2:$J$5,1),0,ROUND(BH5*VLOOKUP(BE5,$AF$4:$AG$7,2)%,0))))</f>
        <v/>
      </c>
      <c r="BK5" s="461" t="str">
        <f>IF(BE5="","",IF(AND($AG$3=$AG$1,BE5&lt;=$AZ$1),0,IF(OR(BW5=3,BG5=VLOOKUP(BG5,'IN RPS-2015'!$I$2:$J$5,1)),0,ROUND(MIN(ROUND(BG5*VLOOKUP(BE5,$B$1:$G$4,2)%,0),VLOOKUP(BE5,$B$2:$I$4,IF($AG$3=$I$29,7,8),TRUE))*(DAY(BF5)-DAY(BE5)+1)/DAY(EOMONTH(BE5,0)),0))))</f>
        <v/>
      </c>
      <c r="BL5" s="491" t="str">
        <f>IF(BE5="","",IF(AND($AG$3=$AG$1,BE5&lt;=$AZ$1),0,IF(Main!$C$26="UGC",0,IF(OR(BE5&lt;DATE(2010,4,1),$I$6=VLOOKUP(BE5,$B$2:$G$4,5,TRUE),BG5=VLOOKUP(BG5,'IN RPS-2015'!$I$2:$J$5,1)),0,ROUND(IF(BW5=3,0,IF(BW5=2,MIN(ROUND(BG5*$G$13%,0),IF(BE5&lt;$J$152,$G$14,$G$15))/2,MIN(ROUND(BG5*$G$13%,0),IF(BE5&lt;$J$152,$G$14,$G$15))))*(DAY(BF5)-DAY(BE5)+1)/DAY(EOMONTH(BE5,0)),0)))))</f>
        <v/>
      </c>
      <c r="BM5" s="461" t="str">
        <f>IF(BE5="","",IF(AND($AG$3=$AG$1,BE5&lt;=$AZ$1),0,IF(Main!$C$26="UGC",0,IF(BG5=VLOOKUP(BG5,'IN RPS-2015'!$I$2:$J$5,1),0,ROUND(BH5*VLOOKUP(BE5,$AF$11:$AG$12,2)%,0)))))</f>
        <v/>
      </c>
      <c r="BN5" s="461" t="str">
        <f>IF(BE5="","",IF(AND($AG$3=$AG$1,BE5&lt;=$AZ$1),0,IF(Main!$C$26="UGC",0,IF(BE5&lt;DATE(2010,4,1),0,IF(OR(BW5=2,BW5=3,BG5=VLOOKUP(BG5,'IN RPS-2015'!$I$2:$J$5,1)),0,ROUND(IF(BE5&lt;$J$152,VLOOKUP(BE5,$B$1:$G$4,4),VLOOKUP(VLOOKUP(BE5,$B$1:$G$4,4),Main!$CE$2:$CF$5,2,FALSE))*(DAY(BF5)-DAY(BE5)+1)/DAY(EOMONTH(BE5,0)),0))))))</f>
        <v/>
      </c>
      <c r="BO5" s="461" t="str">
        <f>IF(BE5="","",IF(AND($AG$3=$AG$1,BE5&lt;=$AZ$1),0,IF(OR(BW5=2,BW5=3,$D$31=$D$28,BG5=VLOOKUP(BG5,'IN RPS-2015'!$I$2:$J$5,1)),0,ROUND(MIN(VLOOKUP(BD5,$A$27:$C$29,2,TRUE),ROUND(BG5*VLOOKUP(BD5,$A$27:$C$29,3,TRUE)%,0))*IF(BD5=$A$36,$C$36,IF(BD5=$A$37,$C$37,IF(BD5=$A$38,$C$38,IF(BD5=$A$39,$C$39,IF(BD5=$A$40,$C$40,IF(BD5=$A$41,$C$41,1))))))*(DAY(BF5)-DAY(BE5)+1)/DAY(EOMONTH(BE5,0)),0))))</f>
        <v/>
      </c>
      <c r="BP5" s="461" t="str">
        <f>IF(BE5="","",IF(AND($AG$3=$AG$1,BE5&lt;=$AZ$1),0,IF(Main!$C$26="UGC",0,IF(OR(BW5=3,BG5=VLOOKUP(BG5,'IN RPS-2015'!$I$2:$J$5,1)),0,ROUND(IF(BW5=2,VLOOKUP(BG5,IF($AG$3=$I$29,$A$20:$E$23,$F$144:$J$147),IF($B$19=VLOOKUP(BE5,$B$2:$G$4,3,TRUE),2,IF($C$19=VLOOKUP(BE5,$B$2:$G$4,3,TRUE),3,IF($D$19=VLOOKUP(BE5,$B$2:$G$4,3,TRUE),4,5))),TRUE),VLOOKUP(BG5,IF($AG$3=$I$29,$A$20:$E$23,$F$144:$J$147),IF($B$19=VLOOKUP(BE5,$B$2:$G$4,3,TRUE),2,IF($C$19=VLOOKUP(BE5,$B$2:$G$4,3,TRUE),3,IF($D$19=VLOOKUP(BE5,$B$2:$G$4,3,TRUE),4,5))),TRUE))*(DAY(BF5)-DAY(BE5)+1)/DAY(EOMONTH(BE5,0)),0)))))</f>
        <v/>
      </c>
      <c r="BQ5" s="461" t="str">
        <f>IF(BE5="","",IF(AND($AG$3=$AG$1,BE5&lt;=$AZ$1),0,IF(Main!$C$26="UGC",0,IF(OR(BD5&lt;DATE(2010,4,1),BW5=3,BG5=VLOOKUP(BG5,'IN RPS-2015'!$I$2:$J$5,1)),0,ROUND(IF(BW5=2,IF(BE5&lt;$J$152,Main!$L$9,Main!$CI$3)/2,IF(BE5&lt;$J$152,Main!$L$9,Main!$CI$3))*(DAY(BF5)-DAY(BE5)+1)/DAY(EOMONTH(BE5,0)),0)))))</f>
        <v/>
      </c>
      <c r="BR5" s="461"/>
      <c r="BS5" s="461" t="str">
        <f>IF(BE5="","",IF(AND($AG$3=$AG$1,BE5&lt;=$AZ$1),0,IF(Main!$C$26="UGC",0,IF(OR(BW5=3,BG5=VLOOKUP(BG5,'IN RPS-2015'!$I$2:$J$5,1)),0,ROUND(IF(BW5=2,VLOOKUP(BH5,IF(BE5&lt;$J$152,$A$154:$E$159,$F$154:$J$159),IF($B$10=VLOOKUP(BD5,$B$2:$G$4,6,TRUE),2,IF($B$10=VLOOKUP(BD5,$B$2:$G$4,6,TRUE),3,IF($D$10=VLOOKUP(BD5,$B$2:$G$4,6,TRUE),4,5))))/2,VLOOKUP(BH5,IF(BE5&lt;$J$152,$A$154:$E$159,$F$154:$J$159),IF($B$10=VLOOKUP(BD5,$B$2:$G$4,6,TRUE),2,IF($B$10=VLOOKUP(BD5,$B$2:$G$4,6,TRUE),3,IF($D$10=VLOOKUP(BD5,$B$2:$G$4,6,TRUE),4,5)))))*(DAY(BF5)-DAY(BE5)+1)/DAY(EOMONTH(BE5,0)),0)))))</f>
        <v/>
      </c>
      <c r="BT5" s="461">
        <f t="shared" si="69"/>
        <v>0</v>
      </c>
      <c r="BU5" s="464" t="str">
        <f>IF(BE5="","",IF(AND($AG$3=$AG$1,BE5&lt;=$AZ$1),0,IF(AND(Main!$F$22=Main!$CA$24,BE5&gt;$AZ$1),ROUND(SUM(BH5,BJ5)*10%,0),"")))</f>
        <v/>
      </c>
      <c r="BV5" s="464" t="str">
        <f>IF(BD5="","",IF(AND($AG$3=$AG$1,BE5&lt;=$AZ$1),0,IF(OR(Main!$H$10=Main!$BH$4,Main!$H$10=Main!$BH$5),0,LOOKUP(BT5*DAY(EOMONTH(BE5,0))/(DAY(BF5)-DAY(BE5)+1),$H$184:$I$189))))</f>
        <v/>
      </c>
      <c r="BW5" s="503">
        <f t="shared" si="70"/>
        <v>1</v>
      </c>
      <c r="BX5" s="457">
        <f t="shared" si="71"/>
        <v>0</v>
      </c>
      <c r="BY5" s="497"/>
      <c r="BZ5" s="750">
        <f>IF($H$10&lt;CE1,$A$49,$H$10)</f>
        <v>42461</v>
      </c>
      <c r="CA5" s="498">
        <f>IF($CA$3=$I$29,$J$10,$I$10)</f>
        <v>12.052</v>
      </c>
      <c r="CB5" s="461"/>
      <c r="CC5" s="499" t="str">
        <f t="shared" si="57"/>
        <v/>
      </c>
      <c r="CD5" s="500" t="str">
        <f t="shared" ref="CD5:CD50" si="86">IF(CD4="","",IF($CE$1&lt;=CE4,"",CE4+1))</f>
        <v/>
      </c>
      <c r="CE5" s="484" t="str">
        <f>IF(CD5="","",MIN(EOMONTH(CD5,0),VLOOKUP(CD5,'IN RPS-2015'!$O$164:$P$202,2,TRUE)-1,LOOKUP(CD5,$E$47:$F$53)-1,IF(CD5&lt;$B$2,$B$2-1,'IN RPS-2015'!$Q$9),IF(CD5&lt;$B$3,$B$3-1,'IN RPS-2015'!$Q$9),IF(CD5&lt;$B$4,$B$4-1,'IN RPS-2015'!$Q$9),LOOKUP(CD5,$H$47:$I$53)))</f>
        <v/>
      </c>
      <c r="CF5" s="490" t="str">
        <f>IF(CD5="","",VLOOKUP(CD5,'IN RPS-2015'!$T$207:$Y$222,5))</f>
        <v/>
      </c>
      <c r="CG5" s="461" t="str">
        <f t="shared" si="72"/>
        <v/>
      </c>
      <c r="CH5" s="461" t="str">
        <f>IF(CD5="","",IF(AND($CA$3=$CA$1,CD5&lt;=$CT$1),0,ROUND(IF(CV5=3,0,IF(CV5=2,IF(CF5=VLOOKUP(CF5,'IN RPS-2015'!$I$2:$J$5,1),0,Main!$H$9)/2,IF(CF5=VLOOKUP(CF5,'IN RPS-2015'!$I$2:$J$5,1),0,Main!$H$9)))*(DAY(CE5)-DAY(CD5)+1)/DAY(EOMONTH(CD5,0)),0)))</f>
        <v/>
      </c>
      <c r="CI5" s="461" t="str">
        <f>IF(CD5="","",IF(AND($CA$3=$CA$1,CD5&lt;=$CT$1),0,IF(CF5=VLOOKUP(CF5,'IN RPS-2015'!$I$2:$J$5,1),0,ROUND(CG5*VLOOKUP(CD5,$BZ$4:$CA$7,2)%,0))))</f>
        <v/>
      </c>
      <c r="CJ5" s="461" t="str">
        <f>IF(CD5="","",IF(AND($CA$3=$CA$1,CD5&lt;=$CT$1),0,IF(OR(CV5=3,CF5=VLOOKUP(CF5,'IN RPS-2015'!$I$2:$J$5,1)),0,ROUND(MIN(ROUND(CF5*VLOOKUP(CD5,$B$1:$G$4,2)%,0),VLOOKUP(CD5,$B$2:$I$4,IF($CA$3=$I$29,7,8),TRUE))*(DAY(CE5)-DAY(CD5)+1)/DAY(EOMONTH(CD5,0)),0))))</f>
        <v/>
      </c>
      <c r="CK5" s="491" t="str">
        <f>IF(CD5="","",IF(AND($CA$3=$CA$1,CD5&lt;=$CT$1),0,IF(Main!$C$26="UGC",0,IF(OR(CD5&lt;DATE(2010,4,1),$I$6=VLOOKUP(CD5,$B$2:$G$4,5,TRUE),CF5=VLOOKUP(CF5,'IN RPS-2015'!$I$2:$J$5,1)),0,ROUND(IF(CV5=3,0,IF(CV5=2,MIN(ROUND(CF5*$G$13%,0),IF(CD5&lt;$J$152,$G$14,$G$15))/2,MIN(ROUND(CF5*$G$13%,0),IF(CD5&lt;$J$152,$G$14,$G$15))))*(DAY(CE5)-DAY(CD5)+1)/DAY(EOMONTH(CD5,0)),0)))))</f>
        <v/>
      </c>
      <c r="CL5" s="461" t="str">
        <f>IF(CD5="","",IF(AND($CA$3=$CA$1,CD5&lt;=$CT$1),0,IF(Main!$C$26="UGC",0,IF(CF5=VLOOKUP(CF5,'IN RPS-2015'!$I$2:$J$5,1),0,ROUND(CG5*VLOOKUP(CD5,$BZ$11:$CA$12,2)%,0)))))</f>
        <v/>
      </c>
      <c r="CM5" s="461" t="str">
        <f>IF(CD5="","",IF(AND($CA$3=$CA$1,CD5&lt;=$CT$1),0,IF(Main!$C$26="UGC",0,IF(CD5&lt;DATE(2010,4,1),0,IF(OR(CV5=2,CV5=3,CF5=VLOOKUP(CF5,'IN RPS-2015'!$I$2:$J$5,1)),0,ROUND(IF(CD5&lt;$J$152,VLOOKUP(CD5,$B$1:$G$4,4),VLOOKUP(VLOOKUP(CD5,$B$1:$G$4,4),Main!$CE$2:$CF$5,2,FALSE))*(DAY(CE5)-DAY(CD5)+1)/DAY(EOMONTH(CD5,0)),0))))))</f>
        <v/>
      </c>
      <c r="CN5" s="461" t="str">
        <f>IF(CD5="","",IF(AND($CA$3=$CA$1,CD5&lt;=$CT$1),0,IF(OR(CV5=2,CV5=3,$D$31=$D$28,CF5=VLOOKUP(CF5,'IN RPS-2015'!$I$2:$J$5,1)),0,ROUND(MIN(VLOOKUP(CC5,$A$27:$C$29,2,TRUE),ROUND(CF5*VLOOKUP(CC5,$A$27:$C$29,3,TRUE)%,0))*IF(CC5=$A$36,$C$36,IF(CC5=$A$37,$C$37,IF(CC5=$A$38,$C$38,IF(CC5=$A$39,$C$39,IF(CC5=$A$40,$C$40,IF(CC5=$A$41,$C$41,1))))))*(DAY(CE5)-DAY(CD5)+1)/DAY(EOMONTH(CD5,0)),0))))</f>
        <v/>
      </c>
      <c r="CO5" s="461" t="str">
        <f>IF(CD5="","",IF(AND($CA$3=$CA$1,CD5&lt;=$CT$1),0,IF(Main!$C$26="UGC",0,IF(OR(CV5=3,CF5=VLOOKUP(CF5,'IN RPS-2015'!$I$2:$J$5,1)),0,ROUND(IF(CV5=2,VLOOKUP(CF5,IF($CA$3=$I$29,$A$20:$E$23,$F$144:$J$147),IF($B$19=VLOOKUP(CD5,$B$2:$G$4,3,TRUE),2,IF($C$19=VLOOKUP(CD5,$B$2:$G$4,3,TRUE),3,IF($D$19=VLOOKUP(CD5,$B$2:$G$4,3,TRUE),4,5))),TRUE),VLOOKUP(CF5,IF($CA$3=$I$29,$A$20:$E$23,$F$144:$J$147),IF($B$19=VLOOKUP(CD5,$B$2:$G$4,3,TRUE),2,IF($C$19=VLOOKUP(CD5,$B$2:$G$4,3,TRUE),3,IF($D$19=VLOOKUP(CD5,$B$2:$G$4,3,TRUE),4,5))),TRUE))*(DAY(CE5)-DAY(CD5)+1)/DAY(EOMONTH(CD5,0)),0)))))</f>
        <v/>
      </c>
      <c r="CP5" s="461" t="str">
        <f>IF(CD5="","",IF(AND($CA$3=$CA$1,CD5&lt;=$CT$1),0,IF(Main!$C$26="UGC",0,IF(OR(CC5&lt;DATE(2010,4,1),CV5=3,CF5=VLOOKUP(CF5,'IN RPS-2015'!$I$2:$J$5,1)),0,ROUND(IF(CV5=2,IF(CD5&lt;$J$152,Main!$L$9,Main!$CI$3)/2,IF(CD5&lt;$J$152,Main!$L$9,Main!$CI$3))*(DAY(CE5)-DAY(CD5)+1)/DAY(EOMONTH(CD5,0)),0)))))</f>
        <v/>
      </c>
      <c r="CQ5" s="461"/>
      <c r="CR5" s="461" t="str">
        <f>IF(CD5="","",IF(AND($CA$3=$CA$1,CD5&lt;=$CT$1),0,IF(Main!$C$26="UGC",0,IF(OR(CV5=3,CF5=VLOOKUP(CF5,'IN RPS-2015'!$I$2:$J$5,1)),0,ROUND(IF(CV5=2,VLOOKUP(CG5,IF(CD5&lt;$J$152,$A$154:$E$159,$F$154:$J$159),IF($B$10=VLOOKUP(CC5,$B$2:$G$4,6,TRUE),2,IF($B$10=VLOOKUP(CC5,$B$2:$G$4,6,TRUE),3,IF($D$10=VLOOKUP(CC5,$B$2:$G$4,6,TRUE),4,5))))/2,VLOOKUP(CG5,IF(CD5&lt;$J$152,$A$154:$E$159,$F$154:$J$159),IF($B$10=VLOOKUP(CC5,$B$2:$G$4,6,TRUE),2,IF($B$10=VLOOKUP(CC5,$B$2:$G$4,6,TRUE),3,IF($D$10=VLOOKUP(CC5,$B$2:$G$4,6,TRUE),4,5)))))*(DAY(CE5)-DAY(CD5)+1)/DAY(EOMONTH(CD5,0)),0)))))</f>
        <v/>
      </c>
      <c r="CS5" s="461">
        <f t="shared" si="73"/>
        <v>0</v>
      </c>
      <c r="CT5" s="464" t="str">
        <f>IF(CD5="","",IF(AND($CA$3=$CA$1,CD5&lt;=$CT$1),0,IF(AND(Main!$F$22=Main!$CA$24,CD5&gt;$CT$1),ROUND(SUM(CG5,CI5)*10%,0),"")))</f>
        <v/>
      </c>
      <c r="CU5" s="464" t="str">
        <f>IF(CC5="","",IF(CG5=0,0,IF(OR(Main!$H$10=Main!$BH$4,Main!$H$10=Main!$BH$5),0,LOOKUP(CS5*DAY(EOMONTH(CD5,0))/(DAY(CE5)-DAY(CD5)+1),$H$184:$I$189))))</f>
        <v/>
      </c>
      <c r="CV5" s="457">
        <f t="shared" si="74"/>
        <v>1</v>
      </c>
      <c r="CW5" s="464"/>
      <c r="CX5" s="501" t="str">
        <f t="shared" si="59"/>
        <v/>
      </c>
      <c r="CY5" s="502" t="str">
        <f t="shared" ref="CY5:CY50" si="87">IF(CY4="","",IF($CZ$1&lt;=CZ4,"",CZ4+1))</f>
        <v/>
      </c>
      <c r="CZ5" s="484" t="str">
        <f>IF(CY5="","",MIN(EOMONTH(CY5,0),VLOOKUP(CY5,'IN RPS-2015'!$O$164:$P$202,2,TRUE)-1,LOOKUP(CY5,$E$47:$F$53)-1,IF(CY5&lt;$B$2,$B$2-1,'IN RPS-2015'!$Q$9),IF(CY5&lt;$B$3,$B$3-1,'IN RPS-2015'!$Q$9),IF(CY5&lt;$B$4,$B$4-1,'IN RPS-2015'!$Q$9),LOOKUP(CY5,$H$47:$I$53)))</f>
        <v/>
      </c>
      <c r="DA5" s="493" t="str">
        <f>IF(CY5="","",VLOOKUP(CY5,'IN RPS-2015'!$T$207:$Y$222,6))</f>
        <v/>
      </c>
      <c r="DB5" s="461" t="str">
        <f t="shared" si="75"/>
        <v/>
      </c>
      <c r="DC5" s="461" t="str">
        <f>IF(CY5="","",IF(AND($CA$3=$CA$1,CY5&lt;=$CT$1),0,ROUND(IF(DQ5=3,0,IF(DQ5=2,IF(DA5=VLOOKUP(DA5,'IN RPS-2015'!$I$2:$J$5,1),0,Main!$H$9)/2,IF(DA5=VLOOKUP(DA5,'IN RPS-2015'!$I$2:$J$5,1),0,Main!$H$9)))*(DAY(CZ5)-DAY(CY5)+1)/DAY(EOMONTH(CY5,0)),0)))</f>
        <v/>
      </c>
      <c r="DD5" s="461" t="str">
        <f>IF(CY5="","",IF(AND($CA$3=$CA$1,CY5&lt;=$CT$1),0,IF(DA5=VLOOKUP(DA5,'IN RPS-2015'!$I$2:$J$5,1),0,ROUND(DB5*VLOOKUP(CY5,$BZ$4:$CA$7,2)%,0))))</f>
        <v/>
      </c>
      <c r="DE5" s="461" t="str">
        <f>IF(CY5="","",IF(AND($CA$3=$CA$1,CY5&lt;=$CT$1),0,IF(OR(DQ5=3,DA5=VLOOKUP(DA5,'IN RPS-2015'!$I$2:$J$5,1)),0,ROUND(MIN(ROUND(DA5*VLOOKUP(CY5,$B$1:$G$4,2)%,0),VLOOKUP(CY5,$B$2:$I$4,IF($CA$3=$I$29,7,8),TRUE))*(DAY(CZ5)-DAY(CY5)+1)/DAY(EOMONTH(CY5,0)),0))))</f>
        <v/>
      </c>
      <c r="DF5" s="491" t="str">
        <f>IF(CY5="","",IF(AND($CA$3=$CA$1,CY5&lt;=$CT$1),0,IF(Main!$C$26="UGC",0,IF(OR(CY5&lt;DATE(2010,4,1),$I$6=VLOOKUP(CY5,$B$2:$G$4,5,TRUE),DA5=VLOOKUP(DA5,'IN RPS-2015'!$I$2:$J$5,1)),0,ROUND(IF(DQ5=3,0,IF(DQ5=2,MIN(ROUND(DA5*$G$13%,0),IF(CY5&lt;$J$152,$G$14,$G$15))/2,MIN(ROUND(DA5*$G$13%,0),IF(CY5&lt;$J$152,$G$14,$G$15))))*(DAY(CZ5)-DAY(CY5)+1)/DAY(EOMONTH(CY5,0)),0)))))</f>
        <v/>
      </c>
      <c r="DG5" s="461" t="str">
        <f>IF(CY5="","",IF(AND($CA$3=$CA$1,CY5&lt;=$CT$1),0,IF(Main!$C$26="UGC",0,IF(DA5=VLOOKUP(DA5,'IN RPS-2015'!$I$2:$J$5,1),0,ROUND(DB5*VLOOKUP(CY5,$BZ$11:$CA$12,2)%,0)))))</f>
        <v/>
      </c>
      <c r="DH5" s="461" t="str">
        <f>IF(CY5="","",IF(AND($CA$3=$CA$1,CY5&lt;=$CT$1),0,IF(Main!$C$26="UGC",0,IF(CY5&lt;DATE(2010,4,1),0,IF(OR(DQ5=2,DQ5=3,DA5=VLOOKUP(DA5,'IN RPS-2015'!$I$2:$J$5,1)),0,ROUND(IF(CY5&lt;$J$152,VLOOKUP(CY5,$B$1:$G$4,4),VLOOKUP(VLOOKUP(CY5,$B$1:$G$4,4),Main!$CE$2:$CF$5,2,FALSE))*(DAY(CZ5)-DAY(CY5)+1)/DAY(EOMONTH(CY5,0)),0))))))</f>
        <v/>
      </c>
      <c r="DI5" s="461" t="str">
        <f>IF(CY5="","",IF(AND($CA$3=$CA$1,CY5&lt;=$CT$1),0,IF(OR(DQ5=2,DQ5=3,$D$31=$D$28,DA5=VLOOKUP(DA5,'IN RPS-2015'!$I$2:$J$5,1)),0,ROUND(MIN(VLOOKUP(CX5,$A$27:$C$29,2,TRUE),ROUND(DA5*VLOOKUP(CX5,$A$27:$C$29,3,TRUE)%,0))*IF(CX5=$A$36,$C$36,IF(CX5=$A$37,$C$37,IF(CX5=$A$38,$C$38,IF(CX5=$A$39,$C$39,IF(CX5=$A$40,$C$40,IF(CX5=$A$41,$C$41,1))))))*(DAY(CZ5)-DAY(CY5)+1)/DAY(EOMONTH(CY5,0)),0))))</f>
        <v/>
      </c>
      <c r="DJ5" s="461" t="str">
        <f>IF(CY5="","",IF(AND($CA$3=$CA$1,CY5&lt;=$CT$1),0,IF(Main!$C$26="UGC",0,IF(OR(DQ5=3,DA5=VLOOKUP(DA5,'IN RPS-2015'!$I$2:$J$5,1)),0,ROUND(IF(DQ5=2,VLOOKUP(DA5,IF($CA$3=$I$29,$A$20:$E$23,$F$144:$J$147),IF($B$19=VLOOKUP(CY5,$B$2:$G$4,3,TRUE),2,IF($C$19=VLOOKUP(CY5,$B$2:$G$4,3,TRUE),3,IF($D$19=VLOOKUP(CY5,$B$2:$G$4,3,TRUE),4,5))),TRUE),VLOOKUP(DA5,IF($CA$3=$I$29,$A$20:$E$23,$F$144:$J$147),IF($B$19=VLOOKUP(CY5,$B$2:$G$4,3,TRUE),2,IF($C$19=VLOOKUP(CY5,$B$2:$G$4,3,TRUE),3,IF($D$19=VLOOKUP(CY5,$B$2:$G$4,3,TRUE),4,5))),TRUE))*(DAY(CZ5)-DAY(CY5)+1)/DAY(EOMONTH(CY5,0)),0)))))</f>
        <v/>
      </c>
      <c r="DK5" s="461" t="str">
        <f>IF(CY5="","",IF(AND($CA$3=$CA$1,CY5&lt;=$CT$1),0,IF(Main!$C$26="UGC",0,IF(OR(CX5&lt;DATE(2010,4,1),DQ5=3,DA5=VLOOKUP(DA5,'IN RPS-2015'!$I$2:$J$5,1)),0,ROUND(IF(DQ5=2,IF(CY5&lt;$J$152,Main!$L$9,Main!$CI$3)/2,IF(CY5&lt;$J$152,Main!$L$9,Main!$CI$3))*(DAY(CZ5)-DAY(CY5)+1)/DAY(EOMONTH(CY5,0)),0)))))</f>
        <v/>
      </c>
      <c r="DL5" s="461"/>
      <c r="DM5" s="461" t="str">
        <f>IF(CY5="","",IF(AND($CA$3=$CA$1,CY5&lt;=$CT$1),0,IF(Main!$C$26="UGC",0,IF(OR(DQ5=3,DA5=VLOOKUP(DA5,'IN RPS-2015'!$I$2:$J$5,1)),0,ROUND(IF(DQ5=2,VLOOKUP(DB5,IF(CY5&lt;$J$152,$A$154:$E$159,$F$154:$J$159),IF($B$10=VLOOKUP(CX5,$B$2:$G$4,6,TRUE),2,IF($B$10=VLOOKUP(CX5,$B$2:$G$4,6,TRUE),3,IF($D$10=VLOOKUP(CX5,$B$2:$G$4,6,TRUE),4,5))))/2,VLOOKUP(DB5,IF(CY5&lt;$J$152,$A$154:$E$159,$F$154:$J$159),IF($B$10=VLOOKUP(CX5,$B$2:$G$4,6,TRUE),2,IF($B$10=VLOOKUP(CX5,$B$2:$G$4,6,TRUE),3,IF($D$10=VLOOKUP(CX5,$B$2:$G$4,6,TRUE),4,5)))))*(DAY(CZ5)-DAY(CY5)+1)/DAY(EOMONTH(CY5,0)),0)))))</f>
        <v/>
      </c>
      <c r="DN5" s="461">
        <f t="shared" si="76"/>
        <v>0</v>
      </c>
      <c r="DO5" s="464" t="str">
        <f>IF(CY5="","",IF(AND($CA$3=$CA$1,CY5&lt;=$CT$1),0,IF(AND(Main!$F$22=Main!$CA$24,CY5&gt;$CT$1),ROUND(SUM(DB5,DD5)*10%,0),"")))</f>
        <v/>
      </c>
      <c r="DP5" s="464" t="str">
        <f>IF(CX5="","",IF(AND($CA$3=$CA$1,CY5&lt;=$CT$1),0,IF(OR(Main!$H$10=Main!$BH$4,Main!$H$10=Main!$BH$5),0,LOOKUP(DN5*DAY(EOMONTH(CY5,0))/(DAY(CZ5)-DAY(CY5)+1),$H$184:$I$189))))</f>
        <v/>
      </c>
      <c r="DQ5" s="457">
        <f t="shared" si="60"/>
        <v>1</v>
      </c>
      <c r="DR5" s="457">
        <f t="shared" si="77"/>
        <v>0</v>
      </c>
      <c r="DS5" s="497"/>
      <c r="DT5" s="750">
        <f>IF($H$10&lt;DY1,$A$49,$H$10)</f>
        <v>42461</v>
      </c>
      <c r="DU5" s="498">
        <f>IF(DU$3=$I$29,$J$10,$I$10)</f>
        <v>12.052</v>
      </c>
      <c r="DV5" s="461"/>
      <c r="DW5" s="499">
        <f t="shared" si="61"/>
        <v>42156</v>
      </c>
      <c r="DX5" s="500">
        <f t="shared" ref="DX5:DX50" si="88">IF(DX4="","",IF($DY$1&lt;=DY4,"",DY4+1))</f>
        <v>42156</v>
      </c>
      <c r="DY5" s="484">
        <f>IF(DX5="","",MIN(EOMONTH(DX5,0),VLOOKUP(DX5,'IN RPS-2015'!$O$164:$P$202,2,TRUE)-1,LOOKUP(DX5,$E$47:$F$53)-1,IF(DX5&lt;$B$2,$B$2-1,'IN RPS-2015'!$Q$9),IF(DX5&lt;$B$3,$B$3-1,'IN RPS-2015'!$Q$9),IF(DX5&lt;$B$4,$B$4-1,'IN RPS-2015'!$Q$9),LOOKUP(DX5,$H$47:$I$53)))</f>
        <v>42185</v>
      </c>
      <c r="DZ5" s="490">
        <f>IF(DX5="","",VLOOKUP(DX5,'IN RPS-2015'!$P$164:$AA$202,11))</f>
        <v>53950</v>
      </c>
      <c r="EA5" s="461">
        <f t="shared" si="78"/>
        <v>53950</v>
      </c>
      <c r="EB5" s="461">
        <f>IF(DX5="","",ROUND(IF(EP5=3,0,IF(EP5=2,IF(DZ5=VLOOKUP(DZ5,'IN RPS-2015'!$I$2:$J$5,1),0,Main!$H$9)/2,IF(DZ5=VLOOKUP(DZ5,'IN RPS-2015'!$I$2:$J$5,1),0,Main!$H$9)))*(DAY(DY5)-DAY(DX5)+1)/DAY(EOMONTH(DX5,0)),0))</f>
        <v>105</v>
      </c>
      <c r="EC5" s="461">
        <f>IF(DX5="","",IF(DZ5=VLOOKUP(DZ5,'IN RPS-2015'!$I$2:$J$5,1),0,ROUND(EA5*VLOOKUP(DX5,$DT$4:$DU$7,2)%,0)))</f>
        <v>4806</v>
      </c>
      <c r="ED5" s="461">
        <f>IF(DX5="","",IF(OR(EP5=3,DZ5=VLOOKUP(DZ5,'IN RPS-2015'!$I$2:$J$5,1)),0,ROUND(MIN(ROUND(DZ5*VLOOKUP(DX5,$B$1:$G$4,2)%,0),VLOOKUP(DX5,$B$2:$I$4,IF($DU$3=$I$29,7,8),TRUE))*(DAY(DY5)-DAY(DX5)+1)/DAY(EOMONTH(DX5,0)),0)))</f>
        <v>10790</v>
      </c>
      <c r="EE5" s="491">
        <f>IF(DX5="","",IF(Main!$C$26="UGC",0,IF(OR(DX5&lt;DATE(2010,4,1),$I$6=VLOOKUP(DX5,$B$2:$G$4,5,TRUE),DZ5=VLOOKUP(DZ5,'IN RPS-2015'!$I$2:$J$5,1)),0,ROUND(IF(EP5=3,0,IF(EP5=2,MIN(ROUND(DZ5*$G$13%,0),IF(DX5&lt;$I$152,$G$14,$G$15))/2,MIN(ROUND(DZ5*$G$13%,0),IF(DX5&lt;$I$152,$G$14,$G$15))))*(DAY(DY5)-DAY(DX5)+1)/DAY(EOMONTH(DX5,0)),0))))</f>
        <v>0</v>
      </c>
      <c r="EF5" s="461">
        <f>IF(DX5="","",IF(Main!$C$26="UGC",0,IF(DZ5=VLOOKUP(DZ5,'IN RPS-2015'!$I$2:$J$5,1),0,ROUND(EA5*VLOOKUP(DX5,$DT$11:$DU$12,2)%,0))))</f>
        <v>0</v>
      </c>
      <c r="EG5" s="461">
        <f>IF(DX5="","",IF(Main!$C$26="UGC",0,IF(DX5&lt;DATE(2010,4,1),0,IF(OR(EP5=2,EP5=3,DZ5=VLOOKUP(DZ5,'IN RPS-2015'!$I$2:$J$5,1)),0,ROUND(IF(DX5&lt;$I$152,VLOOKUP(DX5,$B$1:$G$4,4),VLOOKUP(VLOOKUP(DX5,$B$1:$G$4,4),Main!$CE$2:$CF$5,2,FALSE))*(DAY(DY5)-DAY(DX5)+1)/DAY(EOMONTH(DX5,0)),0)))))</f>
        <v>0</v>
      </c>
      <c r="EH5" s="461">
        <f>IF(DX5="","",IF(OR(EP5=2,EP5=3,$D$31=$D$28,DZ5=VLOOKUP(DZ5,'IN RPS-2015'!$I$2:$J$5,1)),0,ROUND(MIN(IF(DX5&lt;$I$152,900,1350),ROUND(DZ5*VLOOKUP(DW5,$A$27:$C$29,3,TRUE)%,0))*IF(DW5=$A$36,$C$36,IF(DW5=$A$37,$C$37,IF(DW5=$A$38,$C$38,IF(DW5=$A$39,$C$39,IF(DW5=$A$40,$C$40,IF(DW5=$A$41,$C$41,1))))))*(DAY(DY5)-DAY(DX5)+1)/DAY(EOMONTH(DX5,0)),0)))</f>
        <v>480</v>
      </c>
      <c r="EI5" s="461">
        <f>IF(DX5="","",IF(Main!$C$26="UGC",0,IF(OR(EP5=3,DZ5=VLOOKUP(DZ5,'IN RPS-2015'!$I$2:$J$5,1)),0,ROUND(IF(EP5=2,VLOOKUP(DZ5,IF($DU$3=$I$29,$A$20:$E$23,$F$144:$J$147),IF($B$19=VLOOKUP(DX5,$B$2:$G$4,3,TRUE),2,IF($C$19=VLOOKUP(DX5,$B$2:$G$4,3,TRUE),3,IF($D$19=VLOOKUP(DX5,$B$2:$G$4,3,TRUE),4,5))),TRUE),VLOOKUP(DZ5,IF($DU$3=$I$29,$A$20:$E$23,$F$144:$J$147),IF($B$19=VLOOKUP(DX5,$B$2:$G$4,3,TRUE),2,IF($C$19=VLOOKUP(DX5,$B$2:$G$4,3,TRUE),3,IF($D$19=VLOOKUP(DX5,$B$2:$G$4,3,TRUE),4,5))),TRUE))*(DAY(DY5)-DAY(DX5)+1)/DAY(EOMONTH(DX5,0)),0))))</f>
        <v>500</v>
      </c>
      <c r="EJ5" s="461">
        <f>IF(DX5="","",IF(Main!$C$26="UGC",0,IF(OR(DW5&lt;DATE(2010,4,1),EP5=3,DZ5=VLOOKUP(DZ5,'IN RPS-2015'!$I$2:$J$5,1)),0,ROUND(IF(EP5=2,IF(DX5&lt;$I$152,Main!$L$9,Main!$CI$3)/2,IF(DX5&lt;$I$152,Main!$L$9,Main!$CI$3))*(DAY(DY5)-DAY(DX5)+1)/DAY(EOMONTH(DX5,0)),0))))</f>
        <v>0</v>
      </c>
      <c r="EK5" s="461"/>
      <c r="EL5" s="461">
        <f>IF(DX5="","",IF(Main!$C$26="UGC",0,IF(OR(EP5=3,DZ5=VLOOKUP(DZ5,'IN RPS-2015'!$I$2:$J$5,1)),0,ROUND(IF(EP5=2,VLOOKUP(EA5,IF(DX5&lt;$I$152,$A$154:$E$159,$F$154:$J$159),IF($B$10=VLOOKUP(DW5,$B$2:$G$4,6,TRUE),2,IF($B$10=VLOOKUP(DW5,$B$2:$G$4,6,TRUE),3,IF($D$10=VLOOKUP(DW5,$B$2:$G$4,6,TRUE),4,5))))/2,VLOOKUP(EA5,IF(DX5&lt;$I$152,$A$154:$E$159,$F$154:$J$159),IF($B$10=VLOOKUP(DW5,$B$2:$G$4,6,TRUE),2,IF($B$10=VLOOKUP(DW5,$B$2:$G$4,6,TRUE),3,IF($D$10=VLOOKUP(DW5,$B$2:$G$4,6,TRUE),4,5)))))*(DAY(DY5)-DAY(DX5)+1)/DAY(EOMONTH(DX5,0)),0))))</f>
        <v>0</v>
      </c>
      <c r="EM5" s="461">
        <f t="shared" si="79"/>
        <v>70631</v>
      </c>
      <c r="EN5" s="464">
        <f>IF(DX5="","",IF(AND(Main!$F$22=Main!$CA$24,DX5&gt;$EN$1),ROUND(SUM(EA5,EC5)*10%,0),""))</f>
        <v>5876</v>
      </c>
      <c r="EO5" s="464">
        <f>IF(DW5="","",IF(EA5=0,0,IF(OR(Main!$H$10=Main!$BH$4,Main!$H$10=Main!$BH$5),0,LOOKUP(EM5*DAY(EOMONTH(DX5,0))/(DAY(DY5)-DAY(DX5)+1),$H$184:$I$189))))</f>
        <v>0</v>
      </c>
      <c r="EP5" s="457">
        <f t="shared" si="62"/>
        <v>1</v>
      </c>
      <c r="ER5" s="750">
        <f>IF($H$10&lt;EW1,$A$49,$H$10)</f>
        <v>42461</v>
      </c>
      <c r="ES5" s="498">
        <f>IF(ES$3=$I$29,$J$10,$I$10)</f>
        <v>83.031999999999996</v>
      </c>
      <c r="ET5" s="461"/>
      <c r="EU5" s="499">
        <f t="shared" si="63"/>
        <v>42156</v>
      </c>
      <c r="EV5" s="500">
        <f t="shared" ref="EV5:EV50" si="89">IF(EV4="","",IF($DY$1&lt;=EW4,"",EW4+1))</f>
        <v>42156</v>
      </c>
      <c r="EW5" s="484">
        <f>IF(EV5="","",MIN(EOMONTH(EV5,0),VLOOKUP(EV5,'IN RPS-2015'!$O$164:$P$202,2,TRUE)-1,LOOKUP(EV5,$E$47:$F$53)-1,IF(EV5&lt;$B$2,$B$2-1,'IN RPS-2015'!$Q$9),IF(EV5&lt;$B$3,$B$3-1,'IN RPS-2015'!$Q$9),IF(EV5&lt;$B$4,$B$4-1,'IN RPS-2015'!$Q$9),LOOKUP(EV5,$H$47:$I$53)))</f>
        <v>42185</v>
      </c>
      <c r="EX5" s="490">
        <f>IF(EV5="","",VLOOKUP(EV5,'IN RPS-2015'!$P$164:$AA$202,12))</f>
        <v>25600</v>
      </c>
      <c r="EY5" s="461">
        <f t="shared" si="80"/>
        <v>25600</v>
      </c>
      <c r="EZ5" s="461">
        <f>IF(EV5="","",ROUND(IF(FN5=3,0,IF(FN5=2,IF(EX5=VLOOKUP(EX5,'IN RPS-2015'!$I$2:$J$5,1),0,Main!$H$9)/2,IF(EX5=VLOOKUP(EX5,'IN RPS-2015'!$I$2:$J$5,1),0,Main!$H$9)))*(DAY(EW5)-DAY(EV5)+1)/DAY(EOMONTH(EV5,0)),0))</f>
        <v>105</v>
      </c>
      <c r="FA5" s="461">
        <f>IF(EV5="","",IF(EX5=VLOOKUP(EX5,'IN RPS-2015'!$I$2:$J$5,1),0,ROUND(EY5*VLOOKUP(EV5,$ER$4:$ES$7,2)%,0)))</f>
        <v>19941</v>
      </c>
      <c r="FB5" s="461">
        <f>IF(EV5="","",IF(OR(FN5=3,EX5=VLOOKUP(EX5,'IN RPS-2015'!$I$2:$J$5,1)),0,ROUND(MIN(ROUND(EX5*VLOOKUP(EV5,$B$1:$G$4,2)%,0),VLOOKUP(EV5,$B$2:$I$4,IF($ES$3=$I$29,7,8),TRUE))*(DAY(EW5)-DAY(EV5)+1)/DAY(EOMONTH(EV5,0)),0)))</f>
        <v>5120</v>
      </c>
      <c r="FC5" s="491">
        <f>IF(EV5="","",IF(Main!$C$26="UGC",0,IF(OR(EV5&lt;DATE(2010,4,1),$I$6=VLOOKUP(EV5,$B$2:$G$4,5,TRUE),EX5=VLOOKUP(EX5,'IN RPS-2015'!$I$2:$J$5,1)),0,ROUND(IF(FN5=3,0,IF(FN5=2,MIN(ROUND(EX5*$G$13%,0),IF(EV5&lt;$J$152,$G$14,$G$15))/2,MIN(ROUND(EX5*$G$13%,0),IF(EV5&lt;$J$152,$G$14,$G$15))))*(DAY(EW5)-DAY(EV5)+1)/DAY(EOMONTH(EV5,0)),0))))</f>
        <v>0</v>
      </c>
      <c r="FD5" s="461">
        <f>IF(EV5="","",IF(Main!$C$26="UGC",0,IF(EX5=VLOOKUP(EX5,'IN RPS-2015'!$I$2:$J$5,1),0,ROUND(EY5*VLOOKUP(EV5,$ER$11:$ES$12,2)%,0))))</f>
        <v>6912</v>
      </c>
      <c r="FE5" s="461">
        <f>IF(EV5="","",IF(Main!$C$26="UGC",0,IF(EV5&lt;DATE(2010,4,1),0,IF(OR(FN5=2,FN5=3,EX5=VLOOKUP(EX5,'IN RPS-2015'!$I$2:$J$5,1)),0,ROUND(IF(EV5&lt;$J$152,VLOOKUP(EV5,$B$1:$G$4,4),VLOOKUP(VLOOKUP(EV5,$B$1:$G$4,4),Main!$CE$2:$CF$5,2,FALSE))*(DAY(EW5)-DAY(EV5)+1)/DAY(EOMONTH(EV5,0)),0)))))</f>
        <v>0</v>
      </c>
      <c r="FF5" s="461">
        <f>IF(EV5="","",IF(OR(FN5=2,FN5=3,$D$31=$D$28,EX5=VLOOKUP(EX5,'IN RPS-2015'!$I$2:$J$5,1)),0,ROUND(MIN(VLOOKUP(EU5,$A$27:$C$29,2,TRUE),ROUND(EX5*VLOOKUP(EU5,$A$27:$C$29,3,TRUE)%,0))*IF(EU5=$A$36,$C$36,IF(EU5=$A$37,$C$37,IF(EU5=$A$38,$C$38,IF(EU5=$A$39,$C$39,IF(EU5=$A$40,$C$40,IF(EU5=$A$41,$C$41,1))))))*(DAY(EW5)-DAY(EV5)+1)/DAY(EOMONTH(EV5,0)),0)))</f>
        <v>480</v>
      </c>
      <c r="FG5" s="461">
        <f>IF(EV5="","",IF(Main!$C$26="UGC",0,IF(OR(FN5=3,EX5=VLOOKUP(EX5,'IN RPS-2015'!$I$2:$J$5,1)),0,ROUND(IF(FN5=2,VLOOKUP(EX5,IF($ES$3=$I$29,$A$20:$E$23,$F$144:$J$147),IF($B$19=VLOOKUP(EV5,$B$2:$G$4,3,TRUE),2,IF($C$19=VLOOKUP(EV5,$B$2:$G$4,3,TRUE),3,IF($D$19=VLOOKUP(EV5,$B$2:$G$4,3,TRUE),4,5))),TRUE),VLOOKUP(EX5,IF($ES$3=$I$29,$A$20:$E$23,$F$144:$J$147),IF($B$19=VLOOKUP(EV5,$B$2:$G$4,3,TRUE),2,IF($C$19=VLOOKUP(EV5,$B$2:$G$4,3,TRUE),3,IF($D$19=VLOOKUP(EV5,$B$2:$G$4,3,TRUE),4,5))),TRUE))*(DAY(EW5)-DAY(EV5)+1)/DAY(EOMONTH(EV5,0)),0))))</f>
        <v>140</v>
      </c>
      <c r="FH5" s="461">
        <f>IF(EV5="","",IF(Main!$C$26="UGC",0,IF(OR(EU5&lt;DATE(2010,4,1),FN5=3,EX5=VLOOKUP(EX5,'IN RPS-2015'!$I$2:$J$5,1)),0,ROUND(IF(FN5=2,IF(EV5&lt;$J$152,Main!$L$9,Main!$CI$3)/2,IF(EV5&lt;$J$152,Main!$L$9,Main!$CI$3))*(DAY(EW5)-DAY(EV5)+1)/DAY(EOMONTH(EV5,0)),0))))</f>
        <v>0</v>
      </c>
      <c r="FI5" s="461"/>
      <c r="FJ5" s="461">
        <f>IF(EV5="","",IF(Main!$C$26="UGC",0,IF(OR(FN5=3,EX5=VLOOKUP(EX5,'IN RPS-2015'!$I$2:$J$5,1)),0,ROUND(IF(FN5=2,VLOOKUP(EY5,IF(EV5&lt;$J$152,$A$154:$E$159,$F$154:$J$159),IF($B$10=VLOOKUP(EU5,$B$2:$G$4,6,TRUE),2,IF($B$10=VLOOKUP(EU5,$B$2:$G$4,6,TRUE),3,IF($D$10=VLOOKUP(EU5,$B$2:$G$4,6,TRUE),4,5))))/2,VLOOKUP(EY5,IF(EV5&lt;$J$152,$A$154:$E$159,$F$154:$J$159),IF($B$10=VLOOKUP(EU5,$B$2:$G$4,6,TRUE),2,IF($B$10=VLOOKUP(EU5,$B$2:$G$4,6,TRUE),3,IF($D$10=VLOOKUP(EU5,$B$2:$G$4,6,TRUE),4,5)))))*(DAY(EW5)-DAY(EV5)+1)/DAY(EOMONTH(EV5,0)),0))))</f>
        <v>0</v>
      </c>
      <c r="FK5" s="461">
        <f t="shared" si="81"/>
        <v>58298</v>
      </c>
      <c r="FL5" s="464">
        <f>IF(EV5="","",IF(AND(Main!$F$22=Main!$CA$24,EV5&gt;$FL$1),ROUND(SUM(EY5,FA5)*10%,0),""))</f>
        <v>4554</v>
      </c>
      <c r="FM5" s="464">
        <f>IF(EU5="","",IF(EY5=0,0,IF(OR(Main!$H$10=Main!$BH$4,Main!$H$10=Main!$BH$5),0,LOOKUP(FK5*DAY(EOMONTH(EV5,0))/(DAY(EW5)-DAY(EV5)+1),$H$184:$I$189))))</f>
        <v>0</v>
      </c>
      <c r="FN5" s="457">
        <f t="shared" si="64"/>
        <v>1</v>
      </c>
    </row>
    <row r="6" spans="1:170">
      <c r="A6" s="100"/>
      <c r="B6" s="504"/>
      <c r="C6" s="61"/>
      <c r="D6" s="61"/>
      <c r="E6" s="61"/>
      <c r="F6" s="61"/>
      <c r="G6" s="61"/>
      <c r="H6" s="469"/>
      <c r="I6" s="38" t="s">
        <v>1354</v>
      </c>
      <c r="K6" s="494">
        <f t="shared" si="65"/>
        <v>42156</v>
      </c>
      <c r="L6" s="495">
        <f t="shared" si="82"/>
        <v>42156</v>
      </c>
      <c r="M6" s="484">
        <f>IF(L6="","",MIN(EOMONTH(L6,0),VLOOKUP(L6,'IN RPS-2015'!$O$164:$P$202,2,TRUE)-1,LOOKUP(L6,$E$47:$F$53)-1,IF(L6&lt;$B$2,$B$2-1,'IN RPS-2015'!$Q$9),IF(L6&lt;$B$3,$B$3-1,'IN RPS-2015'!$Q$9),IF(L6&lt;$B$4,$B$4-1,'IN RPS-2015'!$Q$9),LOOKUP(L6,$H$47:$I$53)))</f>
        <v>42185</v>
      </c>
      <c r="N6" s="496">
        <f>IF(L6="","",VLOOKUP(L6,'Advance Tax'!$A$3:$C$14,3))</f>
        <v>25600</v>
      </c>
      <c r="O6" s="497">
        <f t="shared" si="52"/>
        <v>25600</v>
      </c>
      <c r="P6" s="497">
        <f>IF(L6="","",ROUND(IF(AD6=3,0,IF(AD6=2,IF(N6=VLOOKUP(N6,'IN RPS-2015'!$I$2:$J$5,1),0,Main!$H$9)/2,IF(N6=VLOOKUP(N6,'IN RPS-2015'!$I$2:$J$5,1),0,Main!$H$9)))*(DAY(M6)-DAY(L6)+1)/DAY(EOMONTH(L6,0)),0))</f>
        <v>105</v>
      </c>
      <c r="Q6" s="457">
        <f>IF(L6="","",IF(N6=VLOOKUP(N6,'IN RPS-2015'!$I$2:$J$5,1),0,ROUND(O6*IF(L6&lt;Main!$C$27,VLOOKUP(L6,$H$9:$J$12,3),VLOOKUP(L6,$H$9:$J$12,2))%,0)))</f>
        <v>19941</v>
      </c>
      <c r="R6" s="457">
        <f>IF(L6="","",IF(OR(AD6=3,N6=VLOOKUP(N6,'IN RPS-2015'!$I$2:$J$5,1)),0,ROUND(MIN(ROUND(N6*VLOOKUP(L6,$B$1:$G$4,2)%,0),VLOOKUP(L6,$B$2:$I$4,IF(L6&lt;$G$7,7,8),TRUE))*(DAY(M6)-DAY(L6)+1)/DAY(EOMONTH(L6,0)),0)))</f>
        <v>5120</v>
      </c>
      <c r="S6" s="486">
        <f>IF(L6="","",IF(Main!$C$26="UGC",0,IF(OR(L6&lt;DATE(2010,4,1),$I$6=VLOOKUP(L6,$B$2:$G$4,5,TRUE),N6=VLOOKUP(N6,'IN RPS-2015'!$I$2:$J$5,1)),0,ROUND(IF(AD6=3,0,IF(AD6=2,MIN(ROUND(N6*$G$13%,0),IF(L6&lt;$J$152,$G$14,$G$15))/2,MIN(ROUND(N6*$G$13%,0),IF(L6&lt;$J$152,$G$14,$G$15))))*(DAY(M6)-DAY(L6)+1)/DAY(EOMONTH(L6,0)),0))))</f>
        <v>0</v>
      </c>
      <c r="T6" s="457">
        <f>IF(L6="","",IF(Main!$C$26="UGC",0,IF(N6=VLOOKUP(N6,'IN RPS-2015'!$I$2:$J$5,1),0,ROUND(O6*VLOOKUP(L6,$H$205:$I$206,2)%,0))))</f>
        <v>6912</v>
      </c>
      <c r="U6" s="457">
        <f>IF(L6="","",IF(Main!$C$26="UGC",0,IF(L6&lt;DATE(2010,4,1),0,IF(OR(AD6=2,AD6=3,N6=VLOOKUP(N6,'IN RPS-2015'!$I$2:$J$5,1)),0,ROUND(IF(L6&lt;$J$152,VLOOKUP(L6,$B$1:$G$4,4),VLOOKUP(VLOOKUP(L6,$B$1:$G$4,4),Main!$CE$2:$CF$5,2,FALSE))*(DAY(M6)-DAY(L6)+1)/DAY(EOMONTH(L6,0)),0)))))</f>
        <v>0</v>
      </c>
      <c r="V6" s="457">
        <f>IF(L6="","",IF(OR(AD6=2,AD6=3,$D$31=$D$28,N6=VLOOKUP(N6,'IN RPS-2015'!$I$2:$J$5,1)),0,ROUND(MIN(VLOOKUP(K6,$A$27:$C$29,2,TRUE),ROUND(N6*VLOOKUP(K6,$A$27:$C$29,3,TRUE)%,0))*IF(K6=$A$36,$C$36,IF(K6=$A$37,$C$37,IF(K6=$A$38,$C$38,IF(K6=$A$39,$C$39,IF(K6=$A$40,$C$40,IF(K6=$A$41,$C$41,1))))))*(DAY(M6)-DAY(L6)+1)/DAY(EOMONTH(L6,0)),0)))</f>
        <v>480</v>
      </c>
      <c r="W6" s="457">
        <f>IF(L6="","",IF(Main!$C$26="UGC",0,IF(OR(AD6=3,N6=VLOOKUP(N6,'IN RPS-2015'!$I$2:$J$5,1)),0,ROUND(IF(AD6=2,VLOOKUP(N6,IF(L6&lt;$G$7,$A$20:$E$23,$F$144:$J$147),IF($B$19=VLOOKUP(L6,$B$2:$G$4,3,TRUE),2,IF($C$19=VLOOKUP(L6,$B$2:$G$4,3,TRUE),3,IF($D$19=VLOOKUP(L6,$B$2:$G$4,3,TRUE),4,5))),TRUE),VLOOKUP(N6,IF(L6&lt;$G$7,$A$20:$E$23,$F$144:$J$147),IF($B$19=VLOOKUP(L6,$B$2:$G$4,3,TRUE),2,IF($C$19=VLOOKUP(L6,$B$2:$G$4,3,TRUE),3,IF($D$19=VLOOKUP(L6,$B$2:$G$4,3,TRUE),4,5))),TRUE))*(DAY(M6)-DAY(L6)+1)/DAY(EOMONTH(L6,0)),0))))</f>
        <v>140</v>
      </c>
      <c r="X6" s="457">
        <f>IF(L6="","",IF(Main!$C$26="UGC",0,IF(OR(K6&lt;DATE(2010,4,1),AD6=3,N6=VLOOKUP(N6,'IN RPS-2015'!$I$2:$J$5,1)),0,ROUND(IF(AD6=2,IF(L6&lt;$J$152,Main!$L$9,Main!$CI$3)/2,IF(L6&lt;$J$152,Main!$L$9,Main!$CI$3))*(DAY(M6)-DAY(L6)+1)/DAY(EOMONTH(L6,0)),0))))</f>
        <v>0</v>
      </c>
      <c r="Y6" s="497"/>
      <c r="Z6" s="457">
        <f>IF(L6="","",IF(Main!$C$26="UGC",0,IF(OR(AD6=3,N6=VLOOKUP(N6,'IN RPS-2015'!$I$2:$J$5,1)),0,ROUND(IF(AD6=2,VLOOKUP(O6,IF(L6&lt;$J$152,$A$154:$E$159,$F$154:$J$159),IF($B$10=VLOOKUP(K6,$B$2:$G$4,6,TRUE),2,IF($B$10=VLOOKUP(K6,$B$2:$G$4,6,TRUE),3,IF($D$10=VLOOKUP(K6,$B$2:$G$4,6,TRUE),4,5))))/2,VLOOKUP(O6,IF(L6&lt;$J$152,$A$154:$E$159,$F$154:$J$159),IF($B$10=VLOOKUP(K6,$B$2:$G$4,6,TRUE),2,IF($B$10=VLOOKUP(K6,$B$2:$G$4,6,TRUE),3,IF($D$10=VLOOKUP(K6,$B$2:$G$4,6,TRUE),4,5)))))*(DAY(M6)-DAY(L6)+1)/DAY(EOMONTH(L6,0)),0))))</f>
        <v>0</v>
      </c>
      <c r="AA6" s="497">
        <f t="shared" si="83"/>
        <v>58298</v>
      </c>
      <c r="AB6" s="497"/>
      <c r="AC6" s="497"/>
      <c r="AD6" s="497">
        <f t="shared" si="53"/>
        <v>1</v>
      </c>
      <c r="AE6" s="497"/>
      <c r="AF6" s="750">
        <f>IF($H$111&lt;AK1,$A$50,$H$11)</f>
        <v>42186</v>
      </c>
      <c r="AG6" s="498">
        <f>IF($AG$3=$I$29,$J$11,$I$11)</f>
        <v>15.196</v>
      </c>
      <c r="AH6" s="461"/>
      <c r="AI6" s="499" t="str">
        <f t="shared" si="54"/>
        <v/>
      </c>
      <c r="AJ6" s="500" t="str">
        <f t="shared" si="84"/>
        <v/>
      </c>
      <c r="AK6" s="484" t="str">
        <f>IF(AJ6="","",MIN(EOMONTH(AJ6,0),VLOOKUP(AJ6,'IN RPS-2015'!$O$164:$P$202,2,TRUE)-1,LOOKUP(AJ6,$E$47:$F$53)-1,IF(AJ6&lt;$B$2,$B$2-1,'IN RPS-2015'!$Q$9),IF(AJ6&lt;$B$3,$B$3-1,'IN RPS-2015'!$Q$9),IF(AJ6&lt;$B$4,$B$4-1,'IN RPS-2015'!$Q$9),LOOKUP(AJ6,$H$47:$I$53)))</f>
        <v/>
      </c>
      <c r="AL6" s="490" t="str">
        <f>IF(AJ6="","",VLOOKUP(AJ6,'IN RPS-2015'!$P$164:$AA$202,9))</f>
        <v/>
      </c>
      <c r="AM6" s="461" t="str">
        <f t="shared" si="66"/>
        <v/>
      </c>
      <c r="AN6" s="461" t="str">
        <f>IF(AJ6="","",IF(AND($AG$3=$AG$1,AJ6&lt;=$AZ$1),0,ROUND(IF(BB6=3,0,IF(BB6=2,IF(AL6=VLOOKUP(AL6,'IN RPS-2015'!$I$2:$J$5,1),0,Main!$H$9)/2,IF(AL6=VLOOKUP(AL6,'IN RPS-2015'!$I$2:$J$5,1),0,Main!$H$9)))*(DAY(AK6)-DAY(AJ6)+1)/DAY(EOMONTH(AJ6,0)),0)))</f>
        <v/>
      </c>
      <c r="AO6" s="461" t="str">
        <f>IF(AJ6="","",IF(AND($AG$3=$AG$1,AJ6&lt;=$AZ$1),0,IF(AL6=VLOOKUP(AL6,'IN RPS-2015'!$I$2:$J$5,1),0,ROUND(AM6*VLOOKUP(AJ6,$AF$4:$AG$7,2)%,0))))</f>
        <v/>
      </c>
      <c r="AP6" s="461" t="str">
        <f>IF(AJ6="","",IF(AND($AG$3=$AG$1,AJ6&lt;=$AZ$1),0,IF(OR(BB6=3,AL6=VLOOKUP(AL6,'IN RPS-2015'!$I$2:$J$5,1)),0,ROUND(MIN(ROUND(AL6*VLOOKUP(AJ6,$B$1:$G$4,2)%,0),VLOOKUP(AJ6,$B$2:$I$4,IF($AG$3=$I$29,7,8),TRUE))*(DAY(AK6)-DAY(AJ6)+1)/DAY(EOMONTH(AJ6,0)),0))))</f>
        <v/>
      </c>
      <c r="AQ6" s="491" t="str">
        <f>IF(AJ6="","",IF(AND($AG$3=$AG$1,AJ6&lt;=$AZ$1),0,IF(Main!$C$26="UGC",0,IF(OR(AJ6&lt;DATE(2010,4,1),$I$6=VLOOKUP(AJ6,$B$2:$G$4,5,TRUE),AL6=VLOOKUP(AL6,'IN RPS-2015'!$I$2:$J$5,1)),0,ROUND(IF(BB6=3,0,IF(BB6=2,MIN(ROUND(AL6*$G$13%,0),IF(AJ6&lt;$J$152,$G$14,$G$15))/2,MIN(ROUND(AL6*$G$13%,0),IF(AJ6&lt;$J$152,$G$14,$G$15))))*(DAY(AK6)-DAY(AJ6)+1)/DAY(EOMONTH(AJ6,0)),0)))))</f>
        <v/>
      </c>
      <c r="AR6" s="461" t="str">
        <f>IF(AJ6="","",IF(AND($AG$3=$AG$1,AJ6&lt;=$AZ$1),0,IF(Main!$C$26="UGC",0,IF(AL6=VLOOKUP(AL6,'IN RPS-2015'!$I$2:$J$5,1),0,ROUND(AM6*VLOOKUP(AJ6,$AF$11:$AG$12,2)%,0)))))</f>
        <v/>
      </c>
      <c r="AS6" s="461" t="str">
        <f>IF(AJ6="","",IF(AND($AG$3=$AG$1,AJ6&lt;=$AZ$1),0,IF(Main!$C$26="UGC",0,IF(AJ6&lt;DATE(2010,4,1),0,IF(OR(BB6=2,BB6=3,AL6=VLOOKUP(AL6,'IN RPS-2015'!$I$2:$J$5,1)),0,ROUND(IF(AJ6&lt;$J$152,VLOOKUP(AJ6,$B$1:$G$4,4),VLOOKUP(VLOOKUP(AJ6,$B$1:$G$4,4),Main!$CE$2:$CF$5,2,FALSE))*(DAY(AK6)-DAY(AJ6)+1)/DAY(EOMONTH(AJ6,0)),0))))))</f>
        <v/>
      </c>
      <c r="AT6" s="461" t="str">
        <f>IF(AJ6="","",IF(AND($AG$3=$AG$1,AJ6&lt;=$AZ$1),0,IF(OR(BB6=2,BB6=3,$D$31=$D$28,AL6=VLOOKUP(AL6,'IN RPS-2015'!$I$2:$J$5,1)),0,ROUND(MIN(VLOOKUP(AI6,$A$27:$C$29,2,TRUE),ROUND(AL6*VLOOKUP(AI6,$A$27:$C$29,3,TRUE)%,0))*IF(AI6=$A$36,$C$36,IF(AI6=$A$37,$C$37,IF(AI6=$A$38,$C$38,IF(AI6=$A$39,$C$39,IF(AI6=$A$40,$C$40,IF(AI6=$A$41,$C$41,1))))))*(DAY(AK6)-DAY(AJ6)+1)/DAY(EOMONTH(AJ6,0)),0))))</f>
        <v/>
      </c>
      <c r="AU6" s="461" t="str">
        <f>IF(AJ6="","",IF(AND($AG$3=$AG$1,AJ6&lt;=$AZ$1),0,IF(Main!$C$26="UGC",0,IF(OR(BB6=3,AL6=VLOOKUP(AL6,'IN RPS-2015'!$I$2:$J$5,1)),0,ROUND(IF(BB6=2,VLOOKUP(AL6,IF($AG$3=$I$29,$A$20:$E$23,$F$144:$J$147),IF($B$19=VLOOKUP(AJ6,$B$2:$G$4,3,TRUE),2,IF($C$19=VLOOKUP(AJ6,$B$2:$G$4,3,TRUE),3,IF($D$19=VLOOKUP(AJ6,$B$2:$G$4,3,TRUE),4,5))),TRUE),VLOOKUP(AL6,IF($AG$3=$I$29,$A$20:$E$23,$F$144:$J$147),IF($B$19=VLOOKUP(AJ6,$B$2:$G$4,3,TRUE),2,IF($C$19=VLOOKUP(AJ6,$B$2:$G$4,3,TRUE),3,IF($D$19=VLOOKUP(AJ6,$B$2:$G$4,3,TRUE),4,5))),TRUE))*(DAY(AK6)-DAY(AJ6)+1)/DAY(EOMONTH(AJ6,0)),0)))))</f>
        <v/>
      </c>
      <c r="AV6" s="461" t="str">
        <f>IF(AJ6="","",IF(AND($AG$3=$AG$1,AJ6&lt;=$AZ$1),0,IF(Main!$C$26="UGC",0,IF(OR(AI6&lt;DATE(2010,4,1),BB6=3,AL6=VLOOKUP(AL6,'IN RPS-2015'!$I$2:$J$5,1)),0,ROUND(IF(BB6=2,IF(AJ6&lt;$J$152,Main!$L$9,Main!$CI$3)/2,IF(AJ6&lt;$J$152,Main!$L$9,Main!$CI$3))*(DAY(AK6)-DAY(AJ6)+1)/DAY(EOMONTH(AJ6,0)),0)))))</f>
        <v/>
      </c>
      <c r="AW6" s="461"/>
      <c r="AX6" s="461" t="str">
        <f>IF(AJ6="","",IF(AND($AG$3=$AG$1,AJ6&lt;=$AZ$1),0,IF(Main!$C$26="UGC",0,IF(OR(BB6=3,AL6=VLOOKUP(AL6,'IN RPS-2015'!$I$2:$J$5,1)),0,ROUND(IF(BB6=2,VLOOKUP(AM6,IF(AJ6&lt;$J$152,$A$154:$E$159,$F$154:$J$159),IF($B$10=VLOOKUP(AI6,$B$2:$G$4,6,TRUE),2,IF($B$10=VLOOKUP(AI6,$B$2:$G$4,6,TRUE),3,IF($D$10=VLOOKUP(AI6,$B$2:$G$4,6,TRUE),4,5))))/2,VLOOKUP(AM6,IF(AJ6&lt;$J$152,$A$154:$E$159,$F$154:$J$159),IF($B$10=VLOOKUP(AI6,$B$2:$G$4,6,TRUE),2,IF($B$10=VLOOKUP(AI6,$B$2:$G$4,6,TRUE),3,IF($D$10=VLOOKUP(AI6,$B$2:$G$4,6,TRUE),4,5)))))*(DAY(AK6)-DAY(AJ6)+1)/DAY(EOMONTH(AJ6,0)),0)))))</f>
        <v/>
      </c>
      <c r="AY6" s="461">
        <f t="shared" si="67"/>
        <v>0</v>
      </c>
      <c r="AZ6" s="464" t="str">
        <f>IF(AJ6="","",IF(AND($AG$3=$AG$1,AJ6&lt;=$AZ$1),0,IF(AND(Main!$F$22=Main!$CA$24,AJ6&gt;$AZ$1),ROUND(SUM(AM6,AO6)*10%,0),"")))</f>
        <v/>
      </c>
      <c r="BA6" s="464" t="str">
        <f>IF(AI6="","",IF(AND($AG$3=$AG$1,AJ6&lt;=$AZ$1),0,IF(OR(Main!$H$10=Main!$BH$4,Main!$H$10=Main!$BH$5),0,LOOKUP(AY6*DAY(EOMONTH(AJ6,0))/(DAY(AK6)-DAY(AJ6)+1),$H$184:$I$189))))</f>
        <v/>
      </c>
      <c r="BB6" s="497">
        <f t="shared" si="55"/>
        <v>1</v>
      </c>
      <c r="BC6" s="464"/>
      <c r="BD6" s="501" t="str">
        <f t="shared" si="56"/>
        <v/>
      </c>
      <c r="BE6" s="502" t="str">
        <f t="shared" si="85"/>
        <v/>
      </c>
      <c r="BF6" s="484" t="str">
        <f>IF(BE6="","",MIN(EOMONTH(BE6,0),VLOOKUP(BE6,'IN RPS-2015'!$O$164:$P$202,2,TRUE)-1,LOOKUP(BE6,$E$47:$F$53)-1,IF(BE6&lt;$B$2,$B$2-1,'IN RPS-2015'!$Q$9),IF(BE6&lt;$B$3,$B$3-1,'IN RPS-2015'!$Q$9),IF(BE6&lt;$B$4,$B$4-1,'IN RPS-2015'!$Q$9),LOOKUP(BE6,$H$47:$I$53)))</f>
        <v/>
      </c>
      <c r="BG6" s="493" t="str">
        <f>IF(BE6="","",VLOOKUP(BE6,'IN RPS-2015'!$P$164:$AA$202,10))</f>
        <v/>
      </c>
      <c r="BH6" s="461" t="str">
        <f t="shared" si="68"/>
        <v/>
      </c>
      <c r="BI6" s="461" t="str">
        <f>IF(BE6="","",IF(AND($AG$3=$AG$1,BE6&lt;=$AZ$1),0,ROUND(IF(BW6=3,0,IF(BW6=2,IF(BG6=VLOOKUP(BG6,'IN RPS-2015'!$I$2:$J$5,1),0,Main!$H$9)/2,IF(BG6=VLOOKUP(BG6,'IN RPS-2015'!$I$2:$J$5,1),0,Main!$H$9)))*(DAY(BF6)-DAY(BE6)+1)/DAY(EOMONTH(BE6,0)),0)))</f>
        <v/>
      </c>
      <c r="BJ6" s="461" t="str">
        <f>IF(BE6="","",IF(AND($AG$3=$AG$1,BE6&lt;=$AZ$1),0,IF(BG6=VLOOKUP(BG6,'IN RPS-2015'!$I$2:$J$5,1),0,ROUND(BH6*VLOOKUP(BE6,$AF$4:$AG$7,2)%,0))))</f>
        <v/>
      </c>
      <c r="BK6" s="461" t="str">
        <f>IF(BE6="","",IF(AND($AG$3=$AG$1,BE6&lt;=$AZ$1),0,IF(OR(BW6=3,BG6=VLOOKUP(BG6,'IN RPS-2015'!$I$2:$J$5,1)),0,ROUND(MIN(ROUND(BG6*VLOOKUP(BE6,$B$1:$G$4,2)%,0),VLOOKUP(BE6,$B$2:$I$4,IF($AG$3=$I$29,7,8),TRUE))*(DAY(BF6)-DAY(BE6)+1)/DAY(EOMONTH(BE6,0)),0))))</f>
        <v/>
      </c>
      <c r="BL6" s="491" t="str">
        <f>IF(BE6="","",IF(AND($AG$3=$AG$1,BE6&lt;=$AZ$1),0,IF(Main!$C$26="UGC",0,IF(OR(BE6&lt;DATE(2010,4,1),$I$6=VLOOKUP(BE6,$B$2:$G$4,5,TRUE),BG6=VLOOKUP(BG6,'IN RPS-2015'!$I$2:$J$5,1)),0,ROUND(IF(BW6=3,0,IF(BW6=2,MIN(ROUND(BG6*$G$13%,0),IF(BE6&lt;$J$152,$G$14,$G$15))/2,MIN(ROUND(BG6*$G$13%,0),IF(BE6&lt;$J$152,$G$14,$G$15))))*(DAY(BF6)-DAY(BE6)+1)/DAY(EOMONTH(BE6,0)),0)))))</f>
        <v/>
      </c>
      <c r="BM6" s="461" t="str">
        <f>IF(BE6="","",IF(AND($AG$3=$AG$1,BE6&lt;=$AZ$1),0,IF(Main!$C$26="UGC",0,IF(BG6=VLOOKUP(BG6,'IN RPS-2015'!$I$2:$J$5,1),0,ROUND(BH6*VLOOKUP(BE6,$AF$11:$AG$12,2)%,0)))))</f>
        <v/>
      </c>
      <c r="BN6" s="461" t="str">
        <f>IF(BE6="","",IF(AND($AG$3=$AG$1,BE6&lt;=$AZ$1),0,IF(Main!$C$26="UGC",0,IF(BE6&lt;DATE(2010,4,1),0,IF(OR(BW6=2,BW6=3,BG6=VLOOKUP(BG6,'IN RPS-2015'!$I$2:$J$5,1)),0,ROUND(IF(BE6&lt;$J$152,VLOOKUP(BE6,$B$1:$G$4,4),VLOOKUP(VLOOKUP(BE6,$B$1:$G$4,4),Main!$CE$2:$CF$5,2,FALSE))*(DAY(BF6)-DAY(BE6)+1)/DAY(EOMONTH(BE6,0)),0))))))</f>
        <v/>
      </c>
      <c r="BO6" s="461" t="str">
        <f>IF(BE6="","",IF(AND($AG$3=$AG$1,BE6&lt;=$AZ$1),0,IF(OR(BW6=2,BW6=3,$D$31=$D$28,BG6=VLOOKUP(BG6,'IN RPS-2015'!$I$2:$J$5,1)),0,ROUND(MIN(VLOOKUP(BD6,$A$27:$C$29,2,TRUE),ROUND(BG6*VLOOKUP(BD6,$A$27:$C$29,3,TRUE)%,0))*IF(BD6=$A$36,$C$36,IF(BD6=$A$37,$C$37,IF(BD6=$A$38,$C$38,IF(BD6=$A$39,$C$39,IF(BD6=$A$40,$C$40,IF(BD6=$A$41,$C$41,1))))))*(DAY(BF6)-DAY(BE6)+1)/DAY(EOMONTH(BE6,0)),0))))</f>
        <v/>
      </c>
      <c r="BP6" s="461" t="str">
        <f>IF(BE6="","",IF(AND($AG$3=$AG$1,BE6&lt;=$AZ$1),0,IF(Main!$C$26="UGC",0,IF(OR(BW6=3,BG6=VLOOKUP(BG6,'IN RPS-2015'!$I$2:$J$5,1)),0,ROUND(IF(BW6=2,VLOOKUP(BG6,IF($AG$3=$I$29,$A$20:$E$23,$F$144:$J$147),IF($B$19=VLOOKUP(BE6,$B$2:$G$4,3,TRUE),2,IF($C$19=VLOOKUP(BE6,$B$2:$G$4,3,TRUE),3,IF($D$19=VLOOKUP(BE6,$B$2:$G$4,3,TRUE),4,5))),TRUE),VLOOKUP(BG6,IF($AG$3=$I$29,$A$20:$E$23,$F$144:$J$147),IF($B$19=VLOOKUP(BE6,$B$2:$G$4,3,TRUE),2,IF($C$19=VLOOKUP(BE6,$B$2:$G$4,3,TRUE),3,IF($D$19=VLOOKUP(BE6,$B$2:$G$4,3,TRUE),4,5))),TRUE))*(DAY(BF6)-DAY(BE6)+1)/DAY(EOMONTH(BE6,0)),0)))))</f>
        <v/>
      </c>
      <c r="BQ6" s="461" t="str">
        <f>IF(BE6="","",IF(AND($AG$3=$AG$1,BE6&lt;=$AZ$1),0,IF(Main!$C$26="UGC",0,IF(OR(BD6&lt;DATE(2010,4,1),BW6=3,BG6=VLOOKUP(BG6,'IN RPS-2015'!$I$2:$J$5,1)),0,ROUND(IF(BW6=2,IF(BE6&lt;$J$152,Main!$L$9,Main!$CI$3)/2,IF(BE6&lt;$J$152,Main!$L$9,Main!$CI$3))*(DAY(BF6)-DAY(BE6)+1)/DAY(EOMONTH(BE6,0)),0)))))</f>
        <v/>
      </c>
      <c r="BR6" s="461"/>
      <c r="BS6" s="461" t="str">
        <f>IF(BE6="","",IF(AND($AG$3=$AG$1,BE6&lt;=$AZ$1),0,IF(Main!$C$26="UGC",0,IF(OR(BW6=3,BG6=VLOOKUP(BG6,'IN RPS-2015'!$I$2:$J$5,1)),0,ROUND(IF(BW6=2,VLOOKUP(BH6,IF(BE6&lt;$J$152,$A$154:$E$159,$F$154:$J$159),IF($B$10=VLOOKUP(BD6,$B$2:$G$4,6,TRUE),2,IF($B$10=VLOOKUP(BD6,$B$2:$G$4,6,TRUE),3,IF($D$10=VLOOKUP(BD6,$B$2:$G$4,6,TRUE),4,5))))/2,VLOOKUP(BH6,IF(BE6&lt;$J$152,$A$154:$E$159,$F$154:$J$159),IF($B$10=VLOOKUP(BD6,$B$2:$G$4,6,TRUE),2,IF($B$10=VLOOKUP(BD6,$B$2:$G$4,6,TRUE),3,IF($D$10=VLOOKUP(BD6,$B$2:$G$4,6,TRUE),4,5)))))*(DAY(BF6)-DAY(BE6)+1)/DAY(EOMONTH(BE6,0)),0)))))</f>
        <v/>
      </c>
      <c r="BT6" s="461">
        <f t="shared" si="69"/>
        <v>0</v>
      </c>
      <c r="BU6" s="464" t="str">
        <f>IF(BE6="","",IF(AND($AG$3=$AG$1,BE6&lt;=$AZ$1),0,IF(AND(Main!$F$22=Main!$CA$24,BE6&gt;$AZ$1),ROUND(SUM(BH6,BJ6)*10%,0),"")))</f>
        <v/>
      </c>
      <c r="BV6" s="464" t="str">
        <f>IF(BD6="","",IF(AND($AG$3=$AG$1,BE6&lt;=$AZ$1),0,IF(OR(Main!$H$10=Main!$BH$4,Main!$H$10=Main!$BH$5),0,LOOKUP(BT6*DAY(EOMONTH(BE6,0))/(DAY(BF6)-DAY(BE6)+1),$H$184:$I$189))))</f>
        <v/>
      </c>
      <c r="BW6" s="503">
        <f t="shared" si="70"/>
        <v>1</v>
      </c>
      <c r="BX6" s="457">
        <f t="shared" si="71"/>
        <v>0</v>
      </c>
      <c r="BY6" s="497"/>
      <c r="BZ6" s="750">
        <f>IF($H$111&lt;CE1,$A$50,$H$11)</f>
        <v>42186</v>
      </c>
      <c r="CA6" s="498">
        <f>IF($CA$3=$I$29,$J$11,$I$11)</f>
        <v>15.196</v>
      </c>
      <c r="CB6" s="461"/>
      <c r="CC6" s="499" t="str">
        <f t="shared" si="57"/>
        <v/>
      </c>
      <c r="CD6" s="500" t="str">
        <f t="shared" si="86"/>
        <v/>
      </c>
      <c r="CE6" s="484" t="str">
        <f>IF(CD6="","",MIN(EOMONTH(CD6,0),VLOOKUP(CD6,'IN RPS-2015'!$O$164:$P$202,2,TRUE)-1,LOOKUP(CD6,$E$47:$F$53)-1,IF(CD6&lt;$B$2,$B$2-1,'IN RPS-2015'!$Q$9),IF(CD6&lt;$B$3,$B$3-1,'IN RPS-2015'!$Q$9),IF(CD6&lt;$B$4,$B$4-1,'IN RPS-2015'!$Q$9),LOOKUP(CD6,$H$47:$I$53)))</f>
        <v/>
      </c>
      <c r="CF6" s="490" t="str">
        <f>IF(CD6="","",VLOOKUP(CD6,'IN RPS-2015'!$T$207:$Y$222,5))</f>
        <v/>
      </c>
      <c r="CG6" s="461" t="str">
        <f t="shared" si="72"/>
        <v/>
      </c>
      <c r="CH6" s="461" t="str">
        <f>IF(CD6="","",IF(AND($CA$3=$CA$1,CD6&lt;=$CT$1),0,ROUND(IF(CV6=3,0,IF(CV6=2,IF(CF6=VLOOKUP(CF6,'IN RPS-2015'!$I$2:$J$5,1),0,Main!$H$9)/2,IF(CF6=VLOOKUP(CF6,'IN RPS-2015'!$I$2:$J$5,1),0,Main!$H$9)))*(DAY(CE6)-DAY(CD6)+1)/DAY(EOMONTH(CD6,0)),0)))</f>
        <v/>
      </c>
      <c r="CI6" s="461" t="str">
        <f>IF(CD6="","",IF(AND($CA$3=$CA$1,CD6&lt;=$CT$1),0,IF(CF6=VLOOKUP(CF6,'IN RPS-2015'!$I$2:$J$5,1),0,ROUND(CG6*VLOOKUP(CD6,$BZ$4:$CA$7,2)%,0))))</f>
        <v/>
      </c>
      <c r="CJ6" s="461" t="str">
        <f>IF(CD6="","",IF(AND($CA$3=$CA$1,CD6&lt;=$CT$1),0,IF(OR(CV6=3,CF6=VLOOKUP(CF6,'IN RPS-2015'!$I$2:$J$5,1)),0,ROUND(MIN(ROUND(CF6*VLOOKUP(CD6,$B$1:$G$4,2)%,0),VLOOKUP(CD6,$B$2:$I$4,IF($CA$3=$I$29,7,8),TRUE))*(DAY(CE6)-DAY(CD6)+1)/DAY(EOMONTH(CD6,0)),0))))</f>
        <v/>
      </c>
      <c r="CK6" s="491" t="str">
        <f>IF(CD6="","",IF(AND($CA$3=$CA$1,CD6&lt;=$CT$1),0,IF(Main!$C$26="UGC",0,IF(OR(CD6&lt;DATE(2010,4,1),$I$6=VLOOKUP(CD6,$B$2:$G$4,5,TRUE),CF6=VLOOKUP(CF6,'IN RPS-2015'!$I$2:$J$5,1)),0,ROUND(IF(CV6=3,0,IF(CV6=2,MIN(ROUND(CF6*$G$13%,0),IF(CD6&lt;$J$152,$G$14,$G$15))/2,MIN(ROUND(CF6*$G$13%,0),IF(CD6&lt;$J$152,$G$14,$G$15))))*(DAY(CE6)-DAY(CD6)+1)/DAY(EOMONTH(CD6,0)),0)))))</f>
        <v/>
      </c>
      <c r="CL6" s="461" t="str">
        <f>IF(CD6="","",IF(AND($CA$3=$CA$1,CD6&lt;=$CT$1),0,IF(Main!$C$26="UGC",0,IF(CF6=VLOOKUP(CF6,'IN RPS-2015'!$I$2:$J$5,1),0,ROUND(CG6*VLOOKUP(CD6,$BZ$11:$CA$12,2)%,0)))))</f>
        <v/>
      </c>
      <c r="CM6" s="461" t="str">
        <f>IF(CD6="","",IF(AND($CA$3=$CA$1,CD6&lt;=$CT$1),0,IF(Main!$C$26="UGC",0,IF(CD6&lt;DATE(2010,4,1),0,IF(OR(CV6=2,CV6=3,CF6=VLOOKUP(CF6,'IN RPS-2015'!$I$2:$J$5,1)),0,ROUND(IF(CD6&lt;$J$152,VLOOKUP(CD6,$B$1:$G$4,4),VLOOKUP(VLOOKUP(CD6,$B$1:$G$4,4),Main!$CE$2:$CF$5,2,FALSE))*(DAY(CE6)-DAY(CD6)+1)/DAY(EOMONTH(CD6,0)),0))))))</f>
        <v/>
      </c>
      <c r="CN6" s="461" t="str">
        <f>IF(CD6="","",IF(AND($CA$3=$CA$1,CD6&lt;=$CT$1),0,IF(OR(CV6=2,CV6=3,$D$31=$D$28,CF6=VLOOKUP(CF6,'IN RPS-2015'!$I$2:$J$5,1)),0,ROUND(MIN(VLOOKUP(CC6,$A$27:$C$29,2,TRUE),ROUND(CF6*VLOOKUP(CC6,$A$27:$C$29,3,TRUE)%,0))*IF(CC6=$A$36,$C$36,IF(CC6=$A$37,$C$37,IF(CC6=$A$38,$C$38,IF(CC6=$A$39,$C$39,IF(CC6=$A$40,$C$40,IF(CC6=$A$41,$C$41,1))))))*(DAY(CE6)-DAY(CD6)+1)/DAY(EOMONTH(CD6,0)),0))))</f>
        <v/>
      </c>
      <c r="CO6" s="461" t="str">
        <f>IF(CD6="","",IF(AND($CA$3=$CA$1,CD6&lt;=$CT$1),0,IF(Main!$C$26="UGC",0,IF(OR(CV6=3,CF6=VLOOKUP(CF6,'IN RPS-2015'!$I$2:$J$5,1)),0,ROUND(IF(CV6=2,VLOOKUP(CF6,IF($CA$3=$I$29,$A$20:$E$23,$F$144:$J$147),IF($B$19=VLOOKUP(CD6,$B$2:$G$4,3,TRUE),2,IF($C$19=VLOOKUP(CD6,$B$2:$G$4,3,TRUE),3,IF($D$19=VLOOKUP(CD6,$B$2:$G$4,3,TRUE),4,5))),TRUE),VLOOKUP(CF6,IF($CA$3=$I$29,$A$20:$E$23,$F$144:$J$147),IF($B$19=VLOOKUP(CD6,$B$2:$G$4,3,TRUE),2,IF($C$19=VLOOKUP(CD6,$B$2:$G$4,3,TRUE),3,IF($D$19=VLOOKUP(CD6,$B$2:$G$4,3,TRUE),4,5))),TRUE))*(DAY(CE6)-DAY(CD6)+1)/DAY(EOMONTH(CD6,0)),0)))))</f>
        <v/>
      </c>
      <c r="CP6" s="461" t="str">
        <f>IF(CD6="","",IF(AND($CA$3=$CA$1,CD6&lt;=$CT$1),0,IF(Main!$C$26="UGC",0,IF(OR(CC6&lt;DATE(2010,4,1),CV6=3,CF6=VLOOKUP(CF6,'IN RPS-2015'!$I$2:$J$5,1)),0,ROUND(IF(CV6=2,IF(CD6&lt;$J$152,Main!$L$9,Main!$CI$3)/2,IF(CD6&lt;$J$152,Main!$L$9,Main!$CI$3))*(DAY(CE6)-DAY(CD6)+1)/DAY(EOMONTH(CD6,0)),0)))))</f>
        <v/>
      </c>
      <c r="CQ6" s="461"/>
      <c r="CR6" s="461" t="str">
        <f>IF(CD6="","",IF(AND($CA$3=$CA$1,CD6&lt;=$CT$1),0,IF(Main!$C$26="UGC",0,IF(OR(CV6=3,CF6=VLOOKUP(CF6,'IN RPS-2015'!$I$2:$J$5,1)),0,ROUND(IF(CV6=2,VLOOKUP(CG6,IF(CD6&lt;$J$152,$A$154:$E$159,$F$154:$J$159),IF($B$10=VLOOKUP(CC6,$B$2:$G$4,6,TRUE),2,IF($B$10=VLOOKUP(CC6,$B$2:$G$4,6,TRUE),3,IF($D$10=VLOOKUP(CC6,$B$2:$G$4,6,TRUE),4,5))))/2,VLOOKUP(CG6,IF(CD6&lt;$J$152,$A$154:$E$159,$F$154:$J$159),IF($B$10=VLOOKUP(CC6,$B$2:$G$4,6,TRUE),2,IF($B$10=VLOOKUP(CC6,$B$2:$G$4,6,TRUE),3,IF($D$10=VLOOKUP(CC6,$B$2:$G$4,6,TRUE),4,5)))))*(DAY(CE6)-DAY(CD6)+1)/DAY(EOMONTH(CD6,0)),0)))))</f>
        <v/>
      </c>
      <c r="CS6" s="461">
        <f t="shared" si="73"/>
        <v>0</v>
      </c>
      <c r="CT6" s="464" t="str">
        <f>IF(CD6="","",IF(AND($CA$3=$CA$1,CD6&lt;=$CT$1),0,IF(AND(Main!$F$22=Main!$CA$24,CD6&gt;$CT$1),ROUND(SUM(CG6,CI6)*10%,0),"")))</f>
        <v/>
      </c>
      <c r="CU6" s="464" t="str">
        <f>IF(CC6="","",IF(CG6=0,0,IF(OR(Main!$H$10=Main!$BH$4,Main!$H$10=Main!$BH$5),0,LOOKUP(CS6*DAY(EOMONTH(CD6,0))/(DAY(CE6)-DAY(CD6)+1),$H$184:$I$189))))</f>
        <v/>
      </c>
      <c r="CV6" s="457">
        <f t="shared" si="74"/>
        <v>1</v>
      </c>
      <c r="CW6" s="464"/>
      <c r="CX6" s="501" t="str">
        <f t="shared" si="59"/>
        <v/>
      </c>
      <c r="CY6" s="502" t="str">
        <f t="shared" si="87"/>
        <v/>
      </c>
      <c r="CZ6" s="484" t="str">
        <f>IF(CY6="","",MIN(EOMONTH(CY6,0),VLOOKUP(CY6,'IN RPS-2015'!$O$164:$P$202,2,TRUE)-1,LOOKUP(CY6,$E$47:$F$53)-1,IF(CY6&lt;$B$2,$B$2-1,'IN RPS-2015'!$Q$9),IF(CY6&lt;$B$3,$B$3-1,'IN RPS-2015'!$Q$9),IF(CY6&lt;$B$4,$B$4-1,'IN RPS-2015'!$Q$9),LOOKUP(CY6,$H$47:$I$53)))</f>
        <v/>
      </c>
      <c r="DA6" s="493" t="str">
        <f>IF(CY6="","",VLOOKUP(CY6,'IN RPS-2015'!$T$207:$Y$222,6))</f>
        <v/>
      </c>
      <c r="DB6" s="461" t="str">
        <f t="shared" si="75"/>
        <v/>
      </c>
      <c r="DC6" s="461" t="str">
        <f>IF(CY6="","",IF(AND($CA$3=$CA$1,CY6&lt;=$CT$1),0,ROUND(IF(DQ6=3,0,IF(DQ6=2,IF(DA6=VLOOKUP(DA6,'IN RPS-2015'!$I$2:$J$5,1),0,Main!$H$9)/2,IF(DA6=VLOOKUP(DA6,'IN RPS-2015'!$I$2:$J$5,1),0,Main!$H$9)))*(DAY(CZ6)-DAY(CY6)+1)/DAY(EOMONTH(CY6,0)),0)))</f>
        <v/>
      </c>
      <c r="DD6" s="461" t="str">
        <f>IF(CY6="","",IF(AND($CA$3=$CA$1,CY6&lt;=$CT$1),0,IF(DA6=VLOOKUP(DA6,'IN RPS-2015'!$I$2:$J$5,1),0,ROUND(DB6*VLOOKUP(CY6,$BZ$4:$CA$7,2)%,0))))</f>
        <v/>
      </c>
      <c r="DE6" s="461" t="str">
        <f>IF(CY6="","",IF(AND($CA$3=$CA$1,CY6&lt;=$CT$1),0,IF(OR(DQ6=3,DA6=VLOOKUP(DA6,'IN RPS-2015'!$I$2:$J$5,1)),0,ROUND(MIN(ROUND(DA6*VLOOKUP(CY6,$B$1:$G$4,2)%,0),VLOOKUP(CY6,$B$2:$I$4,IF($CA$3=$I$29,7,8),TRUE))*(DAY(CZ6)-DAY(CY6)+1)/DAY(EOMONTH(CY6,0)),0))))</f>
        <v/>
      </c>
      <c r="DF6" s="491" t="str">
        <f>IF(CY6="","",IF(AND($CA$3=$CA$1,CY6&lt;=$CT$1),0,IF(Main!$C$26="UGC",0,IF(OR(CY6&lt;DATE(2010,4,1),$I$6=VLOOKUP(CY6,$B$2:$G$4,5,TRUE),DA6=VLOOKUP(DA6,'IN RPS-2015'!$I$2:$J$5,1)),0,ROUND(IF(DQ6=3,0,IF(DQ6=2,MIN(ROUND(DA6*$G$13%,0),IF(CY6&lt;$J$152,$G$14,$G$15))/2,MIN(ROUND(DA6*$G$13%,0),IF(CY6&lt;$J$152,$G$14,$G$15))))*(DAY(CZ6)-DAY(CY6)+1)/DAY(EOMONTH(CY6,0)),0)))))</f>
        <v/>
      </c>
      <c r="DG6" s="461" t="str">
        <f>IF(CY6="","",IF(AND($CA$3=$CA$1,CY6&lt;=$CT$1),0,IF(Main!$C$26="UGC",0,IF(DA6=VLOOKUP(DA6,'IN RPS-2015'!$I$2:$J$5,1),0,ROUND(DB6*VLOOKUP(CY6,$BZ$11:$CA$12,2)%,0)))))</f>
        <v/>
      </c>
      <c r="DH6" s="461" t="str">
        <f>IF(CY6="","",IF(AND($CA$3=$CA$1,CY6&lt;=$CT$1),0,IF(Main!$C$26="UGC",0,IF(CY6&lt;DATE(2010,4,1),0,IF(OR(DQ6=2,DQ6=3,DA6=VLOOKUP(DA6,'IN RPS-2015'!$I$2:$J$5,1)),0,ROUND(IF(CY6&lt;$J$152,VLOOKUP(CY6,$B$1:$G$4,4),VLOOKUP(VLOOKUP(CY6,$B$1:$G$4,4),Main!$CE$2:$CF$5,2,FALSE))*(DAY(CZ6)-DAY(CY6)+1)/DAY(EOMONTH(CY6,0)),0))))))</f>
        <v/>
      </c>
      <c r="DI6" s="461" t="str">
        <f>IF(CY6="","",IF(AND($CA$3=$CA$1,CY6&lt;=$CT$1),0,IF(OR(DQ6=2,DQ6=3,$D$31=$D$28,DA6=VLOOKUP(DA6,'IN RPS-2015'!$I$2:$J$5,1)),0,ROUND(MIN(VLOOKUP(CX6,$A$27:$C$29,2,TRUE),ROUND(DA6*VLOOKUP(CX6,$A$27:$C$29,3,TRUE)%,0))*IF(CX6=$A$36,$C$36,IF(CX6=$A$37,$C$37,IF(CX6=$A$38,$C$38,IF(CX6=$A$39,$C$39,IF(CX6=$A$40,$C$40,IF(CX6=$A$41,$C$41,1))))))*(DAY(CZ6)-DAY(CY6)+1)/DAY(EOMONTH(CY6,0)),0))))</f>
        <v/>
      </c>
      <c r="DJ6" s="461" t="str">
        <f>IF(CY6="","",IF(AND($CA$3=$CA$1,CY6&lt;=$CT$1),0,IF(Main!$C$26="UGC",0,IF(OR(DQ6=3,DA6=VLOOKUP(DA6,'IN RPS-2015'!$I$2:$J$5,1)),0,ROUND(IF(DQ6=2,VLOOKUP(DA6,IF($CA$3=$I$29,$A$20:$E$23,$F$144:$J$147),IF($B$19=VLOOKUP(CY6,$B$2:$G$4,3,TRUE),2,IF($C$19=VLOOKUP(CY6,$B$2:$G$4,3,TRUE),3,IF($D$19=VLOOKUP(CY6,$B$2:$G$4,3,TRUE),4,5))),TRUE),VLOOKUP(DA6,IF($CA$3=$I$29,$A$20:$E$23,$F$144:$J$147),IF($B$19=VLOOKUP(CY6,$B$2:$G$4,3,TRUE),2,IF($C$19=VLOOKUP(CY6,$B$2:$G$4,3,TRUE),3,IF($D$19=VLOOKUP(CY6,$B$2:$G$4,3,TRUE),4,5))),TRUE))*(DAY(CZ6)-DAY(CY6)+1)/DAY(EOMONTH(CY6,0)),0)))))</f>
        <v/>
      </c>
      <c r="DK6" s="461" t="str">
        <f>IF(CY6="","",IF(AND($CA$3=$CA$1,CY6&lt;=$CT$1),0,IF(Main!$C$26="UGC",0,IF(OR(CX6&lt;DATE(2010,4,1),DQ6=3,DA6=VLOOKUP(DA6,'IN RPS-2015'!$I$2:$J$5,1)),0,ROUND(IF(DQ6=2,IF(CY6&lt;$J$152,Main!$L$9,Main!$CI$3)/2,IF(CY6&lt;$J$152,Main!$L$9,Main!$CI$3))*(DAY(CZ6)-DAY(CY6)+1)/DAY(EOMONTH(CY6,0)),0)))))</f>
        <v/>
      </c>
      <c r="DL6" s="461"/>
      <c r="DM6" s="461" t="str">
        <f>IF(CY6="","",IF(AND($CA$3=$CA$1,CY6&lt;=$CT$1),0,IF(Main!$C$26="UGC",0,IF(OR(DQ6=3,DA6=VLOOKUP(DA6,'IN RPS-2015'!$I$2:$J$5,1)),0,ROUND(IF(DQ6=2,VLOOKUP(DB6,IF(CY6&lt;$J$152,$A$154:$E$159,$F$154:$J$159),IF($B$10=VLOOKUP(CX6,$B$2:$G$4,6,TRUE),2,IF($B$10=VLOOKUP(CX6,$B$2:$G$4,6,TRUE),3,IF($D$10=VLOOKUP(CX6,$B$2:$G$4,6,TRUE),4,5))))/2,VLOOKUP(DB6,IF(CY6&lt;$J$152,$A$154:$E$159,$F$154:$J$159),IF($B$10=VLOOKUP(CX6,$B$2:$G$4,6,TRUE),2,IF($B$10=VLOOKUP(CX6,$B$2:$G$4,6,TRUE),3,IF($D$10=VLOOKUP(CX6,$B$2:$G$4,6,TRUE),4,5)))))*(DAY(CZ6)-DAY(CY6)+1)/DAY(EOMONTH(CY6,0)),0)))))</f>
        <v/>
      </c>
      <c r="DN6" s="461">
        <f t="shared" si="76"/>
        <v>0</v>
      </c>
      <c r="DO6" s="464" t="str">
        <f>IF(CY6="","",IF(AND($CA$3=$CA$1,CY6&lt;=$CT$1),0,IF(AND(Main!$F$22=Main!$CA$24,CY6&gt;$CT$1),ROUND(SUM(DB6,DD6)*10%,0),"")))</f>
        <v/>
      </c>
      <c r="DP6" s="464" t="str">
        <f>IF(CX6="","",IF(AND($CA$3=$CA$1,CY6&lt;=$CT$1),0,IF(OR(Main!$H$10=Main!$BH$4,Main!$H$10=Main!$BH$5),0,LOOKUP(DN6*DAY(EOMONTH(CY6,0))/(DAY(CZ6)-DAY(CY6)+1),$H$184:$I$189))))</f>
        <v/>
      </c>
      <c r="DQ6" s="457">
        <f t="shared" si="60"/>
        <v>1</v>
      </c>
      <c r="DR6" s="457">
        <f t="shared" si="77"/>
        <v>0</v>
      </c>
      <c r="DS6" s="497"/>
      <c r="DT6" s="750">
        <f>IF($H$111&lt;DY1,$A$50,$H$11)</f>
        <v>42186</v>
      </c>
      <c r="DU6" s="498">
        <f>IF($DU$3=$I$29,$J$11,$I$11)</f>
        <v>15.196</v>
      </c>
      <c r="DV6" s="461"/>
      <c r="DW6" s="499" t="str">
        <f t="shared" si="61"/>
        <v/>
      </c>
      <c r="DX6" s="500" t="str">
        <f t="shared" si="88"/>
        <v/>
      </c>
      <c r="DY6" s="484" t="str">
        <f>IF(DX6="","",MIN(EOMONTH(DX6,0),VLOOKUP(DX6,'IN RPS-2015'!$O$164:$P$202,2,TRUE)-1,LOOKUP(DX6,$E$47:$F$53)-1,IF(DX6&lt;$B$2,$B$2-1,'IN RPS-2015'!$Q$9),IF(DX6&lt;$B$3,$B$3-1,'IN RPS-2015'!$Q$9),IF(DX6&lt;$B$4,$B$4-1,'IN RPS-2015'!$Q$9),LOOKUP(DX6,$H$47:$I$53)))</f>
        <v/>
      </c>
      <c r="DZ6" s="490" t="str">
        <f>IF(DX6="","",VLOOKUP(DX6,'IN RPS-2015'!$P$164:$AA$202,11))</f>
        <v/>
      </c>
      <c r="EA6" s="461" t="str">
        <f t="shared" si="78"/>
        <v/>
      </c>
      <c r="EB6" s="461" t="str">
        <f>IF(DX6="","",ROUND(IF(EP6=3,0,IF(EP6=2,IF(DZ6=VLOOKUP(DZ6,'IN RPS-2015'!$I$2:$J$5,1),0,Main!$H$9)/2,IF(DZ6=VLOOKUP(DZ6,'IN RPS-2015'!$I$2:$J$5,1),0,Main!$H$9)))*(DAY(DY6)-DAY(DX6)+1)/DAY(EOMONTH(DX6,0)),0))</f>
        <v/>
      </c>
      <c r="EC6" s="461" t="str">
        <f>IF(DX6="","",IF(DZ6=VLOOKUP(DZ6,'IN RPS-2015'!$I$2:$J$5,1),0,ROUND(EA6*VLOOKUP(DX6,$DT$4:$DU$7,2)%,0)))</f>
        <v/>
      </c>
      <c r="ED6" s="461" t="str">
        <f>IF(DX6="","",IF(OR(EP6=3,DZ6=VLOOKUP(DZ6,'IN RPS-2015'!$I$2:$J$5,1)),0,ROUND(MIN(ROUND(DZ6*VLOOKUP(DX6,$B$1:$G$4,2)%,0),VLOOKUP(DX6,$B$2:$I$4,IF($DU$3=$I$29,7,8),TRUE))*(DAY(DY6)-DAY(DX6)+1)/DAY(EOMONTH(DX6,0)),0)))</f>
        <v/>
      </c>
      <c r="EE6" s="491" t="str">
        <f>IF(DX6="","",IF(Main!$C$26="UGC",0,IF(OR(DX6&lt;DATE(2010,4,1),$I$6=VLOOKUP(DX6,$B$2:$G$4,5,TRUE),DZ6=VLOOKUP(DZ6,'IN RPS-2015'!$I$2:$J$5,1)),0,ROUND(IF(EP6=3,0,IF(EP6=2,MIN(ROUND(DZ6*$G$13%,0),IF(DX6&lt;$I$152,$G$14,$G$15))/2,MIN(ROUND(DZ6*$G$13%,0),IF(DX6&lt;$I$152,$G$14,$G$15))))*(DAY(DY6)-DAY(DX6)+1)/DAY(EOMONTH(DX6,0)),0))))</f>
        <v/>
      </c>
      <c r="EF6" s="461" t="str">
        <f>IF(DX6="","",IF(Main!$C$26="UGC",0,IF(DZ6=VLOOKUP(DZ6,'IN RPS-2015'!$I$2:$J$5,1),0,ROUND(EA6*VLOOKUP(DX6,$DT$11:$DU$12,2)%,0))))</f>
        <v/>
      </c>
      <c r="EG6" s="461" t="str">
        <f>IF(DX6="","",IF(Main!$C$26="UGC",0,IF(DX6&lt;DATE(2010,4,1),0,IF(OR(EP6=2,EP6=3,DZ6=VLOOKUP(DZ6,'IN RPS-2015'!$I$2:$J$5,1)),0,ROUND(IF(DX6&lt;$I$152,VLOOKUP(DX6,$B$1:$G$4,4),VLOOKUP(VLOOKUP(DX6,$B$1:$G$4,4),Main!$CE$2:$CF$5,2,FALSE))*(DAY(DY6)-DAY(DX6)+1)/DAY(EOMONTH(DX6,0)),0)))))</f>
        <v/>
      </c>
      <c r="EH6" s="461" t="str">
        <f>IF(DX6="","",IF(OR(EP6=2,EP6=3,$D$31=$D$28,DZ6=VLOOKUP(DZ6,'IN RPS-2015'!$I$2:$J$5,1)),0,ROUND(MIN(IF(DX6&lt;$I$152,900,1350),ROUND(DZ6*VLOOKUP(DW6,$A$27:$C$29,3,TRUE)%,0))*IF(DW6=$A$36,$C$36,IF(DW6=$A$37,$C$37,IF(DW6=$A$38,$C$38,IF(DW6=$A$39,$C$39,IF(DW6=$A$40,$C$40,IF(DW6=$A$41,$C$41,1))))))*(DAY(DY6)-DAY(DX6)+1)/DAY(EOMONTH(DX6,0)),0)))</f>
        <v/>
      </c>
      <c r="EI6" s="461" t="str">
        <f>IF(DX6="","",IF(Main!$C$26="UGC",0,IF(OR(EP6=3,DZ6=VLOOKUP(DZ6,'IN RPS-2015'!$I$2:$J$5,1)),0,ROUND(IF(EP6=2,VLOOKUP(DZ6,IF($DU$3=$I$29,$A$20:$E$23,$F$144:$J$147),IF($B$19=VLOOKUP(DX6,$B$2:$G$4,3,TRUE),2,IF($C$19=VLOOKUP(DX6,$B$2:$G$4,3,TRUE),3,IF($D$19=VLOOKUP(DX6,$B$2:$G$4,3,TRUE),4,5))),TRUE),VLOOKUP(DZ6,IF($DU$3=$I$29,$A$20:$E$23,$F$144:$J$147),IF($B$19=VLOOKUP(DX6,$B$2:$G$4,3,TRUE),2,IF($C$19=VLOOKUP(DX6,$B$2:$G$4,3,TRUE),3,IF($D$19=VLOOKUP(DX6,$B$2:$G$4,3,TRUE),4,5))),TRUE))*(DAY(DY6)-DAY(DX6)+1)/DAY(EOMONTH(DX6,0)),0))))</f>
        <v/>
      </c>
      <c r="EJ6" s="461" t="str">
        <f>IF(DX6="","",IF(Main!$C$26="UGC",0,IF(OR(DW6&lt;DATE(2010,4,1),EP6=3,DZ6=VLOOKUP(DZ6,'IN RPS-2015'!$I$2:$J$5,1)),0,ROUND(IF(EP6=2,IF(DX6&lt;$I$152,Main!$L$9,Main!$CI$3)/2,IF(DX6&lt;$I$152,Main!$L$9,Main!$CI$3))*(DAY(DY6)-DAY(DX6)+1)/DAY(EOMONTH(DX6,0)),0))))</f>
        <v/>
      </c>
      <c r="EK6" s="461"/>
      <c r="EL6" s="461" t="str">
        <f>IF(DX6="","",IF(Main!$C$26="UGC",0,IF(OR(EP6=3,DZ6=VLOOKUP(DZ6,'IN RPS-2015'!$I$2:$J$5,1)),0,ROUND(IF(EP6=2,VLOOKUP(EA6,IF(DX6&lt;$I$152,$A$154:$E$159,$F$154:$J$159),IF($B$10=VLOOKUP(DW6,$B$2:$G$4,6,TRUE),2,IF($B$10=VLOOKUP(DW6,$B$2:$G$4,6,TRUE),3,IF($D$10=VLOOKUP(DW6,$B$2:$G$4,6,TRUE),4,5))))/2,VLOOKUP(EA6,IF(DX6&lt;$I$152,$A$154:$E$159,$F$154:$J$159),IF($B$10=VLOOKUP(DW6,$B$2:$G$4,6,TRUE),2,IF($B$10=VLOOKUP(DW6,$B$2:$G$4,6,TRUE),3,IF($D$10=VLOOKUP(DW6,$B$2:$G$4,6,TRUE),4,5)))))*(DAY(DY6)-DAY(DX6)+1)/DAY(EOMONTH(DX6,0)),0))))</f>
        <v/>
      </c>
      <c r="EM6" s="461">
        <f t="shared" si="79"/>
        <v>0</v>
      </c>
      <c r="EN6" s="464" t="str">
        <f>IF(DX6="","",IF(AND(Main!$F$22=Main!$CA$24,DX6&gt;$EN$1),ROUND(SUM(EA6,EC6)*10%,0),""))</f>
        <v/>
      </c>
      <c r="EO6" s="464" t="str">
        <f>IF(DW6="","",IF(EA6=0,0,IF(OR(Main!$H$10=Main!$BH$4,Main!$H$10=Main!$BH$5),0,LOOKUP(EM6*DAY(EOMONTH(DX6,0))/(DAY(DY6)-DAY(DX6)+1),$H$184:$I$189))))</f>
        <v/>
      </c>
      <c r="EP6" s="457">
        <f t="shared" si="62"/>
        <v>1</v>
      </c>
      <c r="ER6" s="750">
        <f>IF($H$111&lt;EW1,$A$50,$H$11)</f>
        <v>42186</v>
      </c>
      <c r="ES6" s="498">
        <f>IF($ES$3=$I$29,$J$11,$I$11)</f>
        <v>88.167999999999992</v>
      </c>
      <c r="ET6" s="461"/>
      <c r="EU6" s="499" t="str">
        <f t="shared" si="63"/>
        <v/>
      </c>
      <c r="EV6" s="500" t="str">
        <f t="shared" si="89"/>
        <v/>
      </c>
      <c r="EW6" s="484" t="str">
        <f>IF(EV6="","",MIN(EOMONTH(EV6,0),VLOOKUP(EV6,'IN RPS-2015'!$O$164:$P$202,2,TRUE)-1,LOOKUP(EV6,$E$47:$F$53)-1,IF(EV6&lt;$B$2,$B$2-1,'IN RPS-2015'!$Q$9),IF(EV6&lt;$B$3,$B$3-1,'IN RPS-2015'!$Q$9),IF(EV6&lt;$B$4,$B$4-1,'IN RPS-2015'!$Q$9),LOOKUP(EV6,$H$47:$I$53)))</f>
        <v/>
      </c>
      <c r="EX6" s="490" t="str">
        <f>IF(EV6="","",VLOOKUP(EV6,'IN RPS-2015'!$P$164:$AA$202,12))</f>
        <v/>
      </c>
      <c r="EY6" s="461" t="str">
        <f t="shared" si="80"/>
        <v/>
      </c>
      <c r="EZ6" s="461" t="str">
        <f>IF(EV6="","",ROUND(IF(FN6=3,0,IF(FN6=2,IF(EX6=VLOOKUP(EX6,'IN RPS-2015'!$I$2:$J$5,1),0,Main!$H$9)/2,IF(EX6=VLOOKUP(EX6,'IN RPS-2015'!$I$2:$J$5,1),0,Main!$H$9)))*(DAY(EW6)-DAY(EV6)+1)/DAY(EOMONTH(EV6,0)),0))</f>
        <v/>
      </c>
      <c r="FA6" s="461" t="str">
        <f>IF(EV6="","",IF(EX6=VLOOKUP(EX6,'IN RPS-2015'!$I$2:$J$5,1),0,ROUND(EY6*VLOOKUP(EV6,$ER$4:$ES$7,2)%,0)))</f>
        <v/>
      </c>
      <c r="FB6" s="461" t="str">
        <f>IF(EV6="","",IF(OR(FN6=3,EX6=VLOOKUP(EX6,'IN RPS-2015'!$I$2:$J$5,1)),0,ROUND(MIN(ROUND(EX6*VLOOKUP(EV6,$B$1:$G$4,2)%,0),VLOOKUP(EV6,$B$2:$I$4,IF($ES$3=$I$29,7,8),TRUE))*(DAY(EW6)-DAY(EV6)+1)/DAY(EOMONTH(EV6,0)),0)))</f>
        <v/>
      </c>
      <c r="FC6" s="491" t="str">
        <f>IF(EV6="","",IF(Main!$C$26="UGC",0,IF(OR(EV6&lt;DATE(2010,4,1),$I$6=VLOOKUP(EV6,$B$2:$G$4,5,TRUE),EX6=VLOOKUP(EX6,'IN RPS-2015'!$I$2:$J$5,1)),0,ROUND(IF(FN6=3,0,IF(FN6=2,MIN(ROUND(EX6*$G$13%,0),IF(EV6&lt;$J$152,$G$14,$G$15))/2,MIN(ROUND(EX6*$G$13%,0),IF(EV6&lt;$J$152,$G$14,$G$15))))*(DAY(EW6)-DAY(EV6)+1)/DAY(EOMONTH(EV6,0)),0))))</f>
        <v/>
      </c>
      <c r="FD6" s="461" t="str">
        <f>IF(EV6="","",IF(Main!$C$26="UGC",0,IF(EX6=VLOOKUP(EX6,'IN RPS-2015'!$I$2:$J$5,1),0,ROUND(EY6*VLOOKUP(EV6,$ER$11:$ES$12,2)%,0))))</f>
        <v/>
      </c>
      <c r="FE6" s="461" t="str">
        <f>IF(EV6="","",IF(Main!$C$26="UGC",0,IF(EV6&lt;DATE(2010,4,1),0,IF(OR(FN6=2,FN6=3,EX6=VLOOKUP(EX6,'IN RPS-2015'!$I$2:$J$5,1)),0,ROUND(IF(EV6&lt;$J$152,VLOOKUP(EV6,$B$1:$G$4,4),VLOOKUP(VLOOKUP(EV6,$B$1:$G$4,4),Main!$CE$2:$CF$5,2,FALSE))*(DAY(EW6)-DAY(EV6)+1)/DAY(EOMONTH(EV6,0)),0)))))</f>
        <v/>
      </c>
      <c r="FF6" s="461" t="str">
        <f>IF(EV6="","",IF(OR(FN6=2,FN6=3,$D$31=$D$28,EX6=VLOOKUP(EX6,'IN RPS-2015'!$I$2:$J$5,1)),0,ROUND(MIN(VLOOKUP(EU6,$A$27:$C$29,2,TRUE),ROUND(EX6*VLOOKUP(EU6,$A$27:$C$29,3,TRUE)%,0))*IF(EU6=$A$36,$C$36,IF(EU6=$A$37,$C$37,IF(EU6=$A$38,$C$38,IF(EU6=$A$39,$C$39,IF(EU6=$A$40,$C$40,IF(EU6=$A$41,$C$41,1))))))*(DAY(EW6)-DAY(EV6)+1)/DAY(EOMONTH(EV6,0)),0)))</f>
        <v/>
      </c>
      <c r="FG6" s="461" t="str">
        <f>IF(EV6="","",IF(Main!$C$26="UGC",0,IF(OR(FN6=3,EX6=VLOOKUP(EX6,'IN RPS-2015'!$I$2:$J$5,1)),0,ROUND(IF(FN6=2,VLOOKUP(EX6,IF($ES$3=$I$29,$A$20:$E$23,$F$144:$J$147),IF($B$19=VLOOKUP(EV6,$B$2:$G$4,3,TRUE),2,IF($C$19=VLOOKUP(EV6,$B$2:$G$4,3,TRUE),3,IF($D$19=VLOOKUP(EV6,$B$2:$G$4,3,TRUE),4,5))),TRUE),VLOOKUP(EX6,IF($ES$3=$I$29,$A$20:$E$23,$F$144:$J$147),IF($B$19=VLOOKUP(EV6,$B$2:$G$4,3,TRUE),2,IF($C$19=VLOOKUP(EV6,$B$2:$G$4,3,TRUE),3,IF($D$19=VLOOKUP(EV6,$B$2:$G$4,3,TRUE),4,5))),TRUE))*(DAY(EW6)-DAY(EV6)+1)/DAY(EOMONTH(EV6,0)),0))))</f>
        <v/>
      </c>
      <c r="FH6" s="461" t="str">
        <f>IF(EV6="","",IF(Main!$C$26="UGC",0,IF(OR(EU6&lt;DATE(2010,4,1),FN6=3,EX6=VLOOKUP(EX6,'IN RPS-2015'!$I$2:$J$5,1)),0,ROUND(IF(FN6=2,IF(EV6&lt;$J$152,Main!$L$9,Main!$CI$3)/2,IF(EV6&lt;$J$152,Main!$L$9,Main!$CI$3))*(DAY(EW6)-DAY(EV6)+1)/DAY(EOMONTH(EV6,0)),0))))</f>
        <v/>
      </c>
      <c r="FI6" s="461"/>
      <c r="FJ6" s="461" t="str">
        <f>IF(EV6="","",IF(Main!$C$26="UGC",0,IF(OR(FN6=3,EX6=VLOOKUP(EX6,'IN RPS-2015'!$I$2:$J$5,1)),0,ROUND(IF(FN6=2,VLOOKUP(EY6,IF(EV6&lt;$J$152,$A$154:$E$159,$F$154:$J$159),IF($B$10=VLOOKUP(EU6,$B$2:$G$4,6,TRUE),2,IF($B$10=VLOOKUP(EU6,$B$2:$G$4,6,TRUE),3,IF($D$10=VLOOKUP(EU6,$B$2:$G$4,6,TRUE),4,5))))/2,VLOOKUP(EY6,IF(EV6&lt;$J$152,$A$154:$E$159,$F$154:$J$159),IF($B$10=VLOOKUP(EU6,$B$2:$G$4,6,TRUE),2,IF($B$10=VLOOKUP(EU6,$B$2:$G$4,6,TRUE),3,IF($D$10=VLOOKUP(EU6,$B$2:$G$4,6,TRUE),4,5)))))*(DAY(EW6)-DAY(EV6)+1)/DAY(EOMONTH(EV6,0)),0))))</f>
        <v/>
      </c>
      <c r="FK6" s="461">
        <f t="shared" si="81"/>
        <v>0</v>
      </c>
      <c r="FL6" s="464" t="str">
        <f>IF(EV6="","",IF(AND(Main!$F$22=Main!$CA$24,EV6&gt;$FL$1),ROUND(SUM(EY6,FA6)*10%,0),""))</f>
        <v/>
      </c>
      <c r="FM6" s="464" t="str">
        <f>IF(EU6="","",IF(EY6=0,0,IF(OR(Main!$H$10=Main!$BH$4,Main!$H$10=Main!$BH$5),0,LOOKUP(FK6*DAY(EOMONTH(EV6,0))/(DAY(EW6)-DAY(EV6)+1),$H$184:$I$189))))</f>
        <v/>
      </c>
      <c r="FN6" s="457">
        <f t="shared" si="64"/>
        <v>1</v>
      </c>
    </row>
    <row r="7" spans="1:170">
      <c r="F7" s="733" t="s">
        <v>1884</v>
      </c>
      <c r="G7" s="734">
        <f>Main!C27</f>
        <v>42186</v>
      </c>
      <c r="H7" s="469"/>
      <c r="K7" s="494">
        <f t="shared" si="65"/>
        <v>42186</v>
      </c>
      <c r="L7" s="495">
        <f t="shared" si="82"/>
        <v>42186</v>
      </c>
      <c r="M7" s="484">
        <f>IF(L7="","",MIN(EOMONTH(L7,0),VLOOKUP(L7,'IN RPS-2015'!$O$164:$P$202,2,TRUE)-1,LOOKUP(L7,$E$47:$F$53)-1,IF(L7&lt;$B$2,$B$2-1,'IN RPS-2015'!$Q$9),IF(L7&lt;$B$3,$B$3-1,'IN RPS-2015'!$Q$9),IF(L7&lt;$B$4,$B$4-1,'IN RPS-2015'!$Q$9),LOOKUP(L7,$H$47:$I$53)))</f>
        <v>42216</v>
      </c>
      <c r="N7" s="496">
        <f>IF(L7="","",VLOOKUP(L7,'Advance Tax'!$A$3:$C$14,3))</f>
        <v>53950</v>
      </c>
      <c r="O7" s="497">
        <f t="shared" si="52"/>
        <v>53950</v>
      </c>
      <c r="P7" s="497">
        <f>IF(L7="","",ROUND(IF(AD7=3,0,IF(AD7=2,IF(N7=VLOOKUP(N7,'IN RPS-2015'!$I$2:$J$5,1),0,Main!$H$9)/2,IF(N7=VLOOKUP(N7,'IN RPS-2015'!$I$2:$J$5,1),0,Main!$H$9)))*(DAY(M7)-DAY(L7)+1)/DAY(EOMONTH(L7,0)),0))</f>
        <v>105</v>
      </c>
      <c r="Q7" s="457">
        <f>IF(L7="","",IF(N7=VLOOKUP(N7,'IN RPS-2015'!$I$2:$J$5,1),0,ROUND(O7*IF(L7&lt;Main!$C$27,VLOOKUP(L7,$H$9:$J$12,3),VLOOKUP(L7,$H$9:$J$12,2))%,0)))</f>
        <v>4806</v>
      </c>
      <c r="R7" s="457">
        <f>IF(L7="","",IF(OR(AD7=3,N7=VLOOKUP(N7,'IN RPS-2015'!$I$2:$J$5,1)),0,ROUND(MIN(ROUND(N7*VLOOKUP(L7,$B$1:$G$4,2)%,0),VLOOKUP(L7,$B$2:$I$4,IF(L7&lt;$G$7,7,8),TRUE))*(DAY(M7)-DAY(L7)+1)/DAY(EOMONTH(L7,0)),0)))</f>
        <v>10790</v>
      </c>
      <c r="S7" s="486">
        <f>IF(L7="","",IF(Main!$C$26="UGC",0,IF(OR(L7&lt;DATE(2010,4,1),$I$6=VLOOKUP(L7,$B$2:$G$4,5,TRUE),N7=VLOOKUP(N7,'IN RPS-2015'!$I$2:$J$5,1)),0,ROUND(IF(AD7=3,0,IF(AD7=2,MIN(ROUND(N7*$G$13%,0),IF(L7&lt;$J$152,$G$14,$G$15))/2,MIN(ROUND(N7*$G$13%,0),IF(L7&lt;$J$152,$G$14,$G$15))))*(DAY(M7)-DAY(L7)+1)/DAY(EOMONTH(L7,0)),0))))</f>
        <v>0</v>
      </c>
      <c r="T7" s="457">
        <f>IF(L7="","",IF(Main!$C$26="UGC",0,IF(N7=VLOOKUP(N7,'IN RPS-2015'!$I$2:$J$5,1),0,ROUND(O7*VLOOKUP(L7,$H$205:$I$206,2)%,0))))</f>
        <v>0</v>
      </c>
      <c r="U7" s="457">
        <f>IF(L7="","",IF(Main!$C$26="UGC",0,IF(L7&lt;DATE(2010,4,1),0,IF(OR(AD7=2,AD7=3,N7=VLOOKUP(N7,'IN RPS-2015'!$I$2:$J$5,1)),0,ROUND(IF(L7&lt;$J$152,VLOOKUP(L7,$B$1:$G$4,4),VLOOKUP(VLOOKUP(L7,$B$1:$G$4,4),Main!$CE$2:$CF$5,2,FALSE))*(DAY(M7)-DAY(L7)+1)/DAY(EOMONTH(L7,0)),0)))))</f>
        <v>0</v>
      </c>
      <c r="V7" s="457">
        <f>IF(L7="","",IF(OR(AD7=2,AD7=3,$D$31=$D$28,N7=VLOOKUP(N7,'IN RPS-2015'!$I$2:$J$5,1)),0,ROUND(MIN(VLOOKUP(K7,$A$27:$C$29,2,TRUE),ROUND(N7*VLOOKUP(K7,$A$27:$C$29,3,TRUE)%,0))*IF(K7=$A$36,$C$36,IF(K7=$A$37,$C$37,IF(K7=$A$38,$C$38,IF(K7=$A$39,$C$39,IF(K7=$A$40,$C$40,IF(K7=$A$41,$C$41,1))))))*(DAY(M7)-DAY(L7)+1)/DAY(EOMONTH(L7,0)),0)))</f>
        <v>900</v>
      </c>
      <c r="W7" s="457">
        <f>IF(L7="","",IF(Main!$C$26="UGC",0,IF(OR(AD7=3,N7=VLOOKUP(N7,'IN RPS-2015'!$I$2:$J$5,1)),0,ROUND(IF(AD7=2,VLOOKUP(N7,IF(L7&lt;$G$7,$A$20:$E$23,$F$144:$J$147),IF($B$19=VLOOKUP(L7,$B$2:$G$4,3,TRUE),2,IF($C$19=VLOOKUP(L7,$B$2:$G$4,3,TRUE),3,IF($D$19=VLOOKUP(L7,$B$2:$G$4,3,TRUE),4,5))),TRUE),VLOOKUP(N7,IF(L7&lt;$G$7,$A$20:$E$23,$F$144:$J$147),IF($B$19=VLOOKUP(L7,$B$2:$G$4,3,TRUE),2,IF($C$19=VLOOKUP(L7,$B$2:$G$4,3,TRUE),3,IF($D$19=VLOOKUP(L7,$B$2:$G$4,3,TRUE),4,5))),TRUE))*(DAY(M7)-DAY(L7)+1)/DAY(EOMONTH(L7,0)),0))))</f>
        <v>500</v>
      </c>
      <c r="X7" s="457">
        <f>IF(L7="","",IF(Main!$C$26="UGC",0,IF(OR(K7&lt;DATE(2010,4,1),AD7=3,N7=VLOOKUP(N7,'IN RPS-2015'!$I$2:$J$5,1)),0,ROUND(IF(AD7=2,IF(L7&lt;$J$152,Main!$L$9,Main!$CI$3)/2,IF(L7&lt;$J$152,Main!$L$9,Main!$CI$3))*(DAY(M7)-DAY(L7)+1)/DAY(EOMONTH(L7,0)),0))))</f>
        <v>0</v>
      </c>
      <c r="Y7" s="497"/>
      <c r="Z7" s="457">
        <f>IF(L7="","",IF(Main!$C$26="UGC",0,IF(OR(AD7=3,N7=VLOOKUP(N7,'IN RPS-2015'!$I$2:$J$5,1)),0,ROUND(IF(AD7=2,VLOOKUP(O7,IF(L7&lt;$J$152,$A$154:$E$159,$F$154:$J$159),IF($B$10=VLOOKUP(K7,$B$2:$G$4,6,TRUE),2,IF($B$10=VLOOKUP(K7,$B$2:$G$4,6,TRUE),3,IF($D$10=VLOOKUP(K7,$B$2:$G$4,6,TRUE),4,5))))/2,VLOOKUP(O7,IF(L7&lt;$J$152,$A$154:$E$159,$F$154:$J$159),IF($B$10=VLOOKUP(K7,$B$2:$G$4,6,TRUE),2,IF($B$10=VLOOKUP(K7,$B$2:$G$4,6,TRUE),3,IF($D$10=VLOOKUP(K7,$B$2:$G$4,6,TRUE),4,5)))))*(DAY(M7)-DAY(L7)+1)/DAY(EOMONTH(L7,0)),0))))</f>
        <v>0</v>
      </c>
      <c r="AA7" s="497">
        <f t="shared" si="83"/>
        <v>71051</v>
      </c>
      <c r="AB7" s="497"/>
      <c r="AC7" s="497"/>
      <c r="AD7" s="497">
        <f t="shared" si="53"/>
        <v>1</v>
      </c>
      <c r="AE7" s="497"/>
      <c r="AF7" s="750">
        <f>IF($H$12&lt;AK1,$A$51,$H$12)</f>
        <v>42795</v>
      </c>
      <c r="AG7" s="498">
        <f>IF($AG$3=$I$29,$J$12,$I$12)</f>
        <v>0</v>
      </c>
      <c r="AH7" s="461"/>
      <c r="AI7" s="499" t="str">
        <f t="shared" si="54"/>
        <v/>
      </c>
      <c r="AJ7" s="500" t="str">
        <f t="shared" si="84"/>
        <v/>
      </c>
      <c r="AK7" s="484" t="str">
        <f>IF(AJ7="","",MIN(EOMONTH(AJ7,0),VLOOKUP(AJ7,'IN RPS-2015'!$O$164:$P$202,2,TRUE)-1,LOOKUP(AJ7,$E$47:$F$53)-1,IF(AJ7&lt;$B$2,$B$2-1,'IN RPS-2015'!$Q$9),IF(AJ7&lt;$B$3,$B$3-1,'IN RPS-2015'!$Q$9),IF(AJ7&lt;$B$4,$B$4-1,'IN RPS-2015'!$Q$9),LOOKUP(AJ7,$H$47:$I$53)))</f>
        <v/>
      </c>
      <c r="AL7" s="490" t="str">
        <f>IF(AJ7="","",VLOOKUP(AJ7,'IN RPS-2015'!$P$164:$AA$202,9))</f>
        <v/>
      </c>
      <c r="AM7" s="461" t="str">
        <f t="shared" si="66"/>
        <v/>
      </c>
      <c r="AN7" s="461" t="str">
        <f>IF(AJ7="","",IF(AND($AG$3=$AG$1,AJ7&lt;=$AZ$1),0,ROUND(IF(BB7=3,0,IF(BB7=2,IF(AL7=VLOOKUP(AL7,'IN RPS-2015'!$I$2:$J$5,1),0,Main!$H$9)/2,IF(AL7=VLOOKUP(AL7,'IN RPS-2015'!$I$2:$J$5,1),0,Main!$H$9)))*(DAY(AK7)-DAY(AJ7)+1)/DAY(EOMONTH(AJ7,0)),0)))</f>
        <v/>
      </c>
      <c r="AO7" s="461" t="str">
        <f>IF(AJ7="","",IF(AND($AG$3=$AG$1,AJ7&lt;=$AZ$1),0,IF(AL7=VLOOKUP(AL7,'IN RPS-2015'!$I$2:$J$5,1),0,ROUND(AM7*VLOOKUP(AJ7,$AF$4:$AG$7,2)%,0))))</f>
        <v/>
      </c>
      <c r="AP7" s="461" t="str">
        <f>IF(AJ7="","",IF(AND($AG$3=$AG$1,AJ7&lt;=$AZ$1),0,IF(OR(BB7=3,AL7=VLOOKUP(AL7,'IN RPS-2015'!$I$2:$J$5,1)),0,ROUND(MIN(ROUND(AL7*VLOOKUP(AJ7,$B$1:$G$4,2)%,0),VLOOKUP(AJ7,$B$2:$I$4,IF($AG$3=$I$29,7,8),TRUE))*(DAY(AK7)-DAY(AJ7)+1)/DAY(EOMONTH(AJ7,0)),0))))</f>
        <v/>
      </c>
      <c r="AQ7" s="491" t="str">
        <f>IF(AJ7="","",IF(AND($AG$3=$AG$1,AJ7&lt;=$AZ$1),0,IF(Main!$C$26="UGC",0,IF(OR(AJ7&lt;DATE(2010,4,1),$I$6=VLOOKUP(AJ7,$B$2:$G$4,5,TRUE),AL7=VLOOKUP(AL7,'IN RPS-2015'!$I$2:$J$5,1)),0,ROUND(IF(BB7=3,0,IF(BB7=2,MIN(ROUND(AL7*$G$13%,0),IF(AJ7&lt;$J$152,$G$14,$G$15))/2,MIN(ROUND(AL7*$G$13%,0),IF(AJ7&lt;$J$152,$G$14,$G$15))))*(DAY(AK7)-DAY(AJ7)+1)/DAY(EOMONTH(AJ7,0)),0)))))</f>
        <v/>
      </c>
      <c r="AR7" s="461" t="str">
        <f>IF(AJ7="","",IF(AND($AG$3=$AG$1,AJ7&lt;=$AZ$1),0,IF(Main!$C$26="UGC",0,IF(AL7=VLOOKUP(AL7,'IN RPS-2015'!$I$2:$J$5,1),0,ROUND(AM7*VLOOKUP(AJ7,$AF$11:$AG$12,2)%,0)))))</f>
        <v/>
      </c>
      <c r="AS7" s="461" t="str">
        <f>IF(AJ7="","",IF(AND($AG$3=$AG$1,AJ7&lt;=$AZ$1),0,IF(Main!$C$26="UGC",0,IF(AJ7&lt;DATE(2010,4,1),0,IF(OR(BB7=2,BB7=3,AL7=VLOOKUP(AL7,'IN RPS-2015'!$I$2:$J$5,1)),0,ROUND(IF(AJ7&lt;$J$152,VLOOKUP(AJ7,$B$1:$G$4,4),VLOOKUP(VLOOKUP(AJ7,$B$1:$G$4,4),Main!$CE$2:$CF$5,2,FALSE))*(DAY(AK7)-DAY(AJ7)+1)/DAY(EOMONTH(AJ7,0)),0))))))</f>
        <v/>
      </c>
      <c r="AT7" s="461" t="str">
        <f>IF(AJ7="","",IF(AND($AG$3=$AG$1,AJ7&lt;=$AZ$1),0,IF(OR(BB7=2,BB7=3,$D$31=$D$28,AL7=VLOOKUP(AL7,'IN RPS-2015'!$I$2:$J$5,1)),0,ROUND(MIN(VLOOKUP(AI7,$A$27:$C$29,2,TRUE),ROUND(AL7*VLOOKUP(AI7,$A$27:$C$29,3,TRUE)%,0))*IF(AI7=$A$36,$C$36,IF(AI7=$A$37,$C$37,IF(AI7=$A$38,$C$38,IF(AI7=$A$39,$C$39,IF(AI7=$A$40,$C$40,IF(AI7=$A$41,$C$41,1))))))*(DAY(AK7)-DAY(AJ7)+1)/DAY(EOMONTH(AJ7,0)),0))))</f>
        <v/>
      </c>
      <c r="AU7" s="461" t="str">
        <f>IF(AJ7="","",IF(AND($AG$3=$AG$1,AJ7&lt;=$AZ$1),0,IF(Main!$C$26="UGC",0,IF(OR(BB7=3,AL7=VLOOKUP(AL7,'IN RPS-2015'!$I$2:$J$5,1)),0,ROUND(IF(BB7=2,VLOOKUP(AL7,IF($AG$3=$I$29,$A$20:$E$23,$F$144:$J$147),IF($B$19=VLOOKUP(AJ7,$B$2:$G$4,3,TRUE),2,IF($C$19=VLOOKUP(AJ7,$B$2:$G$4,3,TRUE),3,IF($D$19=VLOOKUP(AJ7,$B$2:$G$4,3,TRUE),4,5))),TRUE),VLOOKUP(AL7,IF($AG$3=$I$29,$A$20:$E$23,$F$144:$J$147),IF($B$19=VLOOKUP(AJ7,$B$2:$G$4,3,TRUE),2,IF($C$19=VLOOKUP(AJ7,$B$2:$G$4,3,TRUE),3,IF($D$19=VLOOKUP(AJ7,$B$2:$G$4,3,TRUE),4,5))),TRUE))*(DAY(AK7)-DAY(AJ7)+1)/DAY(EOMONTH(AJ7,0)),0)))))</f>
        <v/>
      </c>
      <c r="AV7" s="461" t="str">
        <f>IF(AJ7="","",IF(AND($AG$3=$AG$1,AJ7&lt;=$AZ$1),0,IF(Main!$C$26="UGC",0,IF(OR(AI7&lt;DATE(2010,4,1),BB7=3,AL7=VLOOKUP(AL7,'IN RPS-2015'!$I$2:$J$5,1)),0,ROUND(IF(BB7=2,IF(AJ7&lt;$J$152,Main!$L$9,Main!$CI$3)/2,IF(AJ7&lt;$J$152,Main!$L$9,Main!$CI$3))*(DAY(AK7)-DAY(AJ7)+1)/DAY(EOMONTH(AJ7,0)),0)))))</f>
        <v/>
      </c>
      <c r="AW7" s="461"/>
      <c r="AX7" s="461" t="str">
        <f>IF(AJ7="","",IF(AND($AG$3=$AG$1,AJ7&lt;=$AZ$1),0,IF(Main!$C$26="UGC",0,IF(OR(BB7=3,AL7=VLOOKUP(AL7,'IN RPS-2015'!$I$2:$J$5,1)),0,ROUND(IF(BB7=2,VLOOKUP(AM7,IF(AJ7&lt;$J$152,$A$154:$E$159,$F$154:$J$159),IF($B$10=VLOOKUP(AI7,$B$2:$G$4,6,TRUE),2,IF($B$10=VLOOKUP(AI7,$B$2:$G$4,6,TRUE),3,IF($D$10=VLOOKUP(AI7,$B$2:$G$4,6,TRUE),4,5))))/2,VLOOKUP(AM7,IF(AJ7&lt;$J$152,$A$154:$E$159,$F$154:$J$159),IF($B$10=VLOOKUP(AI7,$B$2:$G$4,6,TRUE),2,IF($B$10=VLOOKUP(AI7,$B$2:$G$4,6,TRUE),3,IF($D$10=VLOOKUP(AI7,$B$2:$G$4,6,TRUE),4,5)))))*(DAY(AK7)-DAY(AJ7)+1)/DAY(EOMONTH(AJ7,0)),0)))))</f>
        <v/>
      </c>
      <c r="AY7" s="461">
        <f t="shared" si="67"/>
        <v>0</v>
      </c>
      <c r="AZ7" s="464" t="str">
        <f>IF(AJ7="","",IF(AND($AG$3=$AG$1,AJ7&lt;=$AZ$1),0,IF(AND(Main!$F$22=Main!$CA$24,AJ7&gt;$AZ$1),ROUND(SUM(AM7,AO7)*10%,0),"")))</f>
        <v/>
      </c>
      <c r="BA7" s="464" t="str">
        <f>IF(AI7="","",IF(AND($AG$3=$AG$1,AJ7&lt;=$AZ$1),0,IF(OR(Main!$H$10=Main!$BH$4,Main!$H$10=Main!$BH$5),0,LOOKUP(AY7*DAY(EOMONTH(AJ7,0))/(DAY(AK7)-DAY(AJ7)+1),$H$184:$I$189))))</f>
        <v/>
      </c>
      <c r="BB7" s="497">
        <f t="shared" si="55"/>
        <v>1</v>
      </c>
      <c r="BC7" s="464"/>
      <c r="BD7" s="501" t="str">
        <f t="shared" si="56"/>
        <v/>
      </c>
      <c r="BE7" s="502" t="str">
        <f t="shared" si="85"/>
        <v/>
      </c>
      <c r="BF7" s="484" t="str">
        <f>IF(BE7="","",MIN(EOMONTH(BE7,0),VLOOKUP(BE7,'IN RPS-2015'!$O$164:$P$202,2,TRUE)-1,LOOKUP(BE7,$E$47:$F$53)-1,IF(BE7&lt;$B$2,$B$2-1,'IN RPS-2015'!$Q$9),IF(BE7&lt;$B$3,$B$3-1,'IN RPS-2015'!$Q$9),IF(BE7&lt;$B$4,$B$4-1,'IN RPS-2015'!$Q$9),LOOKUP(BE7,$H$47:$I$53)))</f>
        <v/>
      </c>
      <c r="BG7" s="493" t="str">
        <f>IF(BE7="","",VLOOKUP(BE7,'IN RPS-2015'!$P$164:$AA$202,10))</f>
        <v/>
      </c>
      <c r="BH7" s="461" t="str">
        <f t="shared" si="68"/>
        <v/>
      </c>
      <c r="BI7" s="461" t="str">
        <f>IF(BE7="","",IF(AND($AG$3=$AG$1,BE7&lt;=$AZ$1),0,ROUND(IF(BW7=3,0,IF(BW7=2,IF(BG7=VLOOKUP(BG7,'IN RPS-2015'!$I$2:$J$5,1),0,Main!$H$9)/2,IF(BG7=VLOOKUP(BG7,'IN RPS-2015'!$I$2:$J$5,1),0,Main!$H$9)))*(DAY(BF7)-DAY(BE7)+1)/DAY(EOMONTH(BE7,0)),0)))</f>
        <v/>
      </c>
      <c r="BJ7" s="461" t="str">
        <f>IF(BE7="","",IF(AND($AG$3=$AG$1,BE7&lt;=$AZ$1),0,IF(BG7=VLOOKUP(BG7,'IN RPS-2015'!$I$2:$J$5,1),0,ROUND(BH7*VLOOKUP(BE7,$AF$4:$AG$7,2)%,0))))</f>
        <v/>
      </c>
      <c r="BK7" s="461" t="str">
        <f>IF(BE7="","",IF(AND($AG$3=$AG$1,BE7&lt;=$AZ$1),0,IF(OR(BW7=3,BG7=VLOOKUP(BG7,'IN RPS-2015'!$I$2:$J$5,1)),0,ROUND(MIN(ROUND(BG7*VLOOKUP(BE7,$B$1:$G$4,2)%,0),VLOOKUP(BE7,$B$2:$I$4,IF($AG$3=$I$29,7,8),TRUE))*(DAY(BF7)-DAY(BE7)+1)/DAY(EOMONTH(BE7,0)),0))))</f>
        <v/>
      </c>
      <c r="BL7" s="491" t="str">
        <f>IF(BE7="","",IF(AND($AG$3=$AG$1,BE7&lt;=$AZ$1),0,IF(Main!$C$26="UGC",0,IF(OR(BE7&lt;DATE(2010,4,1),$I$6=VLOOKUP(BE7,$B$2:$G$4,5,TRUE),BG7=VLOOKUP(BG7,'IN RPS-2015'!$I$2:$J$5,1)),0,ROUND(IF(BW7=3,0,IF(BW7=2,MIN(ROUND(BG7*$G$13%,0),IF(BE7&lt;$J$152,$G$14,$G$15))/2,MIN(ROUND(BG7*$G$13%,0),IF(BE7&lt;$J$152,$G$14,$G$15))))*(DAY(BF7)-DAY(BE7)+1)/DAY(EOMONTH(BE7,0)),0)))))</f>
        <v/>
      </c>
      <c r="BM7" s="461" t="str">
        <f>IF(BE7="","",IF(AND($AG$3=$AG$1,BE7&lt;=$AZ$1),0,IF(Main!$C$26="UGC",0,IF(BG7=VLOOKUP(BG7,'IN RPS-2015'!$I$2:$J$5,1),0,ROUND(BH7*VLOOKUP(BE7,$AF$11:$AG$12,2)%,0)))))</f>
        <v/>
      </c>
      <c r="BN7" s="461" t="str">
        <f>IF(BE7="","",IF(AND($AG$3=$AG$1,BE7&lt;=$AZ$1),0,IF(Main!$C$26="UGC",0,IF(BE7&lt;DATE(2010,4,1),0,IF(OR(BW7=2,BW7=3,BG7=VLOOKUP(BG7,'IN RPS-2015'!$I$2:$J$5,1)),0,ROUND(IF(BE7&lt;$J$152,VLOOKUP(BE7,$B$1:$G$4,4),VLOOKUP(VLOOKUP(BE7,$B$1:$G$4,4),Main!$CE$2:$CF$5,2,FALSE))*(DAY(BF7)-DAY(BE7)+1)/DAY(EOMONTH(BE7,0)),0))))))</f>
        <v/>
      </c>
      <c r="BO7" s="461" t="str">
        <f>IF(BE7="","",IF(AND($AG$3=$AG$1,BE7&lt;=$AZ$1),0,IF(OR(BW7=2,BW7=3,$D$31=$D$28,BG7=VLOOKUP(BG7,'IN RPS-2015'!$I$2:$J$5,1)),0,ROUND(MIN(VLOOKUP(BD7,$A$27:$C$29,2,TRUE),ROUND(BG7*VLOOKUP(BD7,$A$27:$C$29,3,TRUE)%,0))*IF(BD7=$A$36,$C$36,IF(BD7=$A$37,$C$37,IF(BD7=$A$38,$C$38,IF(BD7=$A$39,$C$39,IF(BD7=$A$40,$C$40,IF(BD7=$A$41,$C$41,1))))))*(DAY(BF7)-DAY(BE7)+1)/DAY(EOMONTH(BE7,0)),0))))</f>
        <v/>
      </c>
      <c r="BP7" s="461" t="str">
        <f>IF(BE7="","",IF(AND($AG$3=$AG$1,BE7&lt;=$AZ$1),0,IF(Main!$C$26="UGC",0,IF(OR(BW7=3,BG7=VLOOKUP(BG7,'IN RPS-2015'!$I$2:$J$5,1)),0,ROUND(IF(BW7=2,VLOOKUP(BG7,IF($AG$3=$I$29,$A$20:$E$23,$F$144:$J$147),IF($B$19=VLOOKUP(BE7,$B$2:$G$4,3,TRUE),2,IF($C$19=VLOOKUP(BE7,$B$2:$G$4,3,TRUE),3,IF($D$19=VLOOKUP(BE7,$B$2:$G$4,3,TRUE),4,5))),TRUE),VLOOKUP(BG7,IF($AG$3=$I$29,$A$20:$E$23,$F$144:$J$147),IF($B$19=VLOOKUP(BE7,$B$2:$G$4,3,TRUE),2,IF($C$19=VLOOKUP(BE7,$B$2:$G$4,3,TRUE),3,IF($D$19=VLOOKUP(BE7,$B$2:$G$4,3,TRUE),4,5))),TRUE))*(DAY(BF7)-DAY(BE7)+1)/DAY(EOMONTH(BE7,0)),0)))))</f>
        <v/>
      </c>
      <c r="BQ7" s="461" t="str">
        <f>IF(BE7="","",IF(AND($AG$3=$AG$1,BE7&lt;=$AZ$1),0,IF(Main!$C$26="UGC",0,IF(OR(BD7&lt;DATE(2010,4,1),BW7=3,BG7=VLOOKUP(BG7,'IN RPS-2015'!$I$2:$J$5,1)),0,ROUND(IF(BW7=2,IF(BE7&lt;$J$152,Main!$L$9,Main!$CI$3)/2,IF(BE7&lt;$J$152,Main!$L$9,Main!$CI$3))*(DAY(BF7)-DAY(BE7)+1)/DAY(EOMONTH(BE7,0)),0)))))</f>
        <v/>
      </c>
      <c r="BR7" s="461"/>
      <c r="BS7" s="461" t="str">
        <f>IF(BE7="","",IF(AND($AG$3=$AG$1,BE7&lt;=$AZ$1),0,IF(Main!$C$26="UGC",0,IF(OR(BW7=3,BG7=VLOOKUP(BG7,'IN RPS-2015'!$I$2:$J$5,1)),0,ROUND(IF(BW7=2,VLOOKUP(BH7,IF(BE7&lt;$J$152,$A$154:$E$159,$F$154:$J$159),IF($B$10=VLOOKUP(BD7,$B$2:$G$4,6,TRUE),2,IF($B$10=VLOOKUP(BD7,$B$2:$G$4,6,TRUE),3,IF($D$10=VLOOKUP(BD7,$B$2:$G$4,6,TRUE),4,5))))/2,VLOOKUP(BH7,IF(BE7&lt;$J$152,$A$154:$E$159,$F$154:$J$159),IF($B$10=VLOOKUP(BD7,$B$2:$G$4,6,TRUE),2,IF($B$10=VLOOKUP(BD7,$B$2:$G$4,6,TRUE),3,IF($D$10=VLOOKUP(BD7,$B$2:$G$4,6,TRUE),4,5)))))*(DAY(BF7)-DAY(BE7)+1)/DAY(EOMONTH(BE7,0)),0)))))</f>
        <v/>
      </c>
      <c r="BT7" s="461">
        <f t="shared" si="69"/>
        <v>0</v>
      </c>
      <c r="BU7" s="464" t="str">
        <f>IF(BE7="","",IF(AND($AG$3=$AG$1,BE7&lt;=$AZ$1),0,IF(AND(Main!$F$22=Main!$CA$24,BE7&gt;$AZ$1),ROUND(SUM(BH7,BJ7)*10%,0),"")))</f>
        <v/>
      </c>
      <c r="BV7" s="464" t="str">
        <f>IF(BD7="","",IF(AND($AG$3=$AG$1,BE7&lt;=$AZ$1),0,IF(OR(Main!$H$10=Main!$BH$4,Main!$H$10=Main!$BH$5),0,LOOKUP(BT7*DAY(EOMONTH(BE7,0))/(DAY(BF7)-DAY(BE7)+1),$H$184:$I$189))))</f>
        <v/>
      </c>
      <c r="BW7" s="503">
        <f t="shared" si="70"/>
        <v>1</v>
      </c>
      <c r="BX7" s="457">
        <f t="shared" si="71"/>
        <v>0</v>
      </c>
      <c r="BY7" s="497"/>
      <c r="BZ7" s="750">
        <f>IF($H$12&lt;CE1,$A$51,$H$12)</f>
        <v>42795</v>
      </c>
      <c r="CA7" s="498">
        <f>IF($CA$3=$I$29,$J$12,$I$12)</f>
        <v>0</v>
      </c>
      <c r="CB7" s="461"/>
      <c r="CC7" s="499" t="str">
        <f t="shared" si="57"/>
        <v/>
      </c>
      <c r="CD7" s="500" t="str">
        <f t="shared" si="86"/>
        <v/>
      </c>
      <c r="CE7" s="484" t="str">
        <f>IF(CD7="","",MIN(EOMONTH(CD7,0),VLOOKUP(CD7,'IN RPS-2015'!$O$164:$P$202,2,TRUE)-1,LOOKUP(CD7,$E$47:$F$53)-1,IF(CD7&lt;$B$2,$B$2-1,'IN RPS-2015'!$Q$9),IF(CD7&lt;$B$3,$B$3-1,'IN RPS-2015'!$Q$9),IF(CD7&lt;$B$4,$B$4-1,'IN RPS-2015'!$Q$9),LOOKUP(CD7,$H$47:$I$53)))</f>
        <v/>
      </c>
      <c r="CF7" s="490" t="str">
        <f>IF(CD7="","",VLOOKUP(CD7,'IN RPS-2015'!$T$207:$Y$222,5))</f>
        <v/>
      </c>
      <c r="CG7" s="461" t="str">
        <f t="shared" si="72"/>
        <v/>
      </c>
      <c r="CH7" s="461" t="str">
        <f>IF(CD7="","",IF(AND($CA$3=$CA$1,CD7&lt;=$CT$1),0,ROUND(IF(CV7=3,0,IF(CV7=2,IF(CF7=VLOOKUP(CF7,'IN RPS-2015'!$I$2:$J$5,1),0,Main!$H$9)/2,IF(CF7=VLOOKUP(CF7,'IN RPS-2015'!$I$2:$J$5,1),0,Main!$H$9)))*(DAY(CE7)-DAY(CD7)+1)/DAY(EOMONTH(CD7,0)),0)))</f>
        <v/>
      </c>
      <c r="CI7" s="461" t="str">
        <f>IF(CD7="","",IF(AND($CA$3=$CA$1,CD7&lt;=$CT$1),0,IF(CF7=VLOOKUP(CF7,'IN RPS-2015'!$I$2:$J$5,1),0,ROUND(CG7*VLOOKUP(CD7,$BZ$4:$CA$7,2)%,0))))</f>
        <v/>
      </c>
      <c r="CJ7" s="461" t="str">
        <f>IF(CD7="","",IF(AND($CA$3=$CA$1,CD7&lt;=$CT$1),0,IF(OR(CV7=3,CF7=VLOOKUP(CF7,'IN RPS-2015'!$I$2:$J$5,1)),0,ROUND(MIN(ROUND(CF7*VLOOKUP(CD7,$B$1:$G$4,2)%,0),VLOOKUP(CD7,$B$2:$I$4,IF($CA$3=$I$29,7,8),TRUE))*(DAY(CE7)-DAY(CD7)+1)/DAY(EOMONTH(CD7,0)),0))))</f>
        <v/>
      </c>
      <c r="CK7" s="491" t="str">
        <f>IF(CD7="","",IF(AND($CA$3=$CA$1,CD7&lt;=$CT$1),0,IF(Main!$C$26="UGC",0,IF(OR(CD7&lt;DATE(2010,4,1),$I$6=VLOOKUP(CD7,$B$2:$G$4,5,TRUE),CF7=VLOOKUP(CF7,'IN RPS-2015'!$I$2:$J$5,1)),0,ROUND(IF(CV7=3,0,IF(CV7=2,MIN(ROUND(CF7*$G$13%,0),IF(CD7&lt;$J$152,$G$14,$G$15))/2,MIN(ROUND(CF7*$G$13%,0),IF(CD7&lt;$J$152,$G$14,$G$15))))*(DAY(CE7)-DAY(CD7)+1)/DAY(EOMONTH(CD7,0)),0)))))</f>
        <v/>
      </c>
      <c r="CL7" s="461" t="str">
        <f>IF(CD7="","",IF(AND($CA$3=$CA$1,CD7&lt;=$CT$1),0,IF(Main!$C$26="UGC",0,IF(CF7=VLOOKUP(CF7,'IN RPS-2015'!$I$2:$J$5,1),0,ROUND(CG7*VLOOKUP(CD7,$BZ$11:$CA$12,2)%,0)))))</f>
        <v/>
      </c>
      <c r="CM7" s="461" t="str">
        <f>IF(CD7="","",IF(AND($CA$3=$CA$1,CD7&lt;=$CT$1),0,IF(Main!$C$26="UGC",0,IF(CD7&lt;DATE(2010,4,1),0,IF(OR(CV7=2,CV7=3,CF7=VLOOKUP(CF7,'IN RPS-2015'!$I$2:$J$5,1)),0,ROUND(IF(CD7&lt;$J$152,VLOOKUP(CD7,$B$1:$G$4,4),VLOOKUP(VLOOKUP(CD7,$B$1:$G$4,4),Main!$CE$2:$CF$5,2,FALSE))*(DAY(CE7)-DAY(CD7)+1)/DAY(EOMONTH(CD7,0)),0))))))</f>
        <v/>
      </c>
      <c r="CN7" s="461" t="str">
        <f>IF(CD7="","",IF(AND($CA$3=$CA$1,CD7&lt;=$CT$1),0,IF(OR(CV7=2,CV7=3,$D$31=$D$28,CF7=VLOOKUP(CF7,'IN RPS-2015'!$I$2:$J$5,1)),0,ROUND(MIN(VLOOKUP(CC7,$A$27:$C$29,2,TRUE),ROUND(CF7*VLOOKUP(CC7,$A$27:$C$29,3,TRUE)%,0))*IF(CC7=$A$36,$C$36,IF(CC7=$A$37,$C$37,IF(CC7=$A$38,$C$38,IF(CC7=$A$39,$C$39,IF(CC7=$A$40,$C$40,IF(CC7=$A$41,$C$41,1))))))*(DAY(CE7)-DAY(CD7)+1)/DAY(EOMONTH(CD7,0)),0))))</f>
        <v/>
      </c>
      <c r="CO7" s="461" t="str">
        <f>IF(CD7="","",IF(AND($CA$3=$CA$1,CD7&lt;=$CT$1),0,IF(Main!$C$26="UGC",0,IF(OR(CV7=3,CF7=VLOOKUP(CF7,'IN RPS-2015'!$I$2:$J$5,1)),0,ROUND(IF(CV7=2,VLOOKUP(CF7,IF($CA$3=$I$29,$A$20:$E$23,$F$144:$J$147),IF($B$19=VLOOKUP(CD7,$B$2:$G$4,3,TRUE),2,IF($C$19=VLOOKUP(CD7,$B$2:$G$4,3,TRUE),3,IF($D$19=VLOOKUP(CD7,$B$2:$G$4,3,TRUE),4,5))),TRUE),VLOOKUP(CF7,IF($CA$3=$I$29,$A$20:$E$23,$F$144:$J$147),IF($B$19=VLOOKUP(CD7,$B$2:$G$4,3,TRUE),2,IF($C$19=VLOOKUP(CD7,$B$2:$G$4,3,TRUE),3,IF($D$19=VLOOKUP(CD7,$B$2:$G$4,3,TRUE),4,5))),TRUE))*(DAY(CE7)-DAY(CD7)+1)/DAY(EOMONTH(CD7,0)),0)))))</f>
        <v/>
      </c>
      <c r="CP7" s="461" t="str">
        <f>IF(CD7="","",IF(AND($CA$3=$CA$1,CD7&lt;=$CT$1),0,IF(Main!$C$26="UGC",0,IF(OR(CC7&lt;DATE(2010,4,1),CV7=3,CF7=VLOOKUP(CF7,'IN RPS-2015'!$I$2:$J$5,1)),0,ROUND(IF(CV7=2,IF(CD7&lt;$J$152,Main!$L$9,Main!$CI$3)/2,IF(CD7&lt;$J$152,Main!$L$9,Main!$CI$3))*(DAY(CE7)-DAY(CD7)+1)/DAY(EOMONTH(CD7,0)),0)))))</f>
        <v/>
      </c>
      <c r="CQ7" s="461"/>
      <c r="CR7" s="461" t="str">
        <f>IF(CD7="","",IF(AND($CA$3=$CA$1,CD7&lt;=$CT$1),0,IF(Main!$C$26="UGC",0,IF(OR(CV7=3,CF7=VLOOKUP(CF7,'IN RPS-2015'!$I$2:$J$5,1)),0,ROUND(IF(CV7=2,VLOOKUP(CG7,IF(CD7&lt;$J$152,$A$154:$E$159,$F$154:$J$159),IF($B$10=VLOOKUP(CC7,$B$2:$G$4,6,TRUE),2,IF($B$10=VLOOKUP(CC7,$B$2:$G$4,6,TRUE),3,IF($D$10=VLOOKUP(CC7,$B$2:$G$4,6,TRUE),4,5))))/2,VLOOKUP(CG7,IF(CD7&lt;$J$152,$A$154:$E$159,$F$154:$J$159),IF($B$10=VLOOKUP(CC7,$B$2:$G$4,6,TRUE),2,IF($B$10=VLOOKUP(CC7,$B$2:$G$4,6,TRUE),3,IF($D$10=VLOOKUP(CC7,$B$2:$G$4,6,TRUE),4,5)))))*(DAY(CE7)-DAY(CD7)+1)/DAY(EOMONTH(CD7,0)),0)))))</f>
        <v/>
      </c>
      <c r="CS7" s="461">
        <f t="shared" si="73"/>
        <v>0</v>
      </c>
      <c r="CT7" s="464" t="str">
        <f>IF(CD7="","",IF(AND($CA$3=$CA$1,CD7&lt;=$CT$1),0,IF(AND(Main!$F$22=Main!$CA$24,CD7&gt;$CT$1),ROUND(SUM(CG7,CI7)*10%,0),"")))</f>
        <v/>
      </c>
      <c r="CU7" s="464" t="str">
        <f>IF(CC7="","",IF(CG7=0,0,IF(OR(Main!$H$10=Main!$BH$4,Main!$H$10=Main!$BH$5),0,LOOKUP(CS7*DAY(EOMONTH(CD7,0))/(DAY(CE7)-DAY(CD7)+1),$H$184:$I$189))))</f>
        <v/>
      </c>
      <c r="CV7" s="457">
        <f t="shared" si="74"/>
        <v>1</v>
      </c>
      <c r="CW7" s="464"/>
      <c r="CX7" s="501" t="str">
        <f t="shared" si="59"/>
        <v/>
      </c>
      <c r="CY7" s="502" t="str">
        <f t="shared" si="87"/>
        <v/>
      </c>
      <c r="CZ7" s="484" t="str">
        <f>IF(CY7="","",MIN(EOMONTH(CY7,0),VLOOKUP(CY7,'IN RPS-2015'!$O$164:$P$202,2,TRUE)-1,LOOKUP(CY7,$E$47:$F$53)-1,IF(CY7&lt;$B$2,$B$2-1,'IN RPS-2015'!$Q$9),IF(CY7&lt;$B$3,$B$3-1,'IN RPS-2015'!$Q$9),IF(CY7&lt;$B$4,$B$4-1,'IN RPS-2015'!$Q$9),LOOKUP(CY7,$H$47:$I$53)))</f>
        <v/>
      </c>
      <c r="DA7" s="493" t="str">
        <f>IF(CY7="","",VLOOKUP(CY7,'IN RPS-2015'!$T$207:$Y$222,6))</f>
        <v/>
      </c>
      <c r="DB7" s="461" t="str">
        <f t="shared" si="75"/>
        <v/>
      </c>
      <c r="DC7" s="461" t="str">
        <f>IF(CY7="","",IF(AND($CA$3=$CA$1,CY7&lt;=$CT$1),0,ROUND(IF(DQ7=3,0,IF(DQ7=2,IF(DA7=VLOOKUP(DA7,'IN RPS-2015'!$I$2:$J$5,1),0,Main!$H$9)/2,IF(DA7=VLOOKUP(DA7,'IN RPS-2015'!$I$2:$J$5,1),0,Main!$H$9)))*(DAY(CZ7)-DAY(CY7)+1)/DAY(EOMONTH(CY7,0)),0)))</f>
        <v/>
      </c>
      <c r="DD7" s="461" t="str">
        <f>IF(CY7="","",IF(AND($CA$3=$CA$1,CY7&lt;=$CT$1),0,IF(DA7=VLOOKUP(DA7,'IN RPS-2015'!$I$2:$J$5,1),0,ROUND(DB7*VLOOKUP(CY7,$BZ$4:$CA$7,2)%,0))))</f>
        <v/>
      </c>
      <c r="DE7" s="461" t="str">
        <f>IF(CY7="","",IF(AND($CA$3=$CA$1,CY7&lt;=$CT$1),0,IF(OR(DQ7=3,DA7=VLOOKUP(DA7,'IN RPS-2015'!$I$2:$J$5,1)),0,ROUND(MIN(ROUND(DA7*VLOOKUP(CY7,$B$1:$G$4,2)%,0),VLOOKUP(CY7,$B$2:$I$4,IF($CA$3=$I$29,7,8),TRUE))*(DAY(CZ7)-DAY(CY7)+1)/DAY(EOMONTH(CY7,0)),0))))</f>
        <v/>
      </c>
      <c r="DF7" s="491" t="str">
        <f>IF(CY7="","",IF(AND($CA$3=$CA$1,CY7&lt;=$CT$1),0,IF(Main!$C$26="UGC",0,IF(OR(CY7&lt;DATE(2010,4,1),$I$6=VLOOKUP(CY7,$B$2:$G$4,5,TRUE),DA7=VLOOKUP(DA7,'IN RPS-2015'!$I$2:$J$5,1)),0,ROUND(IF(DQ7=3,0,IF(DQ7=2,MIN(ROUND(DA7*$G$13%,0),IF(CY7&lt;$J$152,$G$14,$G$15))/2,MIN(ROUND(DA7*$G$13%,0),IF(CY7&lt;$J$152,$G$14,$G$15))))*(DAY(CZ7)-DAY(CY7)+1)/DAY(EOMONTH(CY7,0)),0)))))</f>
        <v/>
      </c>
      <c r="DG7" s="461" t="str">
        <f>IF(CY7="","",IF(AND($CA$3=$CA$1,CY7&lt;=$CT$1),0,IF(Main!$C$26="UGC",0,IF(DA7=VLOOKUP(DA7,'IN RPS-2015'!$I$2:$J$5,1),0,ROUND(DB7*VLOOKUP(CY7,$BZ$11:$CA$12,2)%,0)))))</f>
        <v/>
      </c>
      <c r="DH7" s="461" t="str">
        <f>IF(CY7="","",IF(AND($CA$3=$CA$1,CY7&lt;=$CT$1),0,IF(Main!$C$26="UGC",0,IF(CY7&lt;DATE(2010,4,1),0,IF(OR(DQ7=2,DQ7=3,DA7=VLOOKUP(DA7,'IN RPS-2015'!$I$2:$J$5,1)),0,ROUND(IF(CY7&lt;$J$152,VLOOKUP(CY7,$B$1:$G$4,4),VLOOKUP(VLOOKUP(CY7,$B$1:$G$4,4),Main!$CE$2:$CF$5,2,FALSE))*(DAY(CZ7)-DAY(CY7)+1)/DAY(EOMONTH(CY7,0)),0))))))</f>
        <v/>
      </c>
      <c r="DI7" s="461" t="str">
        <f>IF(CY7="","",IF(AND($CA$3=$CA$1,CY7&lt;=$CT$1),0,IF(OR(DQ7=2,DQ7=3,$D$31=$D$28,DA7=VLOOKUP(DA7,'IN RPS-2015'!$I$2:$J$5,1)),0,ROUND(MIN(VLOOKUP(CX7,$A$27:$C$29,2,TRUE),ROUND(DA7*VLOOKUP(CX7,$A$27:$C$29,3,TRUE)%,0))*IF(CX7=$A$36,$C$36,IF(CX7=$A$37,$C$37,IF(CX7=$A$38,$C$38,IF(CX7=$A$39,$C$39,IF(CX7=$A$40,$C$40,IF(CX7=$A$41,$C$41,1))))))*(DAY(CZ7)-DAY(CY7)+1)/DAY(EOMONTH(CY7,0)),0))))</f>
        <v/>
      </c>
      <c r="DJ7" s="461" t="str">
        <f>IF(CY7="","",IF(AND($CA$3=$CA$1,CY7&lt;=$CT$1),0,IF(Main!$C$26="UGC",0,IF(OR(DQ7=3,DA7=VLOOKUP(DA7,'IN RPS-2015'!$I$2:$J$5,1)),0,ROUND(IF(DQ7=2,VLOOKUP(DA7,IF($CA$3=$I$29,$A$20:$E$23,$F$144:$J$147),IF($B$19=VLOOKUP(CY7,$B$2:$G$4,3,TRUE),2,IF($C$19=VLOOKUP(CY7,$B$2:$G$4,3,TRUE),3,IF($D$19=VLOOKUP(CY7,$B$2:$G$4,3,TRUE),4,5))),TRUE),VLOOKUP(DA7,IF($CA$3=$I$29,$A$20:$E$23,$F$144:$J$147),IF($B$19=VLOOKUP(CY7,$B$2:$G$4,3,TRUE),2,IF($C$19=VLOOKUP(CY7,$B$2:$G$4,3,TRUE),3,IF($D$19=VLOOKUP(CY7,$B$2:$G$4,3,TRUE),4,5))),TRUE))*(DAY(CZ7)-DAY(CY7)+1)/DAY(EOMONTH(CY7,0)),0)))))</f>
        <v/>
      </c>
      <c r="DK7" s="461" t="str">
        <f>IF(CY7="","",IF(AND($CA$3=$CA$1,CY7&lt;=$CT$1),0,IF(Main!$C$26="UGC",0,IF(OR(CX7&lt;DATE(2010,4,1),DQ7=3,DA7=VLOOKUP(DA7,'IN RPS-2015'!$I$2:$J$5,1)),0,ROUND(IF(DQ7=2,IF(CY7&lt;$J$152,Main!$L$9,Main!$CI$3)/2,IF(CY7&lt;$J$152,Main!$L$9,Main!$CI$3))*(DAY(CZ7)-DAY(CY7)+1)/DAY(EOMONTH(CY7,0)),0)))))</f>
        <v/>
      </c>
      <c r="DL7" s="461"/>
      <c r="DM7" s="461" t="str">
        <f>IF(CY7="","",IF(AND($CA$3=$CA$1,CY7&lt;=$CT$1),0,IF(Main!$C$26="UGC",0,IF(OR(DQ7=3,DA7=VLOOKUP(DA7,'IN RPS-2015'!$I$2:$J$5,1)),0,ROUND(IF(DQ7=2,VLOOKUP(DB7,IF(CY7&lt;$J$152,$A$154:$E$159,$F$154:$J$159),IF($B$10=VLOOKUP(CX7,$B$2:$G$4,6,TRUE),2,IF($B$10=VLOOKUP(CX7,$B$2:$G$4,6,TRUE),3,IF($D$10=VLOOKUP(CX7,$B$2:$G$4,6,TRUE),4,5))))/2,VLOOKUP(DB7,IF(CY7&lt;$J$152,$A$154:$E$159,$F$154:$J$159),IF($B$10=VLOOKUP(CX7,$B$2:$G$4,6,TRUE),2,IF($B$10=VLOOKUP(CX7,$B$2:$G$4,6,TRUE),3,IF($D$10=VLOOKUP(CX7,$B$2:$G$4,6,TRUE),4,5)))))*(DAY(CZ7)-DAY(CY7)+1)/DAY(EOMONTH(CY7,0)),0)))))</f>
        <v/>
      </c>
      <c r="DN7" s="461">
        <f t="shared" si="76"/>
        <v>0</v>
      </c>
      <c r="DO7" s="464" t="str">
        <f>IF(CY7="","",IF(AND($CA$3=$CA$1,CY7&lt;=$CT$1),0,IF(AND(Main!$F$22=Main!$CA$24,CY7&gt;$CT$1),ROUND(SUM(DB7,DD7)*10%,0),"")))</f>
        <v/>
      </c>
      <c r="DP7" s="464" t="str">
        <f>IF(CX7="","",IF(AND($CA$3=$CA$1,CY7&lt;=$CT$1),0,IF(OR(Main!$H$10=Main!$BH$4,Main!$H$10=Main!$BH$5),0,LOOKUP(DN7*DAY(EOMONTH(CY7,0))/(DAY(CZ7)-DAY(CY7)+1),$H$184:$I$189))))</f>
        <v/>
      </c>
      <c r="DQ7" s="457">
        <f t="shared" si="60"/>
        <v>1</v>
      </c>
      <c r="DR7" s="457">
        <f t="shared" si="77"/>
        <v>0</v>
      </c>
      <c r="DS7" s="497"/>
      <c r="DT7" s="750">
        <f>IF($H$12&lt;DY1,$A$51,$H$12)</f>
        <v>42795</v>
      </c>
      <c r="DU7" s="498">
        <f>IF($DU$3=$I$29,$J$12,$I$12)</f>
        <v>0</v>
      </c>
      <c r="DV7" s="461"/>
      <c r="DW7" s="499" t="str">
        <f t="shared" si="61"/>
        <v/>
      </c>
      <c r="DX7" s="500" t="str">
        <f t="shared" si="88"/>
        <v/>
      </c>
      <c r="DY7" s="484" t="str">
        <f>IF(DX7="","",MIN(EOMONTH(DX7,0),VLOOKUP(DX7,'IN RPS-2015'!$O$164:$P$202,2,TRUE)-1,LOOKUP(DX7,$E$47:$F$53)-1,IF(DX7&lt;$B$2,$B$2-1,'IN RPS-2015'!$Q$9),IF(DX7&lt;$B$3,$B$3-1,'IN RPS-2015'!$Q$9),IF(DX7&lt;$B$4,$B$4-1,'IN RPS-2015'!$Q$9),LOOKUP(DX7,$H$47:$I$53)))</f>
        <v/>
      </c>
      <c r="DZ7" s="490" t="str">
        <f>IF(DX7="","",VLOOKUP(DX7,'IN RPS-2015'!$P$164:$AA$202,11))</f>
        <v/>
      </c>
      <c r="EA7" s="461" t="str">
        <f t="shared" si="78"/>
        <v/>
      </c>
      <c r="EB7" s="461" t="str">
        <f>IF(DX7="","",ROUND(IF(EP7=3,0,IF(EP7=2,IF(DZ7=VLOOKUP(DZ7,'IN RPS-2015'!$I$2:$J$5,1),0,Main!$H$9)/2,IF(DZ7=VLOOKUP(DZ7,'IN RPS-2015'!$I$2:$J$5,1),0,Main!$H$9)))*(DAY(DY7)-DAY(DX7)+1)/DAY(EOMONTH(DX7,0)),0))</f>
        <v/>
      </c>
      <c r="EC7" s="461" t="str">
        <f>IF(DX7="","",IF(DZ7=VLOOKUP(DZ7,'IN RPS-2015'!$I$2:$J$5,1),0,ROUND(EA7*VLOOKUP(DX7,$DT$4:$DU$7,2)%,0)))</f>
        <v/>
      </c>
      <c r="ED7" s="461" t="str">
        <f>IF(DX7="","",IF(OR(EP7=3,DZ7=VLOOKUP(DZ7,'IN RPS-2015'!$I$2:$J$5,1)),0,ROUND(MIN(ROUND(DZ7*VLOOKUP(DX7,$B$1:$G$4,2)%,0),VLOOKUP(DX7,$B$2:$I$4,IF($DU$3=$I$29,7,8),TRUE))*(DAY(DY7)-DAY(DX7)+1)/DAY(EOMONTH(DX7,0)),0)))</f>
        <v/>
      </c>
      <c r="EE7" s="491" t="str">
        <f>IF(DX7="","",IF(Main!$C$26="UGC",0,IF(OR(DX7&lt;DATE(2010,4,1),$I$6=VLOOKUP(DX7,$B$2:$G$4,5,TRUE),DZ7=VLOOKUP(DZ7,'IN RPS-2015'!$I$2:$J$5,1)),0,ROUND(IF(EP7=3,0,IF(EP7=2,MIN(ROUND(DZ7*$G$13%,0),IF(DX7&lt;$I$152,$G$14,$G$15))/2,MIN(ROUND(DZ7*$G$13%,0),IF(DX7&lt;$I$152,$G$14,$G$15))))*(DAY(DY7)-DAY(DX7)+1)/DAY(EOMONTH(DX7,0)),0))))</f>
        <v/>
      </c>
      <c r="EF7" s="461" t="str">
        <f>IF(DX7="","",IF(Main!$C$26="UGC",0,IF(DZ7=VLOOKUP(DZ7,'IN RPS-2015'!$I$2:$J$5,1),0,ROUND(EA7*VLOOKUP(DX7,$DT$11:$DU$12,2)%,0))))</f>
        <v/>
      </c>
      <c r="EG7" s="461" t="str">
        <f>IF(DX7="","",IF(Main!$C$26="UGC",0,IF(DX7&lt;DATE(2010,4,1),0,IF(OR(EP7=2,EP7=3,DZ7=VLOOKUP(DZ7,'IN RPS-2015'!$I$2:$J$5,1)),0,ROUND(IF(DX7&lt;$I$152,VLOOKUP(DX7,$B$1:$G$4,4),VLOOKUP(VLOOKUP(DX7,$B$1:$G$4,4),Main!$CE$2:$CF$5,2,FALSE))*(DAY(DY7)-DAY(DX7)+1)/DAY(EOMONTH(DX7,0)),0)))))</f>
        <v/>
      </c>
      <c r="EH7" s="461" t="str">
        <f>IF(DX7="","",IF(OR(EP7=2,EP7=3,$D$31=$D$28,DZ7=VLOOKUP(DZ7,'IN RPS-2015'!$I$2:$J$5,1)),0,ROUND(MIN(IF(DX7&lt;$I$152,900,1350),ROUND(DZ7*VLOOKUP(DW7,$A$27:$C$29,3,TRUE)%,0))*IF(DW7=$A$36,$C$36,IF(DW7=$A$37,$C$37,IF(DW7=$A$38,$C$38,IF(DW7=$A$39,$C$39,IF(DW7=$A$40,$C$40,IF(DW7=$A$41,$C$41,1))))))*(DAY(DY7)-DAY(DX7)+1)/DAY(EOMONTH(DX7,0)),0)))</f>
        <v/>
      </c>
      <c r="EI7" s="461" t="str">
        <f>IF(DX7="","",IF(Main!$C$26="UGC",0,IF(OR(EP7=3,DZ7=VLOOKUP(DZ7,'IN RPS-2015'!$I$2:$J$5,1)),0,ROUND(IF(EP7=2,VLOOKUP(DZ7,IF($DU$3=$I$29,$A$20:$E$23,$F$144:$J$147),IF($B$19=VLOOKUP(DX7,$B$2:$G$4,3,TRUE),2,IF($C$19=VLOOKUP(DX7,$B$2:$G$4,3,TRUE),3,IF($D$19=VLOOKUP(DX7,$B$2:$G$4,3,TRUE),4,5))),TRUE),VLOOKUP(DZ7,IF($DU$3=$I$29,$A$20:$E$23,$F$144:$J$147),IF($B$19=VLOOKUP(DX7,$B$2:$G$4,3,TRUE),2,IF($C$19=VLOOKUP(DX7,$B$2:$G$4,3,TRUE),3,IF($D$19=VLOOKUP(DX7,$B$2:$G$4,3,TRUE),4,5))),TRUE))*(DAY(DY7)-DAY(DX7)+1)/DAY(EOMONTH(DX7,0)),0))))</f>
        <v/>
      </c>
      <c r="EJ7" s="461" t="str">
        <f>IF(DX7="","",IF(Main!$C$26="UGC",0,IF(OR(DW7&lt;DATE(2010,4,1),EP7=3,DZ7=VLOOKUP(DZ7,'IN RPS-2015'!$I$2:$J$5,1)),0,ROUND(IF(EP7=2,IF(DX7&lt;$I$152,Main!$L$9,Main!$CI$3)/2,IF(DX7&lt;$I$152,Main!$L$9,Main!$CI$3))*(DAY(DY7)-DAY(DX7)+1)/DAY(EOMONTH(DX7,0)),0))))</f>
        <v/>
      </c>
      <c r="EK7" s="461"/>
      <c r="EL7" s="461" t="str">
        <f>IF(DX7="","",IF(Main!$C$26="UGC",0,IF(OR(EP7=3,DZ7=VLOOKUP(DZ7,'IN RPS-2015'!$I$2:$J$5,1)),0,ROUND(IF(EP7=2,VLOOKUP(EA7,IF(DX7&lt;$I$152,$A$154:$E$159,$F$154:$J$159),IF($B$10=VLOOKUP(DW7,$B$2:$G$4,6,TRUE),2,IF($B$10=VLOOKUP(DW7,$B$2:$G$4,6,TRUE),3,IF($D$10=VLOOKUP(DW7,$B$2:$G$4,6,TRUE),4,5))))/2,VLOOKUP(EA7,IF(DX7&lt;$I$152,$A$154:$E$159,$F$154:$J$159),IF($B$10=VLOOKUP(DW7,$B$2:$G$4,6,TRUE),2,IF($B$10=VLOOKUP(DW7,$B$2:$G$4,6,TRUE),3,IF($D$10=VLOOKUP(DW7,$B$2:$G$4,6,TRUE),4,5)))))*(DAY(DY7)-DAY(DX7)+1)/DAY(EOMONTH(DX7,0)),0))))</f>
        <v/>
      </c>
      <c r="EM7" s="461">
        <f t="shared" si="79"/>
        <v>0</v>
      </c>
      <c r="EN7" s="464" t="str">
        <f>IF(DX7="","",IF(AND(Main!$F$22=Main!$CA$24,DX7&gt;$EN$1),ROUND(SUM(EA7,EC7)*10%,0),""))</f>
        <v/>
      </c>
      <c r="EO7" s="464" t="str">
        <f>IF(DW7="","",IF(EA7=0,0,IF(OR(Main!$H$10=Main!$BH$4,Main!$H$10=Main!$BH$5),0,LOOKUP(EM7*DAY(EOMONTH(DX7,0))/(DAY(DY7)-DAY(DX7)+1),$H$184:$I$189))))</f>
        <v/>
      </c>
      <c r="EP7" s="457">
        <f t="shared" si="62"/>
        <v>1</v>
      </c>
      <c r="ER7" s="750">
        <f>IF($H$12&lt;EW1,$A$51,$H$12)</f>
        <v>42795</v>
      </c>
      <c r="ES7" s="498">
        <f>IF($ES$3=$I$29,$J$12,$I$12)</f>
        <v>0</v>
      </c>
      <c r="ET7" s="461"/>
      <c r="EU7" s="499" t="str">
        <f t="shared" si="63"/>
        <v/>
      </c>
      <c r="EV7" s="500" t="str">
        <f t="shared" si="89"/>
        <v/>
      </c>
      <c r="EW7" s="484" t="str">
        <f>IF(EV7="","",MIN(EOMONTH(EV7,0),VLOOKUP(EV7,'IN RPS-2015'!$O$164:$P$202,2,TRUE)-1,LOOKUP(EV7,$E$47:$F$53)-1,IF(EV7&lt;$B$2,$B$2-1,'IN RPS-2015'!$Q$9),IF(EV7&lt;$B$3,$B$3-1,'IN RPS-2015'!$Q$9),IF(EV7&lt;$B$4,$B$4-1,'IN RPS-2015'!$Q$9),LOOKUP(EV7,$H$47:$I$53)))</f>
        <v/>
      </c>
      <c r="EX7" s="490" t="str">
        <f>IF(EV7="","",VLOOKUP(EV7,'IN RPS-2015'!$P$164:$AA$202,12))</f>
        <v/>
      </c>
      <c r="EY7" s="461" t="str">
        <f t="shared" si="80"/>
        <v/>
      </c>
      <c r="EZ7" s="461" t="str">
        <f>IF(EV7="","",ROUND(IF(FN7=3,0,IF(FN7=2,IF(EX7=VLOOKUP(EX7,'IN RPS-2015'!$I$2:$J$5,1),0,Main!$H$9)/2,IF(EX7=VLOOKUP(EX7,'IN RPS-2015'!$I$2:$J$5,1),0,Main!$H$9)))*(DAY(EW7)-DAY(EV7)+1)/DAY(EOMONTH(EV7,0)),0))</f>
        <v/>
      </c>
      <c r="FA7" s="461" t="str">
        <f>IF(EV7="","",IF(EX7=VLOOKUP(EX7,'IN RPS-2015'!$I$2:$J$5,1),0,ROUND(EY7*VLOOKUP(EV7,$ER$4:$ES$7,2)%,0)))</f>
        <v/>
      </c>
      <c r="FB7" s="461" t="str">
        <f>IF(EV7="","",IF(OR(FN7=3,EX7=VLOOKUP(EX7,'IN RPS-2015'!$I$2:$J$5,1)),0,ROUND(MIN(ROUND(EX7*VLOOKUP(EV7,$B$1:$G$4,2)%,0),VLOOKUP(EV7,$B$2:$I$4,IF($ES$3=$I$29,7,8),TRUE))*(DAY(EW7)-DAY(EV7)+1)/DAY(EOMONTH(EV7,0)),0)))</f>
        <v/>
      </c>
      <c r="FC7" s="491" t="str">
        <f>IF(EV7="","",IF(Main!$C$26="UGC",0,IF(OR(EV7&lt;DATE(2010,4,1),$I$6=VLOOKUP(EV7,$B$2:$G$4,5,TRUE),EX7=VLOOKUP(EX7,'IN RPS-2015'!$I$2:$J$5,1)),0,ROUND(IF(FN7=3,0,IF(FN7=2,MIN(ROUND(EX7*$G$13%,0),IF(EV7&lt;$J$152,$G$14,$G$15))/2,MIN(ROUND(EX7*$G$13%,0),IF(EV7&lt;$J$152,$G$14,$G$15))))*(DAY(EW7)-DAY(EV7)+1)/DAY(EOMONTH(EV7,0)),0))))</f>
        <v/>
      </c>
      <c r="FD7" s="461" t="str">
        <f>IF(EV7="","",IF(Main!$C$26="UGC",0,IF(EX7=VLOOKUP(EX7,'IN RPS-2015'!$I$2:$J$5,1),0,ROUND(EY7*VLOOKUP(EV7,$ER$11:$ES$12,2)%,0))))</f>
        <v/>
      </c>
      <c r="FE7" s="461" t="str">
        <f>IF(EV7="","",IF(Main!$C$26="UGC",0,IF(EV7&lt;DATE(2010,4,1),0,IF(OR(FN7=2,FN7=3,EX7=VLOOKUP(EX7,'IN RPS-2015'!$I$2:$J$5,1)),0,ROUND(IF(EV7&lt;$J$152,VLOOKUP(EV7,$B$1:$G$4,4),VLOOKUP(VLOOKUP(EV7,$B$1:$G$4,4),Main!$CE$2:$CF$5,2,FALSE))*(DAY(EW7)-DAY(EV7)+1)/DAY(EOMONTH(EV7,0)),0)))))</f>
        <v/>
      </c>
      <c r="FF7" s="461" t="str">
        <f>IF(EV7="","",IF(OR(FN7=2,FN7=3,$D$31=$D$28,EX7=VLOOKUP(EX7,'IN RPS-2015'!$I$2:$J$5,1)),0,ROUND(MIN(VLOOKUP(EU7,$A$27:$C$29,2,TRUE),ROUND(EX7*VLOOKUP(EU7,$A$27:$C$29,3,TRUE)%,0))*IF(EU7=$A$36,$C$36,IF(EU7=$A$37,$C$37,IF(EU7=$A$38,$C$38,IF(EU7=$A$39,$C$39,IF(EU7=$A$40,$C$40,IF(EU7=$A$41,$C$41,1))))))*(DAY(EW7)-DAY(EV7)+1)/DAY(EOMONTH(EV7,0)),0)))</f>
        <v/>
      </c>
      <c r="FG7" s="461" t="str">
        <f>IF(EV7="","",IF(Main!$C$26="UGC",0,IF(OR(FN7=3,EX7=VLOOKUP(EX7,'IN RPS-2015'!$I$2:$J$5,1)),0,ROUND(IF(FN7=2,VLOOKUP(EX7,IF($ES$3=$I$29,$A$20:$E$23,$F$144:$J$147),IF($B$19=VLOOKUP(EV7,$B$2:$G$4,3,TRUE),2,IF($C$19=VLOOKUP(EV7,$B$2:$G$4,3,TRUE),3,IF($D$19=VLOOKUP(EV7,$B$2:$G$4,3,TRUE),4,5))),TRUE),VLOOKUP(EX7,IF($ES$3=$I$29,$A$20:$E$23,$F$144:$J$147),IF($B$19=VLOOKUP(EV7,$B$2:$G$4,3,TRUE),2,IF($C$19=VLOOKUP(EV7,$B$2:$G$4,3,TRUE),3,IF($D$19=VLOOKUP(EV7,$B$2:$G$4,3,TRUE),4,5))),TRUE))*(DAY(EW7)-DAY(EV7)+1)/DAY(EOMONTH(EV7,0)),0))))</f>
        <v/>
      </c>
      <c r="FH7" s="461" t="str">
        <f>IF(EV7="","",IF(Main!$C$26="UGC",0,IF(OR(EU7&lt;DATE(2010,4,1),FN7=3,EX7=VLOOKUP(EX7,'IN RPS-2015'!$I$2:$J$5,1)),0,ROUND(IF(FN7=2,IF(EV7&lt;$J$152,Main!$L$9,Main!$CI$3)/2,IF(EV7&lt;$J$152,Main!$L$9,Main!$CI$3))*(DAY(EW7)-DAY(EV7)+1)/DAY(EOMONTH(EV7,0)),0))))</f>
        <v/>
      </c>
      <c r="FI7" s="461"/>
      <c r="FJ7" s="461" t="str">
        <f>IF(EV7="","",IF(Main!$C$26="UGC",0,IF(OR(FN7=3,EX7=VLOOKUP(EX7,'IN RPS-2015'!$I$2:$J$5,1)),0,ROUND(IF(FN7=2,VLOOKUP(EY7,IF(EV7&lt;$J$152,$A$154:$E$159,$F$154:$J$159),IF($B$10=VLOOKUP(EU7,$B$2:$G$4,6,TRUE),2,IF($B$10=VLOOKUP(EU7,$B$2:$G$4,6,TRUE),3,IF($D$10=VLOOKUP(EU7,$B$2:$G$4,6,TRUE),4,5))))/2,VLOOKUP(EY7,IF(EV7&lt;$J$152,$A$154:$E$159,$F$154:$J$159),IF($B$10=VLOOKUP(EU7,$B$2:$G$4,6,TRUE),2,IF($B$10=VLOOKUP(EU7,$B$2:$G$4,6,TRUE),3,IF($D$10=VLOOKUP(EU7,$B$2:$G$4,6,TRUE),4,5)))))*(DAY(EW7)-DAY(EV7)+1)/DAY(EOMONTH(EV7,0)),0))))</f>
        <v/>
      </c>
      <c r="FK7" s="461">
        <f t="shared" si="81"/>
        <v>0</v>
      </c>
      <c r="FL7" s="464" t="str">
        <f>IF(EV7="","",IF(AND(Main!$F$22=Main!$CA$24,EV7&gt;$FL$1),ROUND(SUM(EY7,FA7)*10%,0),""))</f>
        <v/>
      </c>
      <c r="FM7" s="464" t="str">
        <f>IF(EU7="","",IF(EY7=0,0,IF(OR(Main!$H$10=Main!$BH$4,Main!$H$10=Main!$BH$5),0,LOOKUP(FK7*DAY(EOMONTH(EV7,0))/(DAY(EW7)-DAY(EV7)+1),$H$184:$I$189))))</f>
        <v/>
      </c>
      <c r="FN7" s="457">
        <f t="shared" si="64"/>
        <v>1</v>
      </c>
    </row>
    <row r="8" spans="1:170">
      <c r="A8" s="1125" t="s">
        <v>291</v>
      </c>
      <c r="B8" s="1125"/>
      <c r="C8" s="1125"/>
      <c r="D8" s="1125"/>
      <c r="E8" s="38"/>
      <c r="H8" s="9" t="s">
        <v>46</v>
      </c>
      <c r="I8" s="7" t="s">
        <v>1893</v>
      </c>
      <c r="J8" s="505" t="s">
        <v>307</v>
      </c>
      <c r="K8" s="494">
        <f t="shared" si="65"/>
        <v>42217</v>
      </c>
      <c r="L8" s="495">
        <f t="shared" si="82"/>
        <v>42217</v>
      </c>
      <c r="M8" s="484">
        <f>IF(L8="","",MIN(EOMONTH(L8,0),VLOOKUP(L8,'IN RPS-2015'!$O$164:$P$202,2,TRUE)-1,LOOKUP(L8,$E$47:$F$53)-1,IF(L8&lt;$B$2,$B$2-1,'IN RPS-2015'!$Q$9),IF(L8&lt;$B$3,$B$3-1,'IN RPS-2015'!$Q$9),IF(L8&lt;$B$4,$B$4-1,'IN RPS-2015'!$Q$9),LOOKUP(L8,$H$47:$I$53)))</f>
        <v>42247</v>
      </c>
      <c r="N8" s="496">
        <f>IF(L8="","",VLOOKUP(L8,'Advance Tax'!$A$3:$C$14,3))</f>
        <v>53950</v>
      </c>
      <c r="O8" s="497">
        <f t="shared" si="52"/>
        <v>53950</v>
      </c>
      <c r="P8" s="497">
        <f>IF(L8="","",ROUND(IF(AD8=3,0,IF(AD8=2,IF(N8=VLOOKUP(N8,'IN RPS-2015'!$I$2:$J$5,1),0,Main!$H$9)/2,IF(N8=VLOOKUP(N8,'IN RPS-2015'!$I$2:$J$5,1),0,Main!$H$9)))*(DAY(M8)-DAY(L8)+1)/DAY(EOMONTH(L8,0)),0))</f>
        <v>105</v>
      </c>
      <c r="Q8" s="457">
        <f>IF(L8="","",IF(N8=VLOOKUP(N8,'IN RPS-2015'!$I$2:$J$5,1),0,ROUND(O8*IF(L8&lt;Main!$C$27,VLOOKUP(L8,$H$9:$J$12,3),VLOOKUP(L8,$H$9:$J$12,2))%,0)))</f>
        <v>4806</v>
      </c>
      <c r="R8" s="457">
        <f>IF(L8="","",IF(OR(AD8=3,N8=VLOOKUP(N8,'IN RPS-2015'!$I$2:$J$5,1)),0,ROUND(MIN(ROUND(N8*VLOOKUP(L8,$B$1:$G$4,2)%,0),VLOOKUP(L8,$B$2:$I$4,IF(L8&lt;$G$7,7,8),TRUE))*(DAY(M8)-DAY(L8)+1)/DAY(EOMONTH(L8,0)),0)))</f>
        <v>10790</v>
      </c>
      <c r="S8" s="486">
        <f>IF(L8="","",IF(Main!$C$26="UGC",0,IF(OR(L8&lt;DATE(2010,4,1),$I$6=VLOOKUP(L8,$B$2:$G$4,5,TRUE),N8=VLOOKUP(N8,'IN RPS-2015'!$I$2:$J$5,1)),0,ROUND(IF(AD8=3,0,IF(AD8=2,MIN(ROUND(N8*$G$13%,0),IF(L8&lt;$J$152,$G$14,$G$15))/2,MIN(ROUND(N8*$G$13%,0),IF(L8&lt;$J$152,$G$14,$G$15))))*(DAY(M8)-DAY(L8)+1)/DAY(EOMONTH(L8,0)),0))))</f>
        <v>0</v>
      </c>
      <c r="T8" s="457">
        <f>IF(L8="","",IF(Main!$C$26="UGC",0,IF(N8=VLOOKUP(N8,'IN RPS-2015'!$I$2:$J$5,1),0,ROUND(O8*VLOOKUP(L8,$H$205:$I$206,2)%,0))))</f>
        <v>0</v>
      </c>
      <c r="U8" s="457">
        <f>IF(L8="","",IF(Main!$C$26="UGC",0,IF(L8&lt;DATE(2010,4,1),0,IF(OR(AD8=2,AD8=3,N8=VLOOKUP(N8,'IN RPS-2015'!$I$2:$J$5,1)),0,ROUND(IF(L8&lt;$J$152,VLOOKUP(L8,$B$1:$G$4,4),VLOOKUP(VLOOKUP(L8,$B$1:$G$4,4),Main!$CE$2:$CF$5,2,FALSE))*(DAY(M8)-DAY(L8)+1)/DAY(EOMONTH(L8,0)),0)))))</f>
        <v>0</v>
      </c>
      <c r="V8" s="457">
        <f>IF(L8="","",IF(OR(AD8=2,AD8=3,$D$31=$D$28,N8=VLOOKUP(N8,'IN RPS-2015'!$I$2:$J$5,1)),0,ROUND(MIN(VLOOKUP(K8,$A$27:$C$29,2,TRUE),ROUND(N8*VLOOKUP(K8,$A$27:$C$29,3,TRUE)%,0))*IF(K8=$A$36,$C$36,IF(K8=$A$37,$C$37,IF(K8=$A$38,$C$38,IF(K8=$A$39,$C$39,IF(K8=$A$40,$C$40,IF(K8=$A$41,$C$41,1))))))*(DAY(M8)-DAY(L8)+1)/DAY(EOMONTH(L8,0)),0)))</f>
        <v>900</v>
      </c>
      <c r="W8" s="457">
        <f>IF(L8="","",IF(Main!$C$26="UGC",0,IF(OR(AD8=3,N8=VLOOKUP(N8,'IN RPS-2015'!$I$2:$J$5,1)),0,ROUND(IF(AD8=2,VLOOKUP(N8,IF(L8&lt;$G$7,$A$20:$E$23,$F$144:$J$147),IF($B$19=VLOOKUP(L8,$B$2:$G$4,3,TRUE),2,IF($C$19=VLOOKUP(L8,$B$2:$G$4,3,TRUE),3,IF($D$19=VLOOKUP(L8,$B$2:$G$4,3,TRUE),4,5))),TRUE),VLOOKUP(N8,IF(L8&lt;$G$7,$A$20:$E$23,$F$144:$J$147),IF($B$19=VLOOKUP(L8,$B$2:$G$4,3,TRUE),2,IF($C$19=VLOOKUP(L8,$B$2:$G$4,3,TRUE),3,IF($D$19=VLOOKUP(L8,$B$2:$G$4,3,TRUE),4,5))),TRUE))*(DAY(M8)-DAY(L8)+1)/DAY(EOMONTH(L8,0)),0))))</f>
        <v>500</v>
      </c>
      <c r="X8" s="457">
        <f>IF(L8="","",IF(Main!$C$26="UGC",0,IF(OR(K8&lt;DATE(2010,4,1),AD8=3,N8=VLOOKUP(N8,'IN RPS-2015'!$I$2:$J$5,1)),0,ROUND(IF(AD8=2,IF(L8&lt;$J$152,Main!$L$9,Main!$CI$3)/2,IF(L8&lt;$J$152,Main!$L$9,Main!$CI$3))*(DAY(M8)-DAY(L8)+1)/DAY(EOMONTH(L8,0)),0))))</f>
        <v>0</v>
      </c>
      <c r="Y8" s="497"/>
      <c r="Z8" s="457">
        <f>IF(L8="","",IF(Main!$C$26="UGC",0,IF(OR(AD8=3,N8=VLOOKUP(N8,'IN RPS-2015'!$I$2:$J$5,1)),0,ROUND(IF(AD8=2,VLOOKUP(O8,IF(L8&lt;$J$152,$A$154:$E$159,$F$154:$J$159),IF($B$10=VLOOKUP(K8,$B$2:$G$4,6,TRUE),2,IF($B$10=VLOOKUP(K8,$B$2:$G$4,6,TRUE),3,IF($D$10=VLOOKUP(K8,$B$2:$G$4,6,TRUE),4,5))))/2,VLOOKUP(O8,IF(L8&lt;$J$152,$A$154:$E$159,$F$154:$J$159),IF($B$10=VLOOKUP(K8,$B$2:$G$4,6,TRUE),2,IF($B$10=VLOOKUP(K8,$B$2:$G$4,6,TRUE),3,IF($D$10=VLOOKUP(K8,$B$2:$G$4,6,TRUE),4,5)))))*(DAY(M8)-DAY(L8)+1)/DAY(EOMONTH(L8,0)),0))))</f>
        <v>0</v>
      </c>
      <c r="AA8" s="497">
        <f t="shared" si="83"/>
        <v>71051</v>
      </c>
      <c r="AB8" s="497"/>
      <c r="AC8" s="497"/>
      <c r="AD8" s="497">
        <f t="shared" si="53"/>
        <v>1</v>
      </c>
      <c r="AE8" s="497"/>
      <c r="AF8" s="497"/>
      <c r="AH8" s="461"/>
      <c r="AI8" s="499" t="str">
        <f t="shared" si="54"/>
        <v/>
      </c>
      <c r="AJ8" s="500" t="str">
        <f t="shared" si="84"/>
        <v/>
      </c>
      <c r="AK8" s="484" t="str">
        <f>IF(AJ8="","",MIN(EOMONTH(AJ8,0),VLOOKUP(AJ8,'IN RPS-2015'!$O$164:$P$202,2,TRUE)-1,LOOKUP(AJ8,$E$47:$F$53)-1,IF(AJ8&lt;$B$2,$B$2-1,'IN RPS-2015'!$Q$9),IF(AJ8&lt;$B$3,$B$3-1,'IN RPS-2015'!$Q$9),IF(AJ8&lt;$B$4,$B$4-1,'IN RPS-2015'!$Q$9),LOOKUP(AJ8,$H$47:$I$53)))</f>
        <v/>
      </c>
      <c r="AL8" s="490" t="str">
        <f>IF(AJ8="","",VLOOKUP(AJ8,'IN RPS-2015'!$P$164:$AA$202,9))</f>
        <v/>
      </c>
      <c r="AM8" s="461" t="str">
        <f t="shared" si="66"/>
        <v/>
      </c>
      <c r="AN8" s="461" t="str">
        <f>IF(AJ8="","",IF(AND($AG$3=$AG$1,AJ8&lt;=$AZ$1),0,ROUND(IF(BB8=3,0,IF(BB8=2,IF(AL8=VLOOKUP(AL8,'IN RPS-2015'!$I$2:$J$5,1),0,Main!$H$9)/2,IF(AL8=VLOOKUP(AL8,'IN RPS-2015'!$I$2:$J$5,1),0,Main!$H$9)))*(DAY(AK8)-DAY(AJ8)+1)/DAY(EOMONTH(AJ8,0)),0)))</f>
        <v/>
      </c>
      <c r="AO8" s="461" t="str">
        <f>IF(AJ8="","",IF(AND($AG$3=$AG$1,AJ8&lt;=$AZ$1),0,IF(AL8=VLOOKUP(AL8,'IN RPS-2015'!$I$2:$J$5,1),0,ROUND(AM8*VLOOKUP(AJ8,$AF$4:$AG$7,2)%,0))))</f>
        <v/>
      </c>
      <c r="AP8" s="461" t="str">
        <f>IF(AJ8="","",IF(AND($AG$3=$AG$1,AJ8&lt;=$AZ$1),0,IF(OR(BB8=3,AL8=VLOOKUP(AL8,'IN RPS-2015'!$I$2:$J$5,1)),0,ROUND(MIN(ROUND(AL8*VLOOKUP(AJ8,$B$1:$G$4,2)%,0),VLOOKUP(AJ8,$B$2:$I$4,IF($AG$3=$I$29,7,8),TRUE))*(DAY(AK8)-DAY(AJ8)+1)/DAY(EOMONTH(AJ8,0)),0))))</f>
        <v/>
      </c>
      <c r="AQ8" s="491" t="str">
        <f>IF(AJ8="","",IF(AND($AG$3=$AG$1,AJ8&lt;=$AZ$1),0,IF(Main!$C$26="UGC",0,IF(OR(AJ8&lt;DATE(2010,4,1),$I$6=VLOOKUP(AJ8,$B$2:$G$4,5,TRUE),AL8=VLOOKUP(AL8,'IN RPS-2015'!$I$2:$J$5,1)),0,ROUND(IF(BB8=3,0,IF(BB8=2,MIN(ROUND(AL8*$G$13%,0),IF(AJ8&lt;$J$152,$G$14,$G$15))/2,MIN(ROUND(AL8*$G$13%,0),IF(AJ8&lt;$J$152,$G$14,$G$15))))*(DAY(AK8)-DAY(AJ8)+1)/DAY(EOMONTH(AJ8,0)),0)))))</f>
        <v/>
      </c>
      <c r="AR8" s="461" t="str">
        <f>IF(AJ8="","",IF(AND($AG$3=$AG$1,AJ8&lt;=$AZ$1),0,IF(Main!$C$26="UGC",0,IF(AL8=VLOOKUP(AL8,'IN RPS-2015'!$I$2:$J$5,1),0,ROUND(AM8*VLOOKUP(AJ8,$AF$11:$AG$12,2)%,0)))))</f>
        <v/>
      </c>
      <c r="AS8" s="461" t="str">
        <f>IF(AJ8="","",IF(AND($AG$3=$AG$1,AJ8&lt;=$AZ$1),0,IF(Main!$C$26="UGC",0,IF(AJ8&lt;DATE(2010,4,1),0,IF(OR(BB8=2,BB8=3,AL8=VLOOKUP(AL8,'IN RPS-2015'!$I$2:$J$5,1)),0,ROUND(IF(AJ8&lt;$J$152,VLOOKUP(AJ8,$B$1:$G$4,4),VLOOKUP(VLOOKUP(AJ8,$B$1:$G$4,4),Main!$CE$2:$CF$5,2,FALSE))*(DAY(AK8)-DAY(AJ8)+1)/DAY(EOMONTH(AJ8,0)),0))))))</f>
        <v/>
      </c>
      <c r="AT8" s="461" t="str">
        <f>IF(AJ8="","",IF(AND($AG$3=$AG$1,AJ8&lt;=$AZ$1),0,IF(OR(BB8=2,BB8=3,$D$31=$D$28,AL8=VLOOKUP(AL8,'IN RPS-2015'!$I$2:$J$5,1)),0,ROUND(MIN(VLOOKUP(AI8,$A$27:$C$29,2,TRUE),ROUND(AL8*VLOOKUP(AI8,$A$27:$C$29,3,TRUE)%,0))*IF(AI8=$A$36,$C$36,IF(AI8=$A$37,$C$37,IF(AI8=$A$38,$C$38,IF(AI8=$A$39,$C$39,IF(AI8=$A$40,$C$40,IF(AI8=$A$41,$C$41,1))))))*(DAY(AK8)-DAY(AJ8)+1)/DAY(EOMONTH(AJ8,0)),0))))</f>
        <v/>
      </c>
      <c r="AU8" s="461" t="str">
        <f>IF(AJ8="","",IF(AND($AG$3=$AG$1,AJ8&lt;=$AZ$1),0,IF(Main!$C$26="UGC",0,IF(OR(BB8=3,AL8=VLOOKUP(AL8,'IN RPS-2015'!$I$2:$J$5,1)),0,ROUND(IF(BB8=2,VLOOKUP(AL8,IF($AG$3=$I$29,$A$20:$E$23,$F$144:$J$147),IF($B$19=VLOOKUP(AJ8,$B$2:$G$4,3,TRUE),2,IF($C$19=VLOOKUP(AJ8,$B$2:$G$4,3,TRUE),3,IF($D$19=VLOOKUP(AJ8,$B$2:$G$4,3,TRUE),4,5))),TRUE),VLOOKUP(AL8,IF($AG$3=$I$29,$A$20:$E$23,$F$144:$J$147),IF($B$19=VLOOKUP(AJ8,$B$2:$G$4,3,TRUE),2,IF($C$19=VLOOKUP(AJ8,$B$2:$G$4,3,TRUE),3,IF($D$19=VLOOKUP(AJ8,$B$2:$G$4,3,TRUE),4,5))),TRUE))*(DAY(AK8)-DAY(AJ8)+1)/DAY(EOMONTH(AJ8,0)),0)))))</f>
        <v/>
      </c>
      <c r="AV8" s="461" t="str">
        <f>IF(AJ8="","",IF(AND($AG$3=$AG$1,AJ8&lt;=$AZ$1),0,IF(Main!$C$26="UGC",0,IF(OR(AI8&lt;DATE(2010,4,1),BB8=3,AL8=VLOOKUP(AL8,'IN RPS-2015'!$I$2:$J$5,1)),0,ROUND(IF(BB8=2,IF(AJ8&lt;$J$152,Main!$L$9,Main!$CI$3)/2,IF(AJ8&lt;$J$152,Main!$L$9,Main!$CI$3))*(DAY(AK8)-DAY(AJ8)+1)/DAY(EOMONTH(AJ8,0)),0)))))</f>
        <v/>
      </c>
      <c r="AW8" s="461"/>
      <c r="AX8" s="461" t="str">
        <f>IF(AJ8="","",IF(AND($AG$3=$AG$1,AJ8&lt;=$AZ$1),0,IF(Main!$C$26="UGC",0,IF(OR(BB8=3,AL8=VLOOKUP(AL8,'IN RPS-2015'!$I$2:$J$5,1)),0,ROUND(IF(BB8=2,VLOOKUP(AM8,IF(AJ8&lt;$J$152,$A$154:$E$159,$F$154:$J$159),IF($B$10=VLOOKUP(AI8,$B$2:$G$4,6,TRUE),2,IF($B$10=VLOOKUP(AI8,$B$2:$G$4,6,TRUE),3,IF($D$10=VLOOKUP(AI8,$B$2:$G$4,6,TRUE),4,5))))/2,VLOOKUP(AM8,IF(AJ8&lt;$J$152,$A$154:$E$159,$F$154:$J$159),IF($B$10=VLOOKUP(AI8,$B$2:$G$4,6,TRUE),2,IF($B$10=VLOOKUP(AI8,$B$2:$G$4,6,TRUE),3,IF($D$10=VLOOKUP(AI8,$B$2:$G$4,6,TRUE),4,5)))))*(DAY(AK8)-DAY(AJ8)+1)/DAY(EOMONTH(AJ8,0)),0)))))</f>
        <v/>
      </c>
      <c r="AY8" s="461">
        <f t="shared" si="67"/>
        <v>0</v>
      </c>
      <c r="AZ8" s="464" t="str">
        <f>IF(AJ8="","",IF(AND($AG$3=$AG$1,AJ8&lt;=$AZ$1),0,IF(AND(Main!$F$22=Main!$CA$24,AJ8&gt;$AZ$1),ROUND(SUM(AM8,AO8)*10%,0),"")))</f>
        <v/>
      </c>
      <c r="BA8" s="464" t="str">
        <f>IF(AI8="","",IF(AND($AG$3=$AG$1,AJ8&lt;=$AZ$1),0,IF(OR(Main!$H$10=Main!$BH$4,Main!$H$10=Main!$BH$5),0,LOOKUP(AY8*DAY(EOMONTH(AJ8,0))/(DAY(AK8)-DAY(AJ8)+1),$H$184:$I$189))))</f>
        <v/>
      </c>
      <c r="BB8" s="497">
        <f t="shared" si="55"/>
        <v>1</v>
      </c>
      <c r="BC8" s="464"/>
      <c r="BD8" s="501" t="str">
        <f t="shared" si="56"/>
        <v/>
      </c>
      <c r="BE8" s="502" t="str">
        <f t="shared" si="85"/>
        <v/>
      </c>
      <c r="BF8" s="484" t="str">
        <f>IF(BE8="","",MIN(EOMONTH(BE8,0),VLOOKUP(BE8,'IN RPS-2015'!$O$164:$P$202,2,TRUE)-1,LOOKUP(BE8,$E$47:$F$53)-1,IF(BE8&lt;$B$2,$B$2-1,'IN RPS-2015'!$Q$9),IF(BE8&lt;$B$3,$B$3-1,'IN RPS-2015'!$Q$9),IF(BE8&lt;$B$4,$B$4-1,'IN RPS-2015'!$Q$9),LOOKUP(BE8,$H$47:$I$53)))</f>
        <v/>
      </c>
      <c r="BG8" s="493" t="str">
        <f>IF(BE8="","",VLOOKUP(BE8,'IN RPS-2015'!$P$164:$AA$202,10))</f>
        <v/>
      </c>
      <c r="BH8" s="461" t="str">
        <f t="shared" si="68"/>
        <v/>
      </c>
      <c r="BI8" s="461" t="str">
        <f>IF(BE8="","",IF(AND($AG$3=$AG$1,BE8&lt;=$AZ$1),0,ROUND(IF(BW8=3,0,IF(BW8=2,IF(BG8=VLOOKUP(BG8,'IN RPS-2015'!$I$2:$J$5,1),0,Main!$H$9)/2,IF(BG8=VLOOKUP(BG8,'IN RPS-2015'!$I$2:$J$5,1),0,Main!$H$9)))*(DAY(BF8)-DAY(BE8)+1)/DAY(EOMONTH(BE8,0)),0)))</f>
        <v/>
      </c>
      <c r="BJ8" s="461" t="str">
        <f>IF(BE8="","",IF(AND($AG$3=$AG$1,BE8&lt;=$AZ$1),0,IF(BG8=VLOOKUP(BG8,'IN RPS-2015'!$I$2:$J$5,1),0,ROUND(BH8*VLOOKUP(BE8,$AF$4:$AG$7,2)%,0))))</f>
        <v/>
      </c>
      <c r="BK8" s="461" t="str">
        <f>IF(BE8="","",IF(AND($AG$3=$AG$1,BE8&lt;=$AZ$1),0,IF(OR(BW8=3,BG8=VLOOKUP(BG8,'IN RPS-2015'!$I$2:$J$5,1)),0,ROUND(MIN(ROUND(BG8*VLOOKUP(BE8,$B$1:$G$4,2)%,0),VLOOKUP(BE8,$B$2:$I$4,IF($AG$3=$I$29,7,8),TRUE))*(DAY(BF8)-DAY(BE8)+1)/DAY(EOMONTH(BE8,0)),0))))</f>
        <v/>
      </c>
      <c r="BL8" s="491" t="str">
        <f>IF(BE8="","",IF(AND($AG$3=$AG$1,BE8&lt;=$AZ$1),0,IF(Main!$C$26="UGC",0,IF(OR(BE8&lt;DATE(2010,4,1),$I$6=VLOOKUP(BE8,$B$2:$G$4,5,TRUE),BG8=VLOOKUP(BG8,'IN RPS-2015'!$I$2:$J$5,1)),0,ROUND(IF(BW8=3,0,IF(BW8=2,MIN(ROUND(BG8*$G$13%,0),IF(BE8&lt;$J$152,$G$14,$G$15))/2,MIN(ROUND(BG8*$G$13%,0),IF(BE8&lt;$J$152,$G$14,$G$15))))*(DAY(BF8)-DAY(BE8)+1)/DAY(EOMONTH(BE8,0)),0)))))</f>
        <v/>
      </c>
      <c r="BM8" s="461" t="str">
        <f>IF(BE8="","",IF(AND($AG$3=$AG$1,BE8&lt;=$AZ$1),0,IF(Main!$C$26="UGC",0,IF(BG8=VLOOKUP(BG8,'IN RPS-2015'!$I$2:$J$5,1),0,ROUND(BH8*VLOOKUP(BE8,$AF$11:$AG$12,2)%,0)))))</f>
        <v/>
      </c>
      <c r="BN8" s="461" t="str">
        <f>IF(BE8="","",IF(AND($AG$3=$AG$1,BE8&lt;=$AZ$1),0,IF(Main!$C$26="UGC",0,IF(BE8&lt;DATE(2010,4,1),0,IF(OR(BW8=2,BW8=3,BG8=VLOOKUP(BG8,'IN RPS-2015'!$I$2:$J$5,1)),0,ROUND(IF(BE8&lt;$J$152,VLOOKUP(BE8,$B$1:$G$4,4),VLOOKUP(VLOOKUP(BE8,$B$1:$G$4,4),Main!$CE$2:$CF$5,2,FALSE))*(DAY(BF8)-DAY(BE8)+1)/DAY(EOMONTH(BE8,0)),0))))))</f>
        <v/>
      </c>
      <c r="BO8" s="461" t="str">
        <f>IF(BE8="","",IF(AND($AG$3=$AG$1,BE8&lt;=$AZ$1),0,IF(OR(BW8=2,BW8=3,$D$31=$D$28,BG8=VLOOKUP(BG8,'IN RPS-2015'!$I$2:$J$5,1)),0,ROUND(MIN(VLOOKUP(BD8,$A$27:$C$29,2,TRUE),ROUND(BG8*VLOOKUP(BD8,$A$27:$C$29,3,TRUE)%,0))*IF(BD8=$A$36,$C$36,IF(BD8=$A$37,$C$37,IF(BD8=$A$38,$C$38,IF(BD8=$A$39,$C$39,IF(BD8=$A$40,$C$40,IF(BD8=$A$41,$C$41,1))))))*(DAY(BF8)-DAY(BE8)+1)/DAY(EOMONTH(BE8,0)),0))))</f>
        <v/>
      </c>
      <c r="BP8" s="461" t="str">
        <f>IF(BE8="","",IF(AND($AG$3=$AG$1,BE8&lt;=$AZ$1),0,IF(Main!$C$26="UGC",0,IF(OR(BW8=3,BG8=VLOOKUP(BG8,'IN RPS-2015'!$I$2:$J$5,1)),0,ROUND(IF(BW8=2,VLOOKUP(BG8,IF($AG$3=$I$29,$A$20:$E$23,$F$144:$J$147),IF($B$19=VLOOKUP(BE8,$B$2:$G$4,3,TRUE),2,IF($C$19=VLOOKUP(BE8,$B$2:$G$4,3,TRUE),3,IF($D$19=VLOOKUP(BE8,$B$2:$G$4,3,TRUE),4,5))),TRUE),VLOOKUP(BG8,IF($AG$3=$I$29,$A$20:$E$23,$F$144:$J$147),IF($B$19=VLOOKUP(BE8,$B$2:$G$4,3,TRUE),2,IF($C$19=VLOOKUP(BE8,$B$2:$G$4,3,TRUE),3,IF($D$19=VLOOKUP(BE8,$B$2:$G$4,3,TRUE),4,5))),TRUE))*(DAY(BF8)-DAY(BE8)+1)/DAY(EOMONTH(BE8,0)),0)))))</f>
        <v/>
      </c>
      <c r="BQ8" s="461" t="str">
        <f>IF(BE8="","",IF(AND($AG$3=$AG$1,BE8&lt;=$AZ$1),0,IF(Main!$C$26="UGC",0,IF(OR(BD8&lt;DATE(2010,4,1),BW8=3,BG8=VLOOKUP(BG8,'IN RPS-2015'!$I$2:$J$5,1)),0,ROUND(IF(BW8=2,IF(BE8&lt;$J$152,Main!$L$9,Main!$CI$3)/2,IF(BE8&lt;$J$152,Main!$L$9,Main!$CI$3))*(DAY(BF8)-DAY(BE8)+1)/DAY(EOMONTH(BE8,0)),0)))))</f>
        <v/>
      </c>
      <c r="BR8" s="461"/>
      <c r="BS8" s="461" t="str">
        <f>IF(BE8="","",IF(AND($AG$3=$AG$1,BE8&lt;=$AZ$1),0,IF(Main!$C$26="UGC",0,IF(OR(BW8=3,BG8=VLOOKUP(BG8,'IN RPS-2015'!$I$2:$J$5,1)),0,ROUND(IF(BW8=2,VLOOKUP(BH8,IF(BE8&lt;$J$152,$A$154:$E$159,$F$154:$J$159),IF($B$10=VLOOKUP(BD8,$B$2:$G$4,6,TRUE),2,IF($B$10=VLOOKUP(BD8,$B$2:$G$4,6,TRUE),3,IF($D$10=VLOOKUP(BD8,$B$2:$G$4,6,TRUE),4,5))))/2,VLOOKUP(BH8,IF(BE8&lt;$J$152,$A$154:$E$159,$F$154:$J$159),IF($B$10=VLOOKUP(BD8,$B$2:$G$4,6,TRUE),2,IF($B$10=VLOOKUP(BD8,$B$2:$G$4,6,TRUE),3,IF($D$10=VLOOKUP(BD8,$B$2:$G$4,6,TRUE),4,5)))))*(DAY(BF8)-DAY(BE8)+1)/DAY(EOMONTH(BE8,0)),0)))))</f>
        <v/>
      </c>
      <c r="BT8" s="461">
        <f t="shared" si="69"/>
        <v>0</v>
      </c>
      <c r="BU8" s="464" t="str">
        <f>IF(BE8="","",IF(AND($AG$3=$AG$1,BE8&lt;=$AZ$1),0,IF(AND(Main!$F$22=Main!$CA$24,BE8&gt;$AZ$1),ROUND(SUM(BH8,BJ8)*10%,0),"")))</f>
        <v/>
      </c>
      <c r="BV8" s="464" t="str">
        <f>IF(BD8="","",IF(AND($AG$3=$AG$1,BE8&lt;=$AZ$1),0,IF(OR(Main!$H$10=Main!$BH$4,Main!$H$10=Main!$BH$5),0,LOOKUP(BT8*DAY(EOMONTH(BE8,0))/(DAY(BF8)-DAY(BE8)+1),$H$184:$I$189))))</f>
        <v/>
      </c>
      <c r="BW8" s="503">
        <f t="shared" si="70"/>
        <v>1</v>
      </c>
      <c r="BX8" s="457">
        <f t="shared" si="71"/>
        <v>0</v>
      </c>
      <c r="BY8" s="497"/>
      <c r="BZ8" s="497"/>
      <c r="CA8" s="457"/>
      <c r="CB8" s="461"/>
      <c r="CC8" s="499" t="str">
        <f t="shared" si="57"/>
        <v/>
      </c>
      <c r="CD8" s="500" t="str">
        <f t="shared" si="86"/>
        <v/>
      </c>
      <c r="CE8" s="484" t="str">
        <f>IF(CD8="","",MIN(EOMONTH(CD8,0),VLOOKUP(CD8,'IN RPS-2015'!$O$164:$P$202,2,TRUE)-1,LOOKUP(CD8,$E$47:$F$53)-1,IF(CD8&lt;$B$2,$B$2-1,'IN RPS-2015'!$Q$9),IF(CD8&lt;$B$3,$B$3-1,'IN RPS-2015'!$Q$9),IF(CD8&lt;$B$4,$B$4-1,'IN RPS-2015'!$Q$9),LOOKUP(CD8,$H$47:$I$53)))</f>
        <v/>
      </c>
      <c r="CF8" s="490" t="str">
        <f>IF(CD8="","",VLOOKUP(CD8,'IN RPS-2015'!$T$207:$Y$222,5))</f>
        <v/>
      </c>
      <c r="CG8" s="461" t="str">
        <f t="shared" si="72"/>
        <v/>
      </c>
      <c r="CH8" s="461" t="str">
        <f>IF(CD8="","",IF(AND($CA$3=$CA$1,CD8&lt;=$CT$1),0,ROUND(IF(CV8=3,0,IF(CV8=2,IF(CF8=VLOOKUP(CF8,'IN RPS-2015'!$I$2:$J$5,1),0,Main!$H$9)/2,IF(CF8=VLOOKUP(CF8,'IN RPS-2015'!$I$2:$J$5,1),0,Main!$H$9)))*(DAY(CE8)-DAY(CD8)+1)/DAY(EOMONTH(CD8,0)),0)))</f>
        <v/>
      </c>
      <c r="CI8" s="461" t="str">
        <f>IF(CD8="","",IF(AND($CA$3=$CA$1,CD8&lt;=$CT$1),0,IF(CF8=VLOOKUP(CF8,'IN RPS-2015'!$I$2:$J$5,1),0,ROUND(CG8*VLOOKUP(CD8,$BZ$4:$CA$7,2)%,0))))</f>
        <v/>
      </c>
      <c r="CJ8" s="461" t="str">
        <f>IF(CD8="","",IF(AND($CA$3=$CA$1,CD8&lt;=$CT$1),0,IF(OR(CV8=3,CF8=VLOOKUP(CF8,'IN RPS-2015'!$I$2:$J$5,1)),0,ROUND(MIN(ROUND(CF8*VLOOKUP(CD8,$B$1:$G$4,2)%,0),VLOOKUP(CD8,$B$2:$I$4,IF($CA$3=$I$29,7,8),TRUE))*(DAY(CE8)-DAY(CD8)+1)/DAY(EOMONTH(CD8,0)),0))))</f>
        <v/>
      </c>
      <c r="CK8" s="491" t="str">
        <f>IF(CD8="","",IF(AND($CA$3=$CA$1,CD8&lt;=$CT$1),0,IF(Main!$C$26="UGC",0,IF(OR(CD8&lt;DATE(2010,4,1),$I$6=VLOOKUP(CD8,$B$2:$G$4,5,TRUE),CF8=VLOOKUP(CF8,'IN RPS-2015'!$I$2:$J$5,1)),0,ROUND(IF(CV8=3,0,IF(CV8=2,MIN(ROUND(CF8*$G$13%,0),IF(CD8&lt;$J$152,$G$14,$G$15))/2,MIN(ROUND(CF8*$G$13%,0),IF(CD8&lt;$J$152,$G$14,$G$15))))*(DAY(CE8)-DAY(CD8)+1)/DAY(EOMONTH(CD8,0)),0)))))</f>
        <v/>
      </c>
      <c r="CL8" s="461" t="str">
        <f>IF(CD8="","",IF(AND($CA$3=$CA$1,CD8&lt;=$CT$1),0,IF(Main!$C$26="UGC",0,IF(CF8=VLOOKUP(CF8,'IN RPS-2015'!$I$2:$J$5,1),0,ROUND(CG8*VLOOKUP(CD8,$BZ$11:$CA$12,2)%,0)))))</f>
        <v/>
      </c>
      <c r="CM8" s="461" t="str">
        <f>IF(CD8="","",IF(AND($CA$3=$CA$1,CD8&lt;=$CT$1),0,IF(Main!$C$26="UGC",0,IF(CD8&lt;DATE(2010,4,1),0,IF(OR(CV8=2,CV8=3,CF8=VLOOKUP(CF8,'IN RPS-2015'!$I$2:$J$5,1)),0,ROUND(IF(CD8&lt;$J$152,VLOOKUP(CD8,$B$1:$G$4,4),VLOOKUP(VLOOKUP(CD8,$B$1:$G$4,4),Main!$CE$2:$CF$5,2,FALSE))*(DAY(CE8)-DAY(CD8)+1)/DAY(EOMONTH(CD8,0)),0))))))</f>
        <v/>
      </c>
      <c r="CN8" s="461" t="str">
        <f>IF(CD8="","",IF(AND($CA$3=$CA$1,CD8&lt;=$CT$1),0,IF(OR(CV8=2,CV8=3,$D$31=$D$28,CF8=VLOOKUP(CF8,'IN RPS-2015'!$I$2:$J$5,1)),0,ROUND(MIN(VLOOKUP(CC8,$A$27:$C$29,2,TRUE),ROUND(CF8*VLOOKUP(CC8,$A$27:$C$29,3,TRUE)%,0))*IF(CC8=$A$36,$C$36,IF(CC8=$A$37,$C$37,IF(CC8=$A$38,$C$38,IF(CC8=$A$39,$C$39,IF(CC8=$A$40,$C$40,IF(CC8=$A$41,$C$41,1))))))*(DAY(CE8)-DAY(CD8)+1)/DAY(EOMONTH(CD8,0)),0))))</f>
        <v/>
      </c>
      <c r="CO8" s="461" t="str">
        <f>IF(CD8="","",IF(AND($CA$3=$CA$1,CD8&lt;=$CT$1),0,IF(Main!$C$26="UGC",0,IF(OR(CV8=3,CF8=VLOOKUP(CF8,'IN RPS-2015'!$I$2:$J$5,1)),0,ROUND(IF(CV8=2,VLOOKUP(CF8,IF($CA$3=$I$29,$A$20:$E$23,$F$144:$J$147),IF($B$19=VLOOKUP(CD8,$B$2:$G$4,3,TRUE),2,IF($C$19=VLOOKUP(CD8,$B$2:$G$4,3,TRUE),3,IF($D$19=VLOOKUP(CD8,$B$2:$G$4,3,TRUE),4,5))),TRUE),VLOOKUP(CF8,IF($CA$3=$I$29,$A$20:$E$23,$F$144:$J$147),IF($B$19=VLOOKUP(CD8,$B$2:$G$4,3,TRUE),2,IF($C$19=VLOOKUP(CD8,$B$2:$G$4,3,TRUE),3,IF($D$19=VLOOKUP(CD8,$B$2:$G$4,3,TRUE),4,5))),TRUE))*(DAY(CE8)-DAY(CD8)+1)/DAY(EOMONTH(CD8,0)),0)))))</f>
        <v/>
      </c>
      <c r="CP8" s="461" t="str">
        <f>IF(CD8="","",IF(AND($CA$3=$CA$1,CD8&lt;=$CT$1),0,IF(Main!$C$26="UGC",0,IF(OR(CC8&lt;DATE(2010,4,1),CV8=3,CF8=VLOOKUP(CF8,'IN RPS-2015'!$I$2:$J$5,1)),0,ROUND(IF(CV8=2,IF(CD8&lt;$J$152,Main!$L$9,Main!$CI$3)/2,IF(CD8&lt;$J$152,Main!$L$9,Main!$CI$3))*(DAY(CE8)-DAY(CD8)+1)/DAY(EOMONTH(CD8,0)),0)))))</f>
        <v/>
      </c>
      <c r="CQ8" s="461"/>
      <c r="CR8" s="461" t="str">
        <f>IF(CD8="","",IF(AND($CA$3=$CA$1,CD8&lt;=$CT$1),0,IF(Main!$C$26="UGC",0,IF(OR(CV8=3,CF8=VLOOKUP(CF8,'IN RPS-2015'!$I$2:$J$5,1)),0,ROUND(IF(CV8=2,VLOOKUP(CG8,IF(CD8&lt;$J$152,$A$154:$E$159,$F$154:$J$159),IF($B$10=VLOOKUP(CC8,$B$2:$G$4,6,TRUE),2,IF($B$10=VLOOKUP(CC8,$B$2:$G$4,6,TRUE),3,IF($D$10=VLOOKUP(CC8,$B$2:$G$4,6,TRUE),4,5))))/2,VLOOKUP(CG8,IF(CD8&lt;$J$152,$A$154:$E$159,$F$154:$J$159),IF($B$10=VLOOKUP(CC8,$B$2:$G$4,6,TRUE),2,IF($B$10=VLOOKUP(CC8,$B$2:$G$4,6,TRUE),3,IF($D$10=VLOOKUP(CC8,$B$2:$G$4,6,TRUE),4,5)))))*(DAY(CE8)-DAY(CD8)+1)/DAY(EOMONTH(CD8,0)),0)))))</f>
        <v/>
      </c>
      <c r="CS8" s="461">
        <f t="shared" si="73"/>
        <v>0</v>
      </c>
      <c r="CT8" s="464" t="str">
        <f>IF(CD8="","",IF(AND($CA$3=$CA$1,CD8&lt;=$CT$1),0,IF(AND(Main!$F$22=Main!$CA$24,CD8&gt;$CT$1),ROUND(SUM(CG8,CI8)*10%,0),"")))</f>
        <v/>
      </c>
      <c r="CU8" s="464" t="str">
        <f>IF(CC8="","",IF(CG8=0,0,IF(OR(Main!$H$10=Main!$BH$4,Main!$H$10=Main!$BH$5),0,LOOKUP(CS8*DAY(EOMONTH(CD8,0))/(DAY(CE8)-DAY(CD8)+1),$H$184:$I$189))))</f>
        <v/>
      </c>
      <c r="CV8" s="457">
        <f t="shared" si="74"/>
        <v>1</v>
      </c>
      <c r="CW8" s="464"/>
      <c r="CX8" s="501" t="str">
        <f t="shared" si="59"/>
        <v/>
      </c>
      <c r="CY8" s="502" t="str">
        <f t="shared" si="87"/>
        <v/>
      </c>
      <c r="CZ8" s="484" t="str">
        <f>IF(CY8="","",MIN(EOMONTH(CY8,0),VLOOKUP(CY8,'IN RPS-2015'!$O$164:$P$202,2,TRUE)-1,LOOKUP(CY8,$E$47:$F$53)-1,IF(CY8&lt;$B$2,$B$2-1,'IN RPS-2015'!$Q$9),IF(CY8&lt;$B$3,$B$3-1,'IN RPS-2015'!$Q$9),IF(CY8&lt;$B$4,$B$4-1,'IN RPS-2015'!$Q$9),LOOKUP(CY8,$H$47:$I$53)))</f>
        <v/>
      </c>
      <c r="DA8" s="493" t="str">
        <f>IF(CY8="","",VLOOKUP(CY8,'IN RPS-2015'!$T$207:$Y$222,6))</f>
        <v/>
      </c>
      <c r="DB8" s="461" t="str">
        <f t="shared" si="75"/>
        <v/>
      </c>
      <c r="DC8" s="461" t="str">
        <f>IF(CY8="","",IF(AND($CA$3=$CA$1,CY8&lt;=$CT$1),0,ROUND(IF(DQ8=3,0,IF(DQ8=2,IF(DA8=VLOOKUP(DA8,'IN RPS-2015'!$I$2:$J$5,1),0,Main!$H$9)/2,IF(DA8=VLOOKUP(DA8,'IN RPS-2015'!$I$2:$J$5,1),0,Main!$H$9)))*(DAY(CZ8)-DAY(CY8)+1)/DAY(EOMONTH(CY8,0)),0)))</f>
        <v/>
      </c>
      <c r="DD8" s="461" t="str">
        <f>IF(CY8="","",IF(AND($CA$3=$CA$1,CY8&lt;=$CT$1),0,IF(DA8=VLOOKUP(DA8,'IN RPS-2015'!$I$2:$J$5,1),0,ROUND(DB8*VLOOKUP(CY8,$BZ$4:$CA$7,2)%,0))))</f>
        <v/>
      </c>
      <c r="DE8" s="461" t="str">
        <f>IF(CY8="","",IF(AND($CA$3=$CA$1,CY8&lt;=$CT$1),0,IF(OR(DQ8=3,DA8=VLOOKUP(DA8,'IN RPS-2015'!$I$2:$J$5,1)),0,ROUND(MIN(ROUND(DA8*VLOOKUP(CY8,$B$1:$G$4,2)%,0),VLOOKUP(CY8,$B$2:$I$4,IF($CA$3=$I$29,7,8),TRUE))*(DAY(CZ8)-DAY(CY8)+1)/DAY(EOMONTH(CY8,0)),0))))</f>
        <v/>
      </c>
      <c r="DF8" s="491" t="str">
        <f>IF(CY8="","",IF(AND($CA$3=$CA$1,CY8&lt;=$CT$1),0,IF(Main!$C$26="UGC",0,IF(OR(CY8&lt;DATE(2010,4,1),$I$6=VLOOKUP(CY8,$B$2:$G$4,5,TRUE),DA8=VLOOKUP(DA8,'IN RPS-2015'!$I$2:$J$5,1)),0,ROUND(IF(DQ8=3,0,IF(DQ8=2,MIN(ROUND(DA8*$G$13%,0),IF(CY8&lt;$J$152,$G$14,$G$15))/2,MIN(ROUND(DA8*$G$13%,0),IF(CY8&lt;$J$152,$G$14,$G$15))))*(DAY(CZ8)-DAY(CY8)+1)/DAY(EOMONTH(CY8,0)),0)))))</f>
        <v/>
      </c>
      <c r="DG8" s="461" t="str">
        <f>IF(CY8="","",IF(AND($CA$3=$CA$1,CY8&lt;=$CT$1),0,IF(Main!$C$26="UGC",0,IF(DA8=VLOOKUP(DA8,'IN RPS-2015'!$I$2:$J$5,1),0,ROUND(DB8*VLOOKUP(CY8,$BZ$11:$CA$12,2)%,0)))))</f>
        <v/>
      </c>
      <c r="DH8" s="461" t="str">
        <f>IF(CY8="","",IF(AND($CA$3=$CA$1,CY8&lt;=$CT$1),0,IF(Main!$C$26="UGC",0,IF(CY8&lt;DATE(2010,4,1),0,IF(OR(DQ8=2,DQ8=3,DA8=VLOOKUP(DA8,'IN RPS-2015'!$I$2:$J$5,1)),0,ROUND(IF(CY8&lt;$J$152,VLOOKUP(CY8,$B$1:$G$4,4),VLOOKUP(VLOOKUP(CY8,$B$1:$G$4,4),Main!$CE$2:$CF$5,2,FALSE))*(DAY(CZ8)-DAY(CY8)+1)/DAY(EOMONTH(CY8,0)),0))))))</f>
        <v/>
      </c>
      <c r="DI8" s="461" t="str">
        <f>IF(CY8="","",IF(AND($CA$3=$CA$1,CY8&lt;=$CT$1),0,IF(OR(DQ8=2,DQ8=3,$D$31=$D$28,DA8=VLOOKUP(DA8,'IN RPS-2015'!$I$2:$J$5,1)),0,ROUND(MIN(VLOOKUP(CX8,$A$27:$C$29,2,TRUE),ROUND(DA8*VLOOKUP(CX8,$A$27:$C$29,3,TRUE)%,0))*IF(CX8=$A$36,$C$36,IF(CX8=$A$37,$C$37,IF(CX8=$A$38,$C$38,IF(CX8=$A$39,$C$39,IF(CX8=$A$40,$C$40,IF(CX8=$A$41,$C$41,1))))))*(DAY(CZ8)-DAY(CY8)+1)/DAY(EOMONTH(CY8,0)),0))))</f>
        <v/>
      </c>
      <c r="DJ8" s="461" t="str">
        <f>IF(CY8="","",IF(AND($CA$3=$CA$1,CY8&lt;=$CT$1),0,IF(Main!$C$26="UGC",0,IF(OR(DQ8=3,DA8=VLOOKUP(DA8,'IN RPS-2015'!$I$2:$J$5,1)),0,ROUND(IF(DQ8=2,VLOOKUP(DA8,IF($CA$3=$I$29,$A$20:$E$23,$F$144:$J$147),IF($B$19=VLOOKUP(CY8,$B$2:$G$4,3,TRUE),2,IF($C$19=VLOOKUP(CY8,$B$2:$G$4,3,TRUE),3,IF($D$19=VLOOKUP(CY8,$B$2:$G$4,3,TRUE),4,5))),TRUE),VLOOKUP(DA8,IF($CA$3=$I$29,$A$20:$E$23,$F$144:$J$147),IF($B$19=VLOOKUP(CY8,$B$2:$G$4,3,TRUE),2,IF($C$19=VLOOKUP(CY8,$B$2:$G$4,3,TRUE),3,IF($D$19=VLOOKUP(CY8,$B$2:$G$4,3,TRUE),4,5))),TRUE))*(DAY(CZ8)-DAY(CY8)+1)/DAY(EOMONTH(CY8,0)),0)))))</f>
        <v/>
      </c>
      <c r="DK8" s="461" t="str">
        <f>IF(CY8="","",IF(AND($CA$3=$CA$1,CY8&lt;=$CT$1),0,IF(Main!$C$26="UGC",0,IF(OR(CX8&lt;DATE(2010,4,1),DQ8=3,DA8=VLOOKUP(DA8,'IN RPS-2015'!$I$2:$J$5,1)),0,ROUND(IF(DQ8=2,IF(CY8&lt;$J$152,Main!$L$9,Main!$CI$3)/2,IF(CY8&lt;$J$152,Main!$L$9,Main!$CI$3))*(DAY(CZ8)-DAY(CY8)+1)/DAY(EOMONTH(CY8,0)),0)))))</f>
        <v/>
      </c>
      <c r="DL8" s="461"/>
      <c r="DM8" s="461" t="str">
        <f>IF(CY8="","",IF(AND($CA$3=$CA$1,CY8&lt;=$CT$1),0,IF(Main!$C$26="UGC",0,IF(OR(DQ8=3,DA8=VLOOKUP(DA8,'IN RPS-2015'!$I$2:$J$5,1)),0,ROUND(IF(DQ8=2,VLOOKUP(DB8,IF(CY8&lt;$J$152,$A$154:$E$159,$F$154:$J$159),IF($B$10=VLOOKUP(CX8,$B$2:$G$4,6,TRUE),2,IF($B$10=VLOOKUP(CX8,$B$2:$G$4,6,TRUE),3,IF($D$10=VLOOKUP(CX8,$B$2:$G$4,6,TRUE),4,5))))/2,VLOOKUP(DB8,IF(CY8&lt;$J$152,$A$154:$E$159,$F$154:$J$159),IF($B$10=VLOOKUP(CX8,$B$2:$G$4,6,TRUE),2,IF($B$10=VLOOKUP(CX8,$B$2:$G$4,6,TRUE),3,IF($D$10=VLOOKUP(CX8,$B$2:$G$4,6,TRUE),4,5)))))*(DAY(CZ8)-DAY(CY8)+1)/DAY(EOMONTH(CY8,0)),0)))))</f>
        <v/>
      </c>
      <c r="DN8" s="461">
        <f t="shared" si="76"/>
        <v>0</v>
      </c>
      <c r="DO8" s="464" t="str">
        <f>IF(CY8="","",IF(AND($CA$3=$CA$1,CY8&lt;=$CT$1),0,IF(AND(Main!$F$22=Main!$CA$24,CY8&gt;$CT$1),ROUND(SUM(DB8,DD8)*10%,0),"")))</f>
        <v/>
      </c>
      <c r="DP8" s="464" t="str">
        <f>IF(CX8="","",IF(AND($CA$3=$CA$1,CY8&lt;=$CT$1),0,IF(OR(Main!$H$10=Main!$BH$4,Main!$H$10=Main!$BH$5),0,LOOKUP(DN8*DAY(EOMONTH(CY8,0))/(DAY(CZ8)-DAY(CY8)+1),$H$184:$I$189))))</f>
        <v/>
      </c>
      <c r="DQ8" s="457">
        <f t="shared" si="60"/>
        <v>1</v>
      </c>
      <c r="DR8" s="457">
        <f t="shared" si="77"/>
        <v>0</v>
      </c>
      <c r="DS8" s="497"/>
      <c r="DT8" s="497"/>
      <c r="DU8" s="457"/>
      <c r="DV8" s="461"/>
      <c r="DW8" s="499" t="str">
        <f t="shared" si="61"/>
        <v/>
      </c>
      <c r="DX8" s="500" t="str">
        <f t="shared" si="88"/>
        <v/>
      </c>
      <c r="DY8" s="484" t="str">
        <f>IF(DX8="","",MIN(EOMONTH(DX8,0),VLOOKUP(DX8,'IN RPS-2015'!$O$164:$P$202,2,TRUE)-1,LOOKUP(DX8,$E$47:$F$53)-1,IF(DX8&lt;$B$2,$B$2-1,'IN RPS-2015'!$Q$9),IF(DX8&lt;$B$3,$B$3-1,'IN RPS-2015'!$Q$9),IF(DX8&lt;$B$4,$B$4-1,'IN RPS-2015'!$Q$9),LOOKUP(DX8,$H$47:$I$53)))</f>
        <v/>
      </c>
      <c r="DZ8" s="490" t="str">
        <f>IF(DX8="","",VLOOKUP(DX8,'IN RPS-2015'!$P$164:$AA$202,11))</f>
        <v/>
      </c>
      <c r="EA8" s="461" t="str">
        <f t="shared" si="78"/>
        <v/>
      </c>
      <c r="EB8" s="461" t="str">
        <f>IF(DX8="","",ROUND(IF(EP8=3,0,IF(EP8=2,IF(DZ8=VLOOKUP(DZ8,'IN RPS-2015'!$I$2:$J$5,1),0,Main!$H$9)/2,IF(DZ8=VLOOKUP(DZ8,'IN RPS-2015'!$I$2:$J$5,1),0,Main!$H$9)))*(DAY(DY8)-DAY(DX8)+1)/DAY(EOMONTH(DX8,0)),0))</f>
        <v/>
      </c>
      <c r="EC8" s="461" t="str">
        <f>IF(DX8="","",IF(DZ8=VLOOKUP(DZ8,'IN RPS-2015'!$I$2:$J$5,1),0,ROUND(EA8*VLOOKUP(DX8,$DT$4:$DU$7,2)%,0)))</f>
        <v/>
      </c>
      <c r="ED8" s="461" t="str">
        <f>IF(DX8="","",IF(OR(EP8=3,DZ8=VLOOKUP(DZ8,'IN RPS-2015'!$I$2:$J$5,1)),0,ROUND(MIN(ROUND(DZ8*VLOOKUP(DX8,$B$1:$G$4,2)%,0),VLOOKUP(DX8,$B$2:$I$4,IF($DU$3=$I$29,7,8),TRUE))*(DAY(DY8)-DAY(DX8)+1)/DAY(EOMONTH(DX8,0)),0)))</f>
        <v/>
      </c>
      <c r="EE8" s="491" t="str">
        <f>IF(DX8="","",IF(Main!$C$26="UGC",0,IF(OR(DX8&lt;DATE(2010,4,1),$I$6=VLOOKUP(DX8,$B$2:$G$4,5,TRUE),DZ8=VLOOKUP(DZ8,'IN RPS-2015'!$I$2:$J$5,1)),0,ROUND(IF(EP8=3,0,IF(EP8=2,MIN(ROUND(DZ8*$G$13%,0),IF(DX8&lt;$I$152,$G$14,$G$15))/2,MIN(ROUND(DZ8*$G$13%,0),IF(DX8&lt;$I$152,$G$14,$G$15))))*(DAY(DY8)-DAY(DX8)+1)/DAY(EOMONTH(DX8,0)),0))))</f>
        <v/>
      </c>
      <c r="EF8" s="461" t="str">
        <f>IF(DX8="","",IF(Main!$C$26="UGC",0,IF(DZ8=VLOOKUP(DZ8,'IN RPS-2015'!$I$2:$J$5,1),0,ROUND(EA8*VLOOKUP(DX8,$DT$11:$DU$12,2)%,0))))</f>
        <v/>
      </c>
      <c r="EG8" s="461" t="str">
        <f>IF(DX8="","",IF(Main!$C$26="UGC",0,IF(DX8&lt;DATE(2010,4,1),0,IF(OR(EP8=2,EP8=3,DZ8=VLOOKUP(DZ8,'IN RPS-2015'!$I$2:$J$5,1)),0,ROUND(IF(DX8&lt;$I$152,VLOOKUP(DX8,$B$1:$G$4,4),VLOOKUP(VLOOKUP(DX8,$B$1:$G$4,4),Main!$CE$2:$CF$5,2,FALSE))*(DAY(DY8)-DAY(DX8)+1)/DAY(EOMONTH(DX8,0)),0)))))</f>
        <v/>
      </c>
      <c r="EH8" s="461" t="str">
        <f>IF(DX8="","",IF(OR(EP8=2,EP8=3,$D$31=$D$28,DZ8=VLOOKUP(DZ8,'IN RPS-2015'!$I$2:$J$5,1)),0,ROUND(MIN(IF(DX8&lt;$I$152,900,1350),ROUND(DZ8*VLOOKUP(DW8,$A$27:$C$29,3,TRUE)%,0))*IF(DW8=$A$36,$C$36,IF(DW8=$A$37,$C$37,IF(DW8=$A$38,$C$38,IF(DW8=$A$39,$C$39,IF(DW8=$A$40,$C$40,IF(DW8=$A$41,$C$41,1))))))*(DAY(DY8)-DAY(DX8)+1)/DAY(EOMONTH(DX8,0)),0)))</f>
        <v/>
      </c>
      <c r="EI8" s="461" t="str">
        <f>IF(DX8="","",IF(Main!$C$26="UGC",0,IF(OR(EP8=3,DZ8=VLOOKUP(DZ8,'IN RPS-2015'!$I$2:$J$5,1)),0,ROUND(IF(EP8=2,VLOOKUP(DZ8,IF($DU$3=$I$29,$A$20:$E$23,$F$144:$J$147),IF($B$19=VLOOKUP(DX8,$B$2:$G$4,3,TRUE),2,IF($C$19=VLOOKUP(DX8,$B$2:$G$4,3,TRUE),3,IF($D$19=VLOOKUP(DX8,$B$2:$G$4,3,TRUE),4,5))),TRUE),VLOOKUP(DZ8,IF($DU$3=$I$29,$A$20:$E$23,$F$144:$J$147),IF($B$19=VLOOKUP(DX8,$B$2:$G$4,3,TRUE),2,IF($C$19=VLOOKUP(DX8,$B$2:$G$4,3,TRUE),3,IF($D$19=VLOOKUP(DX8,$B$2:$G$4,3,TRUE),4,5))),TRUE))*(DAY(DY8)-DAY(DX8)+1)/DAY(EOMONTH(DX8,0)),0))))</f>
        <v/>
      </c>
      <c r="EJ8" s="461" t="str">
        <f>IF(DX8="","",IF(Main!$C$26="UGC",0,IF(OR(DW8&lt;DATE(2010,4,1),EP8=3,DZ8=VLOOKUP(DZ8,'IN RPS-2015'!$I$2:$J$5,1)),0,ROUND(IF(EP8=2,IF(DX8&lt;$I$152,Main!$L$9,Main!$CI$3)/2,IF(DX8&lt;$I$152,Main!$L$9,Main!$CI$3))*(DAY(DY8)-DAY(DX8)+1)/DAY(EOMONTH(DX8,0)),0))))</f>
        <v/>
      </c>
      <c r="EK8" s="461"/>
      <c r="EL8" s="461" t="str">
        <f>IF(DX8="","",IF(Main!$C$26="UGC",0,IF(OR(EP8=3,DZ8=VLOOKUP(DZ8,'IN RPS-2015'!$I$2:$J$5,1)),0,ROUND(IF(EP8=2,VLOOKUP(EA8,IF(DX8&lt;$I$152,$A$154:$E$159,$F$154:$J$159),IF($B$10=VLOOKUP(DW8,$B$2:$G$4,6,TRUE),2,IF($B$10=VLOOKUP(DW8,$B$2:$G$4,6,TRUE),3,IF($D$10=VLOOKUP(DW8,$B$2:$G$4,6,TRUE),4,5))))/2,VLOOKUP(EA8,IF(DX8&lt;$I$152,$A$154:$E$159,$F$154:$J$159),IF($B$10=VLOOKUP(DW8,$B$2:$G$4,6,TRUE),2,IF($B$10=VLOOKUP(DW8,$B$2:$G$4,6,TRUE),3,IF($D$10=VLOOKUP(DW8,$B$2:$G$4,6,TRUE),4,5)))))*(DAY(DY8)-DAY(DX8)+1)/DAY(EOMONTH(DX8,0)),0))))</f>
        <v/>
      </c>
      <c r="EM8" s="461">
        <f t="shared" si="79"/>
        <v>0</v>
      </c>
      <c r="EN8" s="464" t="str">
        <f>IF(DX8="","",IF(AND(Main!$F$22=Main!$CA$24,DX8&gt;$EN$1),ROUND(SUM(EA8,EC8)*10%,0),""))</f>
        <v/>
      </c>
      <c r="EO8" s="464" t="str">
        <f>IF(DW8="","",IF(EA8=0,0,IF(OR(Main!$H$10=Main!$BH$4,Main!$H$10=Main!$BH$5),0,LOOKUP(EM8*DAY(EOMONTH(DX8,0))/(DAY(DY8)-DAY(DX8)+1),$H$184:$I$189))))</f>
        <v/>
      </c>
      <c r="EP8" s="457">
        <f t="shared" si="62"/>
        <v>1</v>
      </c>
      <c r="ER8" s="497"/>
      <c r="ET8" s="461"/>
      <c r="EU8" s="499" t="str">
        <f t="shared" si="63"/>
        <v/>
      </c>
      <c r="EV8" s="500" t="str">
        <f t="shared" si="89"/>
        <v/>
      </c>
      <c r="EW8" s="484" t="str">
        <f>IF(EV8="","",MIN(EOMONTH(EV8,0),VLOOKUP(EV8,'IN RPS-2015'!$O$164:$P$202,2,TRUE)-1,LOOKUP(EV8,$E$47:$F$53)-1,IF(EV8&lt;$B$2,$B$2-1,'IN RPS-2015'!$Q$9),IF(EV8&lt;$B$3,$B$3-1,'IN RPS-2015'!$Q$9),IF(EV8&lt;$B$4,$B$4-1,'IN RPS-2015'!$Q$9),LOOKUP(EV8,$H$47:$I$53)))</f>
        <v/>
      </c>
      <c r="EX8" s="490" t="str">
        <f>IF(EV8="","",VLOOKUP(EV8,'IN RPS-2015'!$P$164:$AA$202,12))</f>
        <v/>
      </c>
      <c r="EY8" s="461" t="str">
        <f t="shared" si="80"/>
        <v/>
      </c>
      <c r="EZ8" s="461" t="str">
        <f>IF(EV8="","",ROUND(IF(FN8=3,0,IF(FN8=2,IF(EX8=VLOOKUP(EX8,'IN RPS-2015'!$I$2:$J$5,1),0,Main!$H$9)/2,IF(EX8=VLOOKUP(EX8,'IN RPS-2015'!$I$2:$J$5,1),0,Main!$H$9)))*(DAY(EW8)-DAY(EV8)+1)/DAY(EOMONTH(EV8,0)),0))</f>
        <v/>
      </c>
      <c r="FA8" s="461" t="str">
        <f>IF(EV8="","",IF(EX8=VLOOKUP(EX8,'IN RPS-2015'!$I$2:$J$5,1),0,ROUND(EY8*VLOOKUP(EV8,$ER$4:$ES$7,2)%,0)))</f>
        <v/>
      </c>
      <c r="FB8" s="461" t="str">
        <f>IF(EV8="","",IF(OR(FN8=3,EX8=VLOOKUP(EX8,'IN RPS-2015'!$I$2:$J$5,1)),0,ROUND(MIN(ROUND(EX8*VLOOKUP(EV8,$B$1:$G$4,2)%,0),VLOOKUP(EV8,$B$2:$I$4,IF($ES$3=$I$29,7,8),TRUE))*(DAY(EW8)-DAY(EV8)+1)/DAY(EOMONTH(EV8,0)),0)))</f>
        <v/>
      </c>
      <c r="FC8" s="491" t="str">
        <f>IF(EV8="","",IF(Main!$C$26="UGC",0,IF(OR(EV8&lt;DATE(2010,4,1),$I$6=VLOOKUP(EV8,$B$2:$G$4,5,TRUE),EX8=VLOOKUP(EX8,'IN RPS-2015'!$I$2:$J$5,1)),0,ROUND(IF(FN8=3,0,IF(FN8=2,MIN(ROUND(EX8*$G$13%,0),IF(EV8&lt;$J$152,$G$14,$G$15))/2,MIN(ROUND(EX8*$G$13%,0),IF(EV8&lt;$J$152,$G$14,$G$15))))*(DAY(EW8)-DAY(EV8)+1)/DAY(EOMONTH(EV8,0)),0))))</f>
        <v/>
      </c>
      <c r="FD8" s="461" t="str">
        <f>IF(EV8="","",IF(Main!$C$26="UGC",0,IF(EX8=VLOOKUP(EX8,'IN RPS-2015'!$I$2:$J$5,1),0,ROUND(EY8*VLOOKUP(EV8,$ER$11:$ES$12,2)%,0))))</f>
        <v/>
      </c>
      <c r="FE8" s="461" t="str">
        <f>IF(EV8="","",IF(Main!$C$26="UGC",0,IF(EV8&lt;DATE(2010,4,1),0,IF(OR(FN8=2,FN8=3,EX8=VLOOKUP(EX8,'IN RPS-2015'!$I$2:$J$5,1)),0,ROUND(IF(EV8&lt;$J$152,VLOOKUP(EV8,$B$1:$G$4,4),VLOOKUP(VLOOKUP(EV8,$B$1:$G$4,4),Main!$CE$2:$CF$5,2,FALSE))*(DAY(EW8)-DAY(EV8)+1)/DAY(EOMONTH(EV8,0)),0)))))</f>
        <v/>
      </c>
      <c r="FF8" s="461" t="str">
        <f>IF(EV8="","",IF(OR(FN8=2,FN8=3,$D$31=$D$28,EX8=VLOOKUP(EX8,'IN RPS-2015'!$I$2:$J$5,1)),0,ROUND(MIN(VLOOKUP(EU8,$A$27:$C$29,2,TRUE),ROUND(EX8*VLOOKUP(EU8,$A$27:$C$29,3,TRUE)%,0))*IF(EU8=$A$36,$C$36,IF(EU8=$A$37,$C$37,IF(EU8=$A$38,$C$38,IF(EU8=$A$39,$C$39,IF(EU8=$A$40,$C$40,IF(EU8=$A$41,$C$41,1))))))*(DAY(EW8)-DAY(EV8)+1)/DAY(EOMONTH(EV8,0)),0)))</f>
        <v/>
      </c>
      <c r="FG8" s="461" t="str">
        <f>IF(EV8="","",IF(Main!$C$26="UGC",0,IF(OR(FN8=3,EX8=VLOOKUP(EX8,'IN RPS-2015'!$I$2:$J$5,1)),0,ROUND(IF(FN8=2,VLOOKUP(EX8,IF($ES$3=$I$29,$A$20:$E$23,$F$144:$J$147),IF($B$19=VLOOKUP(EV8,$B$2:$G$4,3,TRUE),2,IF($C$19=VLOOKUP(EV8,$B$2:$G$4,3,TRUE),3,IF($D$19=VLOOKUP(EV8,$B$2:$G$4,3,TRUE),4,5))),TRUE),VLOOKUP(EX8,IF($ES$3=$I$29,$A$20:$E$23,$F$144:$J$147),IF($B$19=VLOOKUP(EV8,$B$2:$G$4,3,TRUE),2,IF($C$19=VLOOKUP(EV8,$B$2:$G$4,3,TRUE),3,IF($D$19=VLOOKUP(EV8,$B$2:$G$4,3,TRUE),4,5))),TRUE))*(DAY(EW8)-DAY(EV8)+1)/DAY(EOMONTH(EV8,0)),0))))</f>
        <v/>
      </c>
      <c r="FH8" s="461" t="str">
        <f>IF(EV8="","",IF(Main!$C$26="UGC",0,IF(OR(EU8&lt;DATE(2010,4,1),FN8=3,EX8=VLOOKUP(EX8,'IN RPS-2015'!$I$2:$J$5,1)),0,ROUND(IF(FN8=2,IF(EV8&lt;$J$152,Main!$L$9,Main!$CI$3)/2,IF(EV8&lt;$J$152,Main!$L$9,Main!$CI$3))*(DAY(EW8)-DAY(EV8)+1)/DAY(EOMONTH(EV8,0)),0))))</f>
        <v/>
      </c>
      <c r="FI8" s="461"/>
      <c r="FJ8" s="461" t="str">
        <f>IF(EV8="","",IF(Main!$C$26="UGC",0,IF(OR(FN8=3,EX8=VLOOKUP(EX8,'IN RPS-2015'!$I$2:$J$5,1)),0,ROUND(IF(FN8=2,VLOOKUP(EY8,IF(EV8&lt;$J$152,$A$154:$E$159,$F$154:$J$159),IF($B$10=VLOOKUP(EU8,$B$2:$G$4,6,TRUE),2,IF($B$10=VLOOKUP(EU8,$B$2:$G$4,6,TRUE),3,IF($D$10=VLOOKUP(EU8,$B$2:$G$4,6,TRUE),4,5))))/2,VLOOKUP(EY8,IF(EV8&lt;$J$152,$A$154:$E$159,$F$154:$J$159),IF($B$10=VLOOKUP(EU8,$B$2:$G$4,6,TRUE),2,IF($B$10=VLOOKUP(EU8,$B$2:$G$4,6,TRUE),3,IF($D$10=VLOOKUP(EU8,$B$2:$G$4,6,TRUE),4,5)))))*(DAY(EW8)-DAY(EV8)+1)/DAY(EOMONTH(EV8,0)),0))))</f>
        <v/>
      </c>
      <c r="FK8" s="461">
        <f t="shared" si="81"/>
        <v>0</v>
      </c>
      <c r="FL8" s="464" t="str">
        <f>IF(EV8="","",IF(AND(Main!$F$22=Main!$CA$24,EV8&gt;$FL$1),ROUND(SUM(EY8,FA8)*10%,0),""))</f>
        <v/>
      </c>
      <c r="FM8" s="464" t="str">
        <f>IF(EU8="","",IF(EY8=0,0,IF(OR(Main!$H$10=Main!$BH$4,Main!$H$10=Main!$BH$5),0,LOOKUP(FK8*DAY(EOMONTH(EV8,0))/(DAY(EW8)-DAY(EV8)+1),$H$184:$I$189))))</f>
        <v/>
      </c>
      <c r="FN8" s="457">
        <f t="shared" si="64"/>
        <v>1</v>
      </c>
    </row>
    <row r="9" spans="1:170">
      <c r="A9" s="38" t="s">
        <v>305</v>
      </c>
      <c r="B9" s="38"/>
      <c r="C9" s="38"/>
      <c r="D9" s="60">
        <v>40269</v>
      </c>
      <c r="E9" s="38"/>
      <c r="H9" s="744">
        <f>$A$48</f>
        <v>41821</v>
      </c>
      <c r="I9" s="169">
        <f>IF(Main!$C$26="UGC",$D$48,$C$48)</f>
        <v>8.9079999999999995</v>
      </c>
      <c r="J9" s="457">
        <f>$B$48</f>
        <v>77.896000000000001</v>
      </c>
      <c r="K9" s="494">
        <f t="shared" si="65"/>
        <v>42248</v>
      </c>
      <c r="L9" s="495">
        <f t="shared" si="82"/>
        <v>42248</v>
      </c>
      <c r="M9" s="484">
        <f>IF(L9="","",MIN(EOMONTH(L9,0),VLOOKUP(L9,'IN RPS-2015'!$O$164:$P$202,2,TRUE)-1,LOOKUP(L9,$E$47:$F$53)-1,IF(L9&lt;$B$2,$B$2-1,'IN RPS-2015'!$Q$9),IF(L9&lt;$B$3,$B$3-1,'IN RPS-2015'!$Q$9),IF(L9&lt;$B$4,$B$4-1,'IN RPS-2015'!$Q$9),LOOKUP(L9,$H$47:$I$53)))</f>
        <v>42277</v>
      </c>
      <c r="N9" s="496">
        <f>IF(L9="","",VLOOKUP(L9,'Advance Tax'!$A$3:$C$14,3))</f>
        <v>55410</v>
      </c>
      <c r="O9" s="497">
        <f t="shared" si="52"/>
        <v>55410</v>
      </c>
      <c r="P9" s="497">
        <f>IF(L9="","",ROUND(IF(AD9=3,0,IF(AD9=2,IF(N9=VLOOKUP(N9,'IN RPS-2015'!$I$2:$J$5,1),0,Main!$H$9)/2,IF(N9=VLOOKUP(N9,'IN RPS-2015'!$I$2:$J$5,1),0,Main!$H$9)))*(DAY(M9)-DAY(L9)+1)/DAY(EOMONTH(L9,0)),0))</f>
        <v>105</v>
      </c>
      <c r="Q9" s="457">
        <f>IF(L9="","",IF(N9=VLOOKUP(N9,'IN RPS-2015'!$I$2:$J$5,1),0,ROUND(O9*IF(L9&lt;Main!$C$27,VLOOKUP(L9,$H$9:$J$12,3),VLOOKUP(L9,$H$9:$J$12,2))%,0)))</f>
        <v>4936</v>
      </c>
      <c r="R9" s="457">
        <f>IF(L9="","",IF(OR(AD9=3,N9=VLOOKUP(N9,'IN RPS-2015'!$I$2:$J$5,1)),0,ROUND(MIN(ROUND(N9*VLOOKUP(L9,$B$1:$G$4,2)%,0),VLOOKUP(L9,$B$2:$I$4,IF(L9&lt;$G$7,7,8),TRUE))*(DAY(M9)-DAY(L9)+1)/DAY(EOMONTH(L9,0)),0)))</f>
        <v>11082</v>
      </c>
      <c r="S9" s="486">
        <f>IF(L9="","",IF(Main!$C$26="UGC",0,IF(OR(L9&lt;DATE(2010,4,1),$I$6=VLOOKUP(L9,$B$2:$G$4,5,TRUE),N9=VLOOKUP(N9,'IN RPS-2015'!$I$2:$J$5,1)),0,ROUND(IF(AD9=3,0,IF(AD9=2,MIN(ROUND(N9*$G$13%,0),IF(L9&lt;$J$152,$G$14,$G$15))/2,MIN(ROUND(N9*$G$13%,0),IF(L9&lt;$J$152,$G$14,$G$15))))*(DAY(M9)-DAY(L9)+1)/DAY(EOMONTH(L9,0)),0))))</f>
        <v>0</v>
      </c>
      <c r="T9" s="457">
        <f>IF(L9="","",IF(Main!$C$26="UGC",0,IF(N9=VLOOKUP(N9,'IN RPS-2015'!$I$2:$J$5,1),0,ROUND(O9*VLOOKUP(L9,$H$205:$I$206,2)%,0))))</f>
        <v>0</v>
      </c>
      <c r="U9" s="457">
        <f>IF(L9="","",IF(Main!$C$26="UGC",0,IF(L9&lt;DATE(2010,4,1),0,IF(OR(AD9=2,AD9=3,N9=VLOOKUP(N9,'IN RPS-2015'!$I$2:$J$5,1)),0,ROUND(IF(L9&lt;$J$152,VLOOKUP(L9,$B$1:$G$4,4),VLOOKUP(VLOOKUP(L9,$B$1:$G$4,4),Main!$CE$2:$CF$5,2,FALSE))*(DAY(M9)-DAY(L9)+1)/DAY(EOMONTH(L9,0)),0)))))</f>
        <v>0</v>
      </c>
      <c r="V9" s="457">
        <f>IF(L9="","",IF(OR(AD9=2,AD9=3,$D$31=$D$28,N9=VLOOKUP(N9,'IN RPS-2015'!$I$2:$J$5,1)),0,ROUND(MIN(VLOOKUP(K9,$A$27:$C$29,2,TRUE),ROUND(N9*VLOOKUP(K9,$A$27:$C$29,3,TRUE)%,0))*IF(K9=$A$36,$C$36,IF(K9=$A$37,$C$37,IF(K9=$A$38,$C$38,IF(K9=$A$39,$C$39,IF(K9=$A$40,$C$40,IF(K9=$A$41,$C$41,1))))))*(DAY(M9)-DAY(L9)+1)/DAY(EOMONTH(L9,0)),0)))</f>
        <v>900</v>
      </c>
      <c r="W9" s="457">
        <f>IF(L9="","",IF(Main!$C$26="UGC",0,IF(OR(AD9=3,N9=VLOOKUP(N9,'IN RPS-2015'!$I$2:$J$5,1)),0,ROUND(IF(AD9=2,VLOOKUP(N9,IF(L9&lt;$G$7,$A$20:$E$23,$F$144:$J$147),IF($B$19=VLOOKUP(L9,$B$2:$G$4,3,TRUE),2,IF($C$19=VLOOKUP(L9,$B$2:$G$4,3,TRUE),3,IF($D$19=VLOOKUP(L9,$B$2:$G$4,3,TRUE),4,5))),TRUE),VLOOKUP(N9,IF(L9&lt;$G$7,$A$20:$E$23,$F$144:$J$147),IF($B$19=VLOOKUP(L9,$B$2:$G$4,3,TRUE),2,IF($C$19=VLOOKUP(L9,$B$2:$G$4,3,TRUE),3,IF($D$19=VLOOKUP(L9,$B$2:$G$4,3,TRUE),4,5))),TRUE))*(DAY(M9)-DAY(L9)+1)/DAY(EOMONTH(L9,0)),0))))</f>
        <v>500</v>
      </c>
      <c r="X9" s="457">
        <f>IF(L9="","",IF(Main!$C$26="UGC",0,IF(OR(K9&lt;DATE(2010,4,1),AD9=3,N9=VLOOKUP(N9,'IN RPS-2015'!$I$2:$J$5,1)),0,ROUND(IF(AD9=2,IF(L9&lt;$J$152,Main!$L$9,Main!$CI$3)/2,IF(L9&lt;$J$152,Main!$L$9,Main!$CI$3))*(DAY(M9)-DAY(L9)+1)/DAY(EOMONTH(L9,0)),0))))</f>
        <v>0</v>
      </c>
      <c r="Y9" s="497"/>
      <c r="Z9" s="457">
        <f>IF(L9="","",IF(Main!$C$26="UGC",0,IF(OR(AD9=3,N9=VLOOKUP(N9,'IN RPS-2015'!$I$2:$J$5,1)),0,ROUND(IF(AD9=2,VLOOKUP(O9,IF(L9&lt;$J$152,$A$154:$E$159,$F$154:$J$159),IF($B$10=VLOOKUP(K9,$B$2:$G$4,6,TRUE),2,IF($B$10=VLOOKUP(K9,$B$2:$G$4,6,TRUE),3,IF($D$10=VLOOKUP(K9,$B$2:$G$4,6,TRUE),4,5))))/2,VLOOKUP(O9,IF(L9&lt;$J$152,$A$154:$E$159,$F$154:$J$159),IF($B$10=VLOOKUP(K9,$B$2:$G$4,6,TRUE),2,IF($B$10=VLOOKUP(K9,$B$2:$G$4,6,TRUE),3,IF($D$10=VLOOKUP(K9,$B$2:$G$4,6,TRUE),4,5)))))*(DAY(M9)-DAY(L9)+1)/DAY(EOMONTH(L9,0)),0))))</f>
        <v>0</v>
      </c>
      <c r="AA9" s="497">
        <f t="shared" si="83"/>
        <v>72933</v>
      </c>
      <c r="AB9" s="497"/>
      <c r="AC9" s="497"/>
      <c r="AD9" s="497">
        <f t="shared" si="53"/>
        <v>1</v>
      </c>
      <c r="AE9" s="497"/>
      <c r="AF9" s="507"/>
      <c r="AH9" s="461"/>
      <c r="AI9" s="499" t="str">
        <f t="shared" si="54"/>
        <v/>
      </c>
      <c r="AJ9" s="500" t="str">
        <f t="shared" si="84"/>
        <v/>
      </c>
      <c r="AK9" s="484" t="str">
        <f>IF(AJ9="","",MIN(EOMONTH(AJ9,0),VLOOKUP(AJ9,'IN RPS-2015'!$O$164:$P$202,2,TRUE)-1,LOOKUP(AJ9,$E$47:$F$53)-1,IF(AJ9&lt;$B$2,$B$2-1,'IN RPS-2015'!$Q$9),IF(AJ9&lt;$B$3,$B$3-1,'IN RPS-2015'!$Q$9),IF(AJ9&lt;$B$4,$B$4-1,'IN RPS-2015'!$Q$9),LOOKUP(AJ9,$H$47:$I$53)))</f>
        <v/>
      </c>
      <c r="AL9" s="490" t="str">
        <f>IF(AJ9="","",VLOOKUP(AJ9,'IN RPS-2015'!$P$164:$AA$202,9))</f>
        <v/>
      </c>
      <c r="AM9" s="461" t="str">
        <f t="shared" si="66"/>
        <v/>
      </c>
      <c r="AN9" s="461" t="str">
        <f>IF(AJ9="","",IF(AND($AG$3=$AG$1,AJ9&lt;=$AZ$1),0,ROUND(IF(BB9=3,0,IF(BB9=2,IF(AL9=VLOOKUP(AL9,'IN RPS-2015'!$I$2:$J$5,1),0,Main!$H$9)/2,IF(AL9=VLOOKUP(AL9,'IN RPS-2015'!$I$2:$J$5,1),0,Main!$H$9)))*(DAY(AK9)-DAY(AJ9)+1)/DAY(EOMONTH(AJ9,0)),0)))</f>
        <v/>
      </c>
      <c r="AO9" s="461" t="str">
        <f>IF(AJ9="","",IF(AND($AG$3=$AG$1,AJ9&lt;=$AZ$1),0,IF(AL9=VLOOKUP(AL9,'IN RPS-2015'!$I$2:$J$5,1),0,ROUND(AM9*VLOOKUP(AJ9,$AF$4:$AG$7,2)%,0))))</f>
        <v/>
      </c>
      <c r="AP9" s="461" t="str">
        <f>IF(AJ9="","",IF(AND($AG$3=$AG$1,AJ9&lt;=$AZ$1),0,IF(OR(BB9=3,AL9=VLOOKUP(AL9,'IN RPS-2015'!$I$2:$J$5,1)),0,ROUND(MIN(ROUND(AL9*VLOOKUP(AJ9,$B$1:$G$4,2)%,0),VLOOKUP(AJ9,$B$2:$I$4,IF($AG$3=$I$29,7,8),TRUE))*(DAY(AK9)-DAY(AJ9)+1)/DAY(EOMONTH(AJ9,0)),0))))</f>
        <v/>
      </c>
      <c r="AQ9" s="491" t="str">
        <f>IF(AJ9="","",IF(AND($AG$3=$AG$1,AJ9&lt;=$AZ$1),0,IF(Main!$C$26="UGC",0,IF(OR(AJ9&lt;DATE(2010,4,1),$I$6=VLOOKUP(AJ9,$B$2:$G$4,5,TRUE),AL9=VLOOKUP(AL9,'IN RPS-2015'!$I$2:$J$5,1)),0,ROUND(IF(BB9=3,0,IF(BB9=2,MIN(ROUND(AL9*$G$13%,0),IF(AJ9&lt;$J$152,$G$14,$G$15))/2,MIN(ROUND(AL9*$G$13%,0),IF(AJ9&lt;$J$152,$G$14,$G$15))))*(DAY(AK9)-DAY(AJ9)+1)/DAY(EOMONTH(AJ9,0)),0)))))</f>
        <v/>
      </c>
      <c r="AR9" s="461" t="str">
        <f>IF(AJ9="","",IF(AND($AG$3=$AG$1,AJ9&lt;=$AZ$1),0,IF(Main!$C$26="UGC",0,IF(AL9=VLOOKUP(AL9,'IN RPS-2015'!$I$2:$J$5,1),0,ROUND(AM9*VLOOKUP(AJ9,$AF$11:$AG$12,2)%,0)))))</f>
        <v/>
      </c>
      <c r="AS9" s="461" t="str">
        <f>IF(AJ9="","",IF(AND($AG$3=$AG$1,AJ9&lt;=$AZ$1),0,IF(Main!$C$26="UGC",0,IF(AJ9&lt;DATE(2010,4,1),0,IF(OR(BB9=2,BB9=3,AL9=VLOOKUP(AL9,'IN RPS-2015'!$I$2:$J$5,1)),0,ROUND(IF(AJ9&lt;$J$152,VLOOKUP(AJ9,$B$1:$G$4,4),VLOOKUP(VLOOKUP(AJ9,$B$1:$G$4,4),Main!$CE$2:$CF$5,2,FALSE))*(DAY(AK9)-DAY(AJ9)+1)/DAY(EOMONTH(AJ9,0)),0))))))</f>
        <v/>
      </c>
      <c r="AT9" s="461" t="str">
        <f>IF(AJ9="","",IF(AND($AG$3=$AG$1,AJ9&lt;=$AZ$1),0,IF(OR(BB9=2,BB9=3,$D$31=$D$28,AL9=VLOOKUP(AL9,'IN RPS-2015'!$I$2:$J$5,1)),0,ROUND(MIN(VLOOKUP(AI9,$A$27:$C$29,2,TRUE),ROUND(AL9*VLOOKUP(AI9,$A$27:$C$29,3,TRUE)%,0))*IF(AI9=$A$36,$C$36,IF(AI9=$A$37,$C$37,IF(AI9=$A$38,$C$38,IF(AI9=$A$39,$C$39,IF(AI9=$A$40,$C$40,IF(AI9=$A$41,$C$41,1))))))*(DAY(AK9)-DAY(AJ9)+1)/DAY(EOMONTH(AJ9,0)),0))))</f>
        <v/>
      </c>
      <c r="AU9" s="461" t="str">
        <f>IF(AJ9="","",IF(AND($AG$3=$AG$1,AJ9&lt;=$AZ$1),0,IF(Main!$C$26="UGC",0,IF(OR(BB9=3,AL9=VLOOKUP(AL9,'IN RPS-2015'!$I$2:$J$5,1)),0,ROUND(IF(BB9=2,VLOOKUP(AL9,IF($AG$3=$I$29,$A$20:$E$23,$F$144:$J$147),IF($B$19=VLOOKUP(AJ9,$B$2:$G$4,3,TRUE),2,IF($C$19=VLOOKUP(AJ9,$B$2:$G$4,3,TRUE),3,IF($D$19=VLOOKUP(AJ9,$B$2:$G$4,3,TRUE),4,5))),TRUE),VLOOKUP(AL9,IF($AG$3=$I$29,$A$20:$E$23,$F$144:$J$147),IF($B$19=VLOOKUP(AJ9,$B$2:$G$4,3,TRUE),2,IF($C$19=VLOOKUP(AJ9,$B$2:$G$4,3,TRUE),3,IF($D$19=VLOOKUP(AJ9,$B$2:$G$4,3,TRUE),4,5))),TRUE))*(DAY(AK9)-DAY(AJ9)+1)/DAY(EOMONTH(AJ9,0)),0)))))</f>
        <v/>
      </c>
      <c r="AV9" s="461" t="str">
        <f>IF(AJ9="","",IF(AND($AG$3=$AG$1,AJ9&lt;=$AZ$1),0,IF(Main!$C$26="UGC",0,IF(OR(AI9&lt;DATE(2010,4,1),BB9=3,AL9=VLOOKUP(AL9,'IN RPS-2015'!$I$2:$J$5,1)),0,ROUND(IF(BB9=2,IF(AJ9&lt;$J$152,Main!$L$9,Main!$CI$3)/2,IF(AJ9&lt;$J$152,Main!$L$9,Main!$CI$3))*(DAY(AK9)-DAY(AJ9)+1)/DAY(EOMONTH(AJ9,0)),0)))))</f>
        <v/>
      </c>
      <c r="AW9" s="461"/>
      <c r="AX9" s="461" t="str">
        <f>IF(AJ9="","",IF(AND($AG$3=$AG$1,AJ9&lt;=$AZ$1),0,IF(Main!$C$26="UGC",0,IF(OR(BB9=3,AL9=VLOOKUP(AL9,'IN RPS-2015'!$I$2:$J$5,1)),0,ROUND(IF(BB9=2,VLOOKUP(AM9,IF(AJ9&lt;$J$152,$A$154:$E$159,$F$154:$J$159),IF($B$10=VLOOKUP(AI9,$B$2:$G$4,6,TRUE),2,IF($B$10=VLOOKUP(AI9,$B$2:$G$4,6,TRUE),3,IF($D$10=VLOOKUP(AI9,$B$2:$G$4,6,TRUE),4,5))))/2,VLOOKUP(AM9,IF(AJ9&lt;$J$152,$A$154:$E$159,$F$154:$J$159),IF($B$10=VLOOKUP(AI9,$B$2:$G$4,6,TRUE),2,IF($B$10=VLOOKUP(AI9,$B$2:$G$4,6,TRUE),3,IF($D$10=VLOOKUP(AI9,$B$2:$G$4,6,TRUE),4,5)))))*(DAY(AK9)-DAY(AJ9)+1)/DAY(EOMONTH(AJ9,0)),0)))))</f>
        <v/>
      </c>
      <c r="AY9" s="461">
        <f t="shared" si="67"/>
        <v>0</v>
      </c>
      <c r="AZ9" s="464" t="str">
        <f>IF(AJ9="","",IF(AND($AG$3=$AG$1,AJ9&lt;=$AZ$1),0,IF(AND(Main!$F$22=Main!$CA$24,AJ9&gt;$AZ$1),ROUND(SUM(AM9,AO9)*10%,0),"")))</f>
        <v/>
      </c>
      <c r="BA9" s="464" t="str">
        <f>IF(AI9="","",IF(AND($AG$3=$AG$1,AJ9&lt;=$AZ$1),0,IF(OR(Main!$H$10=Main!$BH$4,Main!$H$10=Main!$BH$5),0,LOOKUP(AY9*DAY(EOMONTH(AJ9,0))/(DAY(AK9)-DAY(AJ9)+1),$H$184:$I$189))))</f>
        <v/>
      </c>
      <c r="BB9" s="497">
        <f t="shared" si="55"/>
        <v>1</v>
      </c>
      <c r="BC9" s="464"/>
      <c r="BD9" s="501" t="str">
        <f t="shared" si="56"/>
        <v/>
      </c>
      <c r="BE9" s="502" t="str">
        <f t="shared" si="85"/>
        <v/>
      </c>
      <c r="BF9" s="484" t="str">
        <f>IF(BE9="","",MIN(EOMONTH(BE9,0),VLOOKUP(BE9,'IN RPS-2015'!$O$164:$P$202,2,TRUE)-1,LOOKUP(BE9,$E$47:$F$53)-1,IF(BE9&lt;$B$2,$B$2-1,'IN RPS-2015'!$Q$9),IF(BE9&lt;$B$3,$B$3-1,'IN RPS-2015'!$Q$9),IF(BE9&lt;$B$4,$B$4-1,'IN RPS-2015'!$Q$9),LOOKUP(BE9,$H$47:$I$53)))</f>
        <v/>
      </c>
      <c r="BG9" s="493" t="str">
        <f>IF(BE9="","",VLOOKUP(BE9,'IN RPS-2015'!$P$164:$AA$202,10))</f>
        <v/>
      </c>
      <c r="BH9" s="461" t="str">
        <f t="shared" si="68"/>
        <v/>
      </c>
      <c r="BI9" s="461" t="str">
        <f>IF(BE9="","",IF(AND($AG$3=$AG$1,BE9&lt;=$AZ$1),0,ROUND(IF(BW9=3,0,IF(BW9=2,IF(BG9=VLOOKUP(BG9,'IN RPS-2015'!$I$2:$J$5,1),0,Main!$H$9)/2,IF(BG9=VLOOKUP(BG9,'IN RPS-2015'!$I$2:$J$5,1),0,Main!$H$9)))*(DAY(BF9)-DAY(BE9)+1)/DAY(EOMONTH(BE9,0)),0)))</f>
        <v/>
      </c>
      <c r="BJ9" s="461" t="str">
        <f>IF(BE9="","",IF(AND($AG$3=$AG$1,BE9&lt;=$AZ$1),0,IF(BG9=VLOOKUP(BG9,'IN RPS-2015'!$I$2:$J$5,1),0,ROUND(BH9*VLOOKUP(BE9,$AF$4:$AG$7,2)%,0))))</f>
        <v/>
      </c>
      <c r="BK9" s="461" t="str">
        <f>IF(BE9="","",IF(AND($AG$3=$AG$1,BE9&lt;=$AZ$1),0,IF(OR(BW9=3,BG9=VLOOKUP(BG9,'IN RPS-2015'!$I$2:$J$5,1)),0,ROUND(MIN(ROUND(BG9*VLOOKUP(BE9,$B$1:$G$4,2)%,0),VLOOKUP(BE9,$B$2:$I$4,IF($AG$3=$I$29,7,8),TRUE))*(DAY(BF9)-DAY(BE9)+1)/DAY(EOMONTH(BE9,0)),0))))</f>
        <v/>
      </c>
      <c r="BL9" s="491" t="str">
        <f>IF(BE9="","",IF(AND($AG$3=$AG$1,BE9&lt;=$AZ$1),0,IF(Main!$C$26="UGC",0,IF(OR(BE9&lt;DATE(2010,4,1),$I$6=VLOOKUP(BE9,$B$2:$G$4,5,TRUE),BG9=VLOOKUP(BG9,'IN RPS-2015'!$I$2:$J$5,1)),0,ROUND(IF(BW9=3,0,IF(BW9=2,MIN(ROUND(BG9*$G$13%,0),IF(BE9&lt;$J$152,$G$14,$G$15))/2,MIN(ROUND(BG9*$G$13%,0),IF(BE9&lt;$J$152,$G$14,$G$15))))*(DAY(BF9)-DAY(BE9)+1)/DAY(EOMONTH(BE9,0)),0)))))</f>
        <v/>
      </c>
      <c r="BM9" s="461" t="str">
        <f>IF(BE9="","",IF(AND($AG$3=$AG$1,BE9&lt;=$AZ$1),0,IF(Main!$C$26="UGC",0,IF(BG9=VLOOKUP(BG9,'IN RPS-2015'!$I$2:$J$5,1),0,ROUND(BH9*VLOOKUP(BE9,$AF$11:$AG$12,2)%,0)))))</f>
        <v/>
      </c>
      <c r="BN9" s="461" t="str">
        <f>IF(BE9="","",IF(AND($AG$3=$AG$1,BE9&lt;=$AZ$1),0,IF(Main!$C$26="UGC",0,IF(BE9&lt;DATE(2010,4,1),0,IF(OR(BW9=2,BW9=3,BG9=VLOOKUP(BG9,'IN RPS-2015'!$I$2:$J$5,1)),0,ROUND(IF(BE9&lt;$J$152,VLOOKUP(BE9,$B$1:$G$4,4),VLOOKUP(VLOOKUP(BE9,$B$1:$G$4,4),Main!$CE$2:$CF$5,2,FALSE))*(DAY(BF9)-DAY(BE9)+1)/DAY(EOMONTH(BE9,0)),0))))))</f>
        <v/>
      </c>
      <c r="BO9" s="461" t="str">
        <f>IF(BE9="","",IF(AND($AG$3=$AG$1,BE9&lt;=$AZ$1),0,IF(OR(BW9=2,BW9=3,$D$31=$D$28,BG9=VLOOKUP(BG9,'IN RPS-2015'!$I$2:$J$5,1)),0,ROUND(MIN(VLOOKUP(BD9,$A$27:$C$29,2,TRUE),ROUND(BG9*VLOOKUP(BD9,$A$27:$C$29,3,TRUE)%,0))*IF(BD9=$A$36,$C$36,IF(BD9=$A$37,$C$37,IF(BD9=$A$38,$C$38,IF(BD9=$A$39,$C$39,IF(BD9=$A$40,$C$40,IF(BD9=$A$41,$C$41,1))))))*(DAY(BF9)-DAY(BE9)+1)/DAY(EOMONTH(BE9,0)),0))))</f>
        <v/>
      </c>
      <c r="BP9" s="461" t="str">
        <f>IF(BE9="","",IF(AND($AG$3=$AG$1,BE9&lt;=$AZ$1),0,IF(Main!$C$26="UGC",0,IF(OR(BW9=3,BG9=VLOOKUP(BG9,'IN RPS-2015'!$I$2:$J$5,1)),0,ROUND(IF(BW9=2,VLOOKUP(BG9,IF($AG$3=$I$29,$A$20:$E$23,$F$144:$J$147),IF($B$19=VLOOKUP(BE9,$B$2:$G$4,3,TRUE),2,IF($C$19=VLOOKUP(BE9,$B$2:$G$4,3,TRUE),3,IF($D$19=VLOOKUP(BE9,$B$2:$G$4,3,TRUE),4,5))),TRUE),VLOOKUP(BG9,IF($AG$3=$I$29,$A$20:$E$23,$F$144:$J$147),IF($B$19=VLOOKUP(BE9,$B$2:$G$4,3,TRUE),2,IF($C$19=VLOOKUP(BE9,$B$2:$G$4,3,TRUE),3,IF($D$19=VLOOKUP(BE9,$B$2:$G$4,3,TRUE),4,5))),TRUE))*(DAY(BF9)-DAY(BE9)+1)/DAY(EOMONTH(BE9,0)),0)))))</f>
        <v/>
      </c>
      <c r="BQ9" s="461" t="str">
        <f>IF(BE9="","",IF(AND($AG$3=$AG$1,BE9&lt;=$AZ$1),0,IF(Main!$C$26="UGC",0,IF(OR(BD9&lt;DATE(2010,4,1),BW9=3,BG9=VLOOKUP(BG9,'IN RPS-2015'!$I$2:$J$5,1)),0,ROUND(IF(BW9=2,IF(BE9&lt;$J$152,Main!$L$9,Main!$CI$3)/2,IF(BE9&lt;$J$152,Main!$L$9,Main!$CI$3))*(DAY(BF9)-DAY(BE9)+1)/DAY(EOMONTH(BE9,0)),0)))))</f>
        <v/>
      </c>
      <c r="BR9" s="461"/>
      <c r="BS9" s="461" t="str">
        <f>IF(BE9="","",IF(AND($AG$3=$AG$1,BE9&lt;=$AZ$1),0,IF(Main!$C$26="UGC",0,IF(OR(BW9=3,BG9=VLOOKUP(BG9,'IN RPS-2015'!$I$2:$J$5,1)),0,ROUND(IF(BW9=2,VLOOKUP(BH9,IF(BE9&lt;$J$152,$A$154:$E$159,$F$154:$J$159),IF($B$10=VLOOKUP(BD9,$B$2:$G$4,6,TRUE),2,IF($B$10=VLOOKUP(BD9,$B$2:$G$4,6,TRUE),3,IF($D$10=VLOOKUP(BD9,$B$2:$G$4,6,TRUE),4,5))))/2,VLOOKUP(BH9,IF(BE9&lt;$J$152,$A$154:$E$159,$F$154:$J$159),IF($B$10=VLOOKUP(BD9,$B$2:$G$4,6,TRUE),2,IF($B$10=VLOOKUP(BD9,$B$2:$G$4,6,TRUE),3,IF($D$10=VLOOKUP(BD9,$B$2:$G$4,6,TRUE),4,5)))))*(DAY(BF9)-DAY(BE9)+1)/DAY(EOMONTH(BE9,0)),0)))))</f>
        <v/>
      </c>
      <c r="BT9" s="461">
        <f t="shared" si="69"/>
        <v>0</v>
      </c>
      <c r="BU9" s="464" t="str">
        <f>IF(BE9="","",IF(AND($AG$3=$AG$1,BE9&lt;=$AZ$1),0,IF(AND(Main!$F$22=Main!$CA$24,BE9&gt;$AZ$1),ROUND(SUM(BH9,BJ9)*10%,0),"")))</f>
        <v/>
      </c>
      <c r="BV9" s="464" t="str">
        <f>IF(BD9="","",IF(AND($AG$3=$AG$1,BE9&lt;=$AZ$1),0,IF(OR(Main!$H$10=Main!$BH$4,Main!$H$10=Main!$BH$5),0,LOOKUP(BT9*DAY(EOMONTH(BE9,0))/(DAY(BF9)-DAY(BE9)+1),$H$184:$I$189))))</f>
        <v/>
      </c>
      <c r="BW9" s="503">
        <f t="shared" si="70"/>
        <v>1</v>
      </c>
      <c r="BX9" s="457">
        <f t="shared" si="71"/>
        <v>0</v>
      </c>
      <c r="BY9" s="497"/>
      <c r="BZ9" s="507"/>
      <c r="CA9" s="457"/>
      <c r="CB9" s="461"/>
      <c r="CC9" s="499" t="str">
        <f t="shared" si="57"/>
        <v/>
      </c>
      <c r="CD9" s="500" t="str">
        <f t="shared" si="86"/>
        <v/>
      </c>
      <c r="CE9" s="484" t="str">
        <f>IF(CD9="","",MIN(EOMONTH(CD9,0),VLOOKUP(CD9,'IN RPS-2015'!$O$164:$P$202,2,TRUE)-1,LOOKUP(CD9,$E$47:$F$53)-1,IF(CD9&lt;$B$2,$B$2-1,'IN RPS-2015'!$Q$9),IF(CD9&lt;$B$3,$B$3-1,'IN RPS-2015'!$Q$9),IF(CD9&lt;$B$4,$B$4-1,'IN RPS-2015'!$Q$9),LOOKUP(CD9,$H$47:$I$53)))</f>
        <v/>
      </c>
      <c r="CF9" s="490" t="str">
        <f>IF(CD9="","",VLOOKUP(CD9,'IN RPS-2015'!$T$207:$Y$222,5))</f>
        <v/>
      </c>
      <c r="CG9" s="461" t="str">
        <f t="shared" si="72"/>
        <v/>
      </c>
      <c r="CH9" s="461" t="str">
        <f>IF(CD9="","",IF(AND($CA$3=$CA$1,CD9&lt;=$CT$1),0,ROUND(IF(CV9=3,0,IF(CV9=2,IF(CF9=VLOOKUP(CF9,'IN RPS-2015'!$I$2:$J$5,1),0,Main!$H$9)/2,IF(CF9=VLOOKUP(CF9,'IN RPS-2015'!$I$2:$J$5,1),0,Main!$H$9)))*(DAY(CE9)-DAY(CD9)+1)/DAY(EOMONTH(CD9,0)),0)))</f>
        <v/>
      </c>
      <c r="CI9" s="461" t="str">
        <f>IF(CD9="","",IF(AND($CA$3=$CA$1,CD9&lt;=$CT$1),0,IF(CF9=VLOOKUP(CF9,'IN RPS-2015'!$I$2:$J$5,1),0,ROUND(CG9*VLOOKUP(CD9,$BZ$4:$CA$7,2)%,0))))</f>
        <v/>
      </c>
      <c r="CJ9" s="461" t="str">
        <f>IF(CD9="","",IF(AND($CA$3=$CA$1,CD9&lt;=$CT$1),0,IF(OR(CV9=3,CF9=VLOOKUP(CF9,'IN RPS-2015'!$I$2:$J$5,1)),0,ROUND(MIN(ROUND(CF9*VLOOKUP(CD9,$B$1:$G$4,2)%,0),VLOOKUP(CD9,$B$2:$I$4,IF($CA$3=$I$29,7,8),TRUE))*(DAY(CE9)-DAY(CD9)+1)/DAY(EOMONTH(CD9,0)),0))))</f>
        <v/>
      </c>
      <c r="CK9" s="491" t="str">
        <f>IF(CD9="","",IF(AND($CA$3=$CA$1,CD9&lt;=$CT$1),0,IF(Main!$C$26="UGC",0,IF(OR(CD9&lt;DATE(2010,4,1),$I$6=VLOOKUP(CD9,$B$2:$G$4,5,TRUE),CF9=VLOOKUP(CF9,'IN RPS-2015'!$I$2:$J$5,1)),0,ROUND(IF(CV9=3,0,IF(CV9=2,MIN(ROUND(CF9*$G$13%,0),IF(CD9&lt;$J$152,$G$14,$G$15))/2,MIN(ROUND(CF9*$G$13%,0),IF(CD9&lt;$J$152,$G$14,$G$15))))*(DAY(CE9)-DAY(CD9)+1)/DAY(EOMONTH(CD9,0)),0)))))</f>
        <v/>
      </c>
      <c r="CL9" s="461" t="str">
        <f>IF(CD9="","",IF(AND($CA$3=$CA$1,CD9&lt;=$CT$1),0,IF(Main!$C$26="UGC",0,IF(CF9=VLOOKUP(CF9,'IN RPS-2015'!$I$2:$J$5,1),0,ROUND(CG9*VLOOKUP(CD9,$BZ$11:$CA$12,2)%,0)))))</f>
        <v/>
      </c>
      <c r="CM9" s="461" t="str">
        <f>IF(CD9="","",IF(AND($CA$3=$CA$1,CD9&lt;=$CT$1),0,IF(Main!$C$26="UGC",0,IF(CD9&lt;DATE(2010,4,1),0,IF(OR(CV9=2,CV9=3,CF9=VLOOKUP(CF9,'IN RPS-2015'!$I$2:$J$5,1)),0,ROUND(IF(CD9&lt;$J$152,VLOOKUP(CD9,$B$1:$G$4,4),VLOOKUP(VLOOKUP(CD9,$B$1:$G$4,4),Main!$CE$2:$CF$5,2,FALSE))*(DAY(CE9)-DAY(CD9)+1)/DAY(EOMONTH(CD9,0)),0))))))</f>
        <v/>
      </c>
      <c r="CN9" s="461" t="str">
        <f>IF(CD9="","",IF(AND($CA$3=$CA$1,CD9&lt;=$CT$1),0,IF(OR(CV9=2,CV9=3,$D$31=$D$28,CF9=VLOOKUP(CF9,'IN RPS-2015'!$I$2:$J$5,1)),0,ROUND(MIN(VLOOKUP(CC9,$A$27:$C$29,2,TRUE),ROUND(CF9*VLOOKUP(CC9,$A$27:$C$29,3,TRUE)%,0))*IF(CC9=$A$36,$C$36,IF(CC9=$A$37,$C$37,IF(CC9=$A$38,$C$38,IF(CC9=$A$39,$C$39,IF(CC9=$A$40,$C$40,IF(CC9=$A$41,$C$41,1))))))*(DAY(CE9)-DAY(CD9)+1)/DAY(EOMONTH(CD9,0)),0))))</f>
        <v/>
      </c>
      <c r="CO9" s="461" t="str">
        <f>IF(CD9="","",IF(AND($CA$3=$CA$1,CD9&lt;=$CT$1),0,IF(Main!$C$26="UGC",0,IF(OR(CV9=3,CF9=VLOOKUP(CF9,'IN RPS-2015'!$I$2:$J$5,1)),0,ROUND(IF(CV9=2,VLOOKUP(CF9,IF($CA$3=$I$29,$A$20:$E$23,$F$144:$J$147),IF($B$19=VLOOKUP(CD9,$B$2:$G$4,3,TRUE),2,IF($C$19=VLOOKUP(CD9,$B$2:$G$4,3,TRUE),3,IF($D$19=VLOOKUP(CD9,$B$2:$G$4,3,TRUE),4,5))),TRUE),VLOOKUP(CF9,IF($CA$3=$I$29,$A$20:$E$23,$F$144:$J$147),IF($B$19=VLOOKUP(CD9,$B$2:$G$4,3,TRUE),2,IF($C$19=VLOOKUP(CD9,$B$2:$G$4,3,TRUE),3,IF($D$19=VLOOKUP(CD9,$B$2:$G$4,3,TRUE),4,5))),TRUE))*(DAY(CE9)-DAY(CD9)+1)/DAY(EOMONTH(CD9,0)),0)))))</f>
        <v/>
      </c>
      <c r="CP9" s="461" t="str">
        <f>IF(CD9="","",IF(AND($CA$3=$CA$1,CD9&lt;=$CT$1),0,IF(Main!$C$26="UGC",0,IF(OR(CC9&lt;DATE(2010,4,1),CV9=3,CF9=VLOOKUP(CF9,'IN RPS-2015'!$I$2:$J$5,1)),0,ROUND(IF(CV9=2,IF(CD9&lt;$J$152,Main!$L$9,Main!$CI$3)/2,IF(CD9&lt;$J$152,Main!$L$9,Main!$CI$3))*(DAY(CE9)-DAY(CD9)+1)/DAY(EOMONTH(CD9,0)),0)))))</f>
        <v/>
      </c>
      <c r="CQ9" s="461"/>
      <c r="CR9" s="461" t="str">
        <f>IF(CD9="","",IF(AND($CA$3=$CA$1,CD9&lt;=$CT$1),0,IF(Main!$C$26="UGC",0,IF(OR(CV9=3,CF9=VLOOKUP(CF9,'IN RPS-2015'!$I$2:$J$5,1)),0,ROUND(IF(CV9=2,VLOOKUP(CG9,IF(CD9&lt;$J$152,$A$154:$E$159,$F$154:$J$159),IF($B$10=VLOOKUP(CC9,$B$2:$G$4,6,TRUE),2,IF($B$10=VLOOKUP(CC9,$B$2:$G$4,6,TRUE),3,IF($D$10=VLOOKUP(CC9,$B$2:$G$4,6,TRUE),4,5))))/2,VLOOKUP(CG9,IF(CD9&lt;$J$152,$A$154:$E$159,$F$154:$J$159),IF($B$10=VLOOKUP(CC9,$B$2:$G$4,6,TRUE),2,IF($B$10=VLOOKUP(CC9,$B$2:$G$4,6,TRUE),3,IF($D$10=VLOOKUP(CC9,$B$2:$G$4,6,TRUE),4,5)))))*(DAY(CE9)-DAY(CD9)+1)/DAY(EOMONTH(CD9,0)),0)))))</f>
        <v/>
      </c>
      <c r="CS9" s="461">
        <f t="shared" si="73"/>
        <v>0</v>
      </c>
      <c r="CT9" s="464" t="str">
        <f>IF(CD9="","",IF(AND($CA$3=$CA$1,CD9&lt;=$CT$1),0,IF(AND(Main!$F$22=Main!$CA$24,CD9&gt;$CT$1),ROUND(SUM(CG9,CI9)*10%,0),"")))</f>
        <v/>
      </c>
      <c r="CU9" s="464" t="str">
        <f>IF(CC9="","",IF(CG9=0,0,IF(OR(Main!$H$10=Main!$BH$4,Main!$H$10=Main!$BH$5),0,LOOKUP(CS9*DAY(EOMONTH(CD9,0))/(DAY(CE9)-DAY(CD9)+1),$H$184:$I$189))))</f>
        <v/>
      </c>
      <c r="CV9" s="457">
        <f t="shared" si="74"/>
        <v>1</v>
      </c>
      <c r="CW9" s="464"/>
      <c r="CX9" s="501" t="str">
        <f t="shared" si="59"/>
        <v/>
      </c>
      <c r="CY9" s="502" t="str">
        <f t="shared" si="87"/>
        <v/>
      </c>
      <c r="CZ9" s="484" t="str">
        <f>IF(CY9="","",MIN(EOMONTH(CY9,0),VLOOKUP(CY9,'IN RPS-2015'!$O$164:$P$202,2,TRUE)-1,LOOKUP(CY9,$E$47:$F$53)-1,IF(CY9&lt;$B$2,$B$2-1,'IN RPS-2015'!$Q$9),IF(CY9&lt;$B$3,$B$3-1,'IN RPS-2015'!$Q$9),IF(CY9&lt;$B$4,$B$4-1,'IN RPS-2015'!$Q$9),LOOKUP(CY9,$H$47:$I$53)))</f>
        <v/>
      </c>
      <c r="DA9" s="493" t="str">
        <f>IF(CY9="","",VLOOKUP(CY9,'IN RPS-2015'!$T$207:$Y$222,6))</f>
        <v/>
      </c>
      <c r="DB9" s="461" t="str">
        <f t="shared" si="75"/>
        <v/>
      </c>
      <c r="DC9" s="461" t="str">
        <f>IF(CY9="","",IF(AND($CA$3=$CA$1,CY9&lt;=$CT$1),0,ROUND(IF(DQ9=3,0,IF(DQ9=2,IF(DA9=VLOOKUP(DA9,'IN RPS-2015'!$I$2:$J$5,1),0,Main!$H$9)/2,IF(DA9=VLOOKUP(DA9,'IN RPS-2015'!$I$2:$J$5,1),0,Main!$H$9)))*(DAY(CZ9)-DAY(CY9)+1)/DAY(EOMONTH(CY9,0)),0)))</f>
        <v/>
      </c>
      <c r="DD9" s="461" t="str">
        <f>IF(CY9="","",IF(AND($CA$3=$CA$1,CY9&lt;=$CT$1),0,IF(DA9=VLOOKUP(DA9,'IN RPS-2015'!$I$2:$J$5,1),0,ROUND(DB9*VLOOKUP(CY9,$BZ$4:$CA$7,2)%,0))))</f>
        <v/>
      </c>
      <c r="DE9" s="461" t="str">
        <f>IF(CY9="","",IF(AND($CA$3=$CA$1,CY9&lt;=$CT$1),0,IF(OR(DQ9=3,DA9=VLOOKUP(DA9,'IN RPS-2015'!$I$2:$J$5,1)),0,ROUND(MIN(ROUND(DA9*VLOOKUP(CY9,$B$1:$G$4,2)%,0),VLOOKUP(CY9,$B$2:$I$4,IF($CA$3=$I$29,7,8),TRUE))*(DAY(CZ9)-DAY(CY9)+1)/DAY(EOMONTH(CY9,0)),0))))</f>
        <v/>
      </c>
      <c r="DF9" s="491" t="str">
        <f>IF(CY9="","",IF(AND($CA$3=$CA$1,CY9&lt;=$CT$1),0,IF(Main!$C$26="UGC",0,IF(OR(CY9&lt;DATE(2010,4,1),$I$6=VLOOKUP(CY9,$B$2:$G$4,5,TRUE),DA9=VLOOKUP(DA9,'IN RPS-2015'!$I$2:$J$5,1)),0,ROUND(IF(DQ9=3,0,IF(DQ9=2,MIN(ROUND(DA9*$G$13%,0),IF(CY9&lt;$J$152,$G$14,$G$15))/2,MIN(ROUND(DA9*$G$13%,0),IF(CY9&lt;$J$152,$G$14,$G$15))))*(DAY(CZ9)-DAY(CY9)+1)/DAY(EOMONTH(CY9,0)),0)))))</f>
        <v/>
      </c>
      <c r="DG9" s="461" t="str">
        <f>IF(CY9="","",IF(AND($CA$3=$CA$1,CY9&lt;=$CT$1),0,IF(Main!$C$26="UGC",0,IF(DA9=VLOOKUP(DA9,'IN RPS-2015'!$I$2:$J$5,1),0,ROUND(DB9*VLOOKUP(CY9,$BZ$11:$CA$12,2)%,0)))))</f>
        <v/>
      </c>
      <c r="DH9" s="461" t="str">
        <f>IF(CY9="","",IF(AND($CA$3=$CA$1,CY9&lt;=$CT$1),0,IF(Main!$C$26="UGC",0,IF(CY9&lt;DATE(2010,4,1),0,IF(OR(DQ9=2,DQ9=3,DA9=VLOOKUP(DA9,'IN RPS-2015'!$I$2:$J$5,1)),0,ROUND(IF(CY9&lt;$J$152,VLOOKUP(CY9,$B$1:$G$4,4),VLOOKUP(VLOOKUP(CY9,$B$1:$G$4,4),Main!$CE$2:$CF$5,2,FALSE))*(DAY(CZ9)-DAY(CY9)+1)/DAY(EOMONTH(CY9,0)),0))))))</f>
        <v/>
      </c>
      <c r="DI9" s="461" t="str">
        <f>IF(CY9="","",IF(AND($CA$3=$CA$1,CY9&lt;=$CT$1),0,IF(OR(DQ9=2,DQ9=3,$D$31=$D$28,DA9=VLOOKUP(DA9,'IN RPS-2015'!$I$2:$J$5,1)),0,ROUND(MIN(VLOOKUP(CX9,$A$27:$C$29,2,TRUE),ROUND(DA9*VLOOKUP(CX9,$A$27:$C$29,3,TRUE)%,0))*IF(CX9=$A$36,$C$36,IF(CX9=$A$37,$C$37,IF(CX9=$A$38,$C$38,IF(CX9=$A$39,$C$39,IF(CX9=$A$40,$C$40,IF(CX9=$A$41,$C$41,1))))))*(DAY(CZ9)-DAY(CY9)+1)/DAY(EOMONTH(CY9,0)),0))))</f>
        <v/>
      </c>
      <c r="DJ9" s="461" t="str">
        <f>IF(CY9="","",IF(AND($CA$3=$CA$1,CY9&lt;=$CT$1),0,IF(Main!$C$26="UGC",0,IF(OR(DQ9=3,DA9=VLOOKUP(DA9,'IN RPS-2015'!$I$2:$J$5,1)),0,ROUND(IF(DQ9=2,VLOOKUP(DA9,IF($CA$3=$I$29,$A$20:$E$23,$F$144:$J$147),IF($B$19=VLOOKUP(CY9,$B$2:$G$4,3,TRUE),2,IF($C$19=VLOOKUP(CY9,$B$2:$G$4,3,TRUE),3,IF($D$19=VLOOKUP(CY9,$B$2:$G$4,3,TRUE),4,5))),TRUE),VLOOKUP(DA9,IF($CA$3=$I$29,$A$20:$E$23,$F$144:$J$147),IF($B$19=VLOOKUP(CY9,$B$2:$G$4,3,TRUE),2,IF($C$19=VLOOKUP(CY9,$B$2:$G$4,3,TRUE),3,IF($D$19=VLOOKUP(CY9,$B$2:$G$4,3,TRUE),4,5))),TRUE))*(DAY(CZ9)-DAY(CY9)+1)/DAY(EOMONTH(CY9,0)),0)))))</f>
        <v/>
      </c>
      <c r="DK9" s="461" t="str">
        <f>IF(CY9="","",IF(AND($CA$3=$CA$1,CY9&lt;=$CT$1),0,IF(Main!$C$26="UGC",0,IF(OR(CX9&lt;DATE(2010,4,1),DQ9=3,DA9=VLOOKUP(DA9,'IN RPS-2015'!$I$2:$J$5,1)),0,ROUND(IF(DQ9=2,IF(CY9&lt;$J$152,Main!$L$9,Main!$CI$3)/2,IF(CY9&lt;$J$152,Main!$L$9,Main!$CI$3))*(DAY(CZ9)-DAY(CY9)+1)/DAY(EOMONTH(CY9,0)),0)))))</f>
        <v/>
      </c>
      <c r="DL9" s="461"/>
      <c r="DM9" s="461" t="str">
        <f>IF(CY9="","",IF(AND($CA$3=$CA$1,CY9&lt;=$CT$1),0,IF(Main!$C$26="UGC",0,IF(OR(DQ9=3,DA9=VLOOKUP(DA9,'IN RPS-2015'!$I$2:$J$5,1)),0,ROUND(IF(DQ9=2,VLOOKUP(DB9,IF(CY9&lt;$J$152,$A$154:$E$159,$F$154:$J$159),IF($B$10=VLOOKUP(CX9,$B$2:$G$4,6,TRUE),2,IF($B$10=VLOOKUP(CX9,$B$2:$G$4,6,TRUE),3,IF($D$10=VLOOKUP(CX9,$B$2:$G$4,6,TRUE),4,5))))/2,VLOOKUP(DB9,IF(CY9&lt;$J$152,$A$154:$E$159,$F$154:$J$159),IF($B$10=VLOOKUP(CX9,$B$2:$G$4,6,TRUE),2,IF($B$10=VLOOKUP(CX9,$B$2:$G$4,6,TRUE),3,IF($D$10=VLOOKUP(CX9,$B$2:$G$4,6,TRUE),4,5)))))*(DAY(CZ9)-DAY(CY9)+1)/DAY(EOMONTH(CY9,0)),0)))))</f>
        <v/>
      </c>
      <c r="DN9" s="461">
        <f t="shared" si="76"/>
        <v>0</v>
      </c>
      <c r="DO9" s="464" t="str">
        <f>IF(CY9="","",IF(AND($CA$3=$CA$1,CY9&lt;=$CT$1),0,IF(AND(Main!$F$22=Main!$CA$24,CY9&gt;$CT$1),ROUND(SUM(DB9,DD9)*10%,0),"")))</f>
        <v/>
      </c>
      <c r="DP9" s="464" t="str">
        <f>IF(CX9="","",IF(AND($CA$3=$CA$1,CY9&lt;=$CT$1),0,IF(OR(Main!$H$10=Main!$BH$4,Main!$H$10=Main!$BH$5),0,LOOKUP(DN9*DAY(EOMONTH(CY9,0))/(DAY(CZ9)-DAY(CY9)+1),$H$184:$I$189))))</f>
        <v/>
      </c>
      <c r="DQ9" s="457">
        <f t="shared" si="60"/>
        <v>1</v>
      </c>
      <c r="DR9" s="457">
        <f t="shared" si="77"/>
        <v>0</v>
      </c>
      <c r="DS9" s="497"/>
      <c r="DT9" s="507"/>
      <c r="DU9" s="457"/>
      <c r="DV9" s="461"/>
      <c r="DW9" s="499" t="str">
        <f t="shared" si="61"/>
        <v/>
      </c>
      <c r="DX9" s="500" t="str">
        <f t="shared" si="88"/>
        <v/>
      </c>
      <c r="DY9" s="484" t="str">
        <f>IF(DX9="","",MIN(EOMONTH(DX9,0),VLOOKUP(DX9,'IN RPS-2015'!$O$164:$P$202,2,TRUE)-1,LOOKUP(DX9,$E$47:$F$53)-1,IF(DX9&lt;$B$2,$B$2-1,'IN RPS-2015'!$Q$9),IF(DX9&lt;$B$3,$B$3-1,'IN RPS-2015'!$Q$9),IF(DX9&lt;$B$4,$B$4-1,'IN RPS-2015'!$Q$9),LOOKUP(DX9,$H$47:$I$53)))</f>
        <v/>
      </c>
      <c r="DZ9" s="490" t="str">
        <f>IF(DX9="","",VLOOKUP(DX9,'IN RPS-2015'!$P$164:$AA$202,11))</f>
        <v/>
      </c>
      <c r="EA9" s="461" t="str">
        <f t="shared" si="78"/>
        <v/>
      </c>
      <c r="EB9" s="461" t="str">
        <f>IF(DX9="","",ROUND(IF(EP9=3,0,IF(EP9=2,IF(DZ9=VLOOKUP(DZ9,'IN RPS-2015'!$I$2:$J$5,1),0,Main!$H$9)/2,IF(DZ9=VLOOKUP(DZ9,'IN RPS-2015'!$I$2:$J$5,1),0,Main!$H$9)))*(DAY(DY9)-DAY(DX9)+1)/DAY(EOMONTH(DX9,0)),0))</f>
        <v/>
      </c>
      <c r="EC9" s="461" t="str">
        <f>IF(DX9="","",IF(DZ9=VLOOKUP(DZ9,'IN RPS-2015'!$I$2:$J$5,1),0,ROUND(EA9*VLOOKUP(DX9,$DT$4:$DU$7,2)%,0)))</f>
        <v/>
      </c>
      <c r="ED9" s="461" t="str">
        <f>IF(DX9="","",IF(OR(EP9=3,DZ9=VLOOKUP(DZ9,'IN RPS-2015'!$I$2:$J$5,1)),0,ROUND(MIN(ROUND(DZ9*VLOOKUP(DX9,$B$1:$G$4,2)%,0),VLOOKUP(DX9,$B$2:$I$4,IF($DU$3=$I$29,7,8),TRUE))*(DAY(DY9)-DAY(DX9)+1)/DAY(EOMONTH(DX9,0)),0)))</f>
        <v/>
      </c>
      <c r="EE9" s="491" t="str">
        <f>IF(DX9="","",IF(Main!$C$26="UGC",0,IF(OR(DX9&lt;DATE(2010,4,1),$I$6=VLOOKUP(DX9,$B$2:$G$4,5,TRUE),DZ9=VLOOKUP(DZ9,'IN RPS-2015'!$I$2:$J$5,1)),0,ROUND(IF(EP9=3,0,IF(EP9=2,MIN(ROUND(DZ9*$G$13%,0),IF(DX9&lt;$I$152,$G$14,$G$15))/2,MIN(ROUND(DZ9*$G$13%,0),IF(DX9&lt;$I$152,$G$14,$G$15))))*(DAY(DY9)-DAY(DX9)+1)/DAY(EOMONTH(DX9,0)),0))))</f>
        <v/>
      </c>
      <c r="EF9" s="461" t="str">
        <f>IF(DX9="","",IF(Main!$C$26="UGC",0,IF(DZ9=VLOOKUP(DZ9,'IN RPS-2015'!$I$2:$J$5,1),0,ROUND(EA9*VLOOKUP(DX9,$DT$11:$DU$12,2)%,0))))</f>
        <v/>
      </c>
      <c r="EG9" s="461" t="str">
        <f>IF(DX9="","",IF(Main!$C$26="UGC",0,IF(DX9&lt;DATE(2010,4,1),0,IF(OR(EP9=2,EP9=3,DZ9=VLOOKUP(DZ9,'IN RPS-2015'!$I$2:$J$5,1)),0,ROUND(IF(DX9&lt;$I$152,VLOOKUP(DX9,$B$1:$G$4,4),VLOOKUP(VLOOKUP(DX9,$B$1:$G$4,4),Main!$CE$2:$CF$5,2,FALSE))*(DAY(DY9)-DAY(DX9)+1)/DAY(EOMONTH(DX9,0)),0)))))</f>
        <v/>
      </c>
      <c r="EH9" s="461" t="str">
        <f>IF(DX9="","",IF(OR(EP9=2,EP9=3,$D$31=$D$28,DZ9=VLOOKUP(DZ9,'IN RPS-2015'!$I$2:$J$5,1)),0,ROUND(MIN(IF(DX9&lt;$I$152,900,1350),ROUND(DZ9*VLOOKUP(DW9,$A$27:$C$29,3,TRUE)%,0))*IF(DW9=$A$36,$C$36,IF(DW9=$A$37,$C$37,IF(DW9=$A$38,$C$38,IF(DW9=$A$39,$C$39,IF(DW9=$A$40,$C$40,IF(DW9=$A$41,$C$41,1))))))*(DAY(DY9)-DAY(DX9)+1)/DAY(EOMONTH(DX9,0)),0)))</f>
        <v/>
      </c>
      <c r="EI9" s="461" t="str">
        <f>IF(DX9="","",IF(Main!$C$26="UGC",0,IF(OR(EP9=3,DZ9=VLOOKUP(DZ9,'IN RPS-2015'!$I$2:$J$5,1)),0,ROUND(IF(EP9=2,VLOOKUP(DZ9,IF($DU$3=$I$29,$A$20:$E$23,$F$144:$J$147),IF($B$19=VLOOKUP(DX9,$B$2:$G$4,3,TRUE),2,IF($C$19=VLOOKUP(DX9,$B$2:$G$4,3,TRUE),3,IF($D$19=VLOOKUP(DX9,$B$2:$G$4,3,TRUE),4,5))),TRUE),VLOOKUP(DZ9,IF($DU$3=$I$29,$A$20:$E$23,$F$144:$J$147),IF($B$19=VLOOKUP(DX9,$B$2:$G$4,3,TRUE),2,IF($C$19=VLOOKUP(DX9,$B$2:$G$4,3,TRUE),3,IF($D$19=VLOOKUP(DX9,$B$2:$G$4,3,TRUE),4,5))),TRUE))*(DAY(DY9)-DAY(DX9)+1)/DAY(EOMONTH(DX9,0)),0))))</f>
        <v/>
      </c>
      <c r="EJ9" s="461" t="str">
        <f>IF(DX9="","",IF(Main!$C$26="UGC",0,IF(OR(DW9&lt;DATE(2010,4,1),EP9=3,DZ9=VLOOKUP(DZ9,'IN RPS-2015'!$I$2:$J$5,1)),0,ROUND(IF(EP9=2,IF(DX9&lt;$I$152,Main!$L$9,Main!$CI$3)/2,IF(DX9&lt;$I$152,Main!$L$9,Main!$CI$3))*(DAY(DY9)-DAY(DX9)+1)/DAY(EOMONTH(DX9,0)),0))))</f>
        <v/>
      </c>
      <c r="EK9" s="461"/>
      <c r="EL9" s="461" t="str">
        <f>IF(DX9="","",IF(Main!$C$26="UGC",0,IF(OR(EP9=3,DZ9=VLOOKUP(DZ9,'IN RPS-2015'!$I$2:$J$5,1)),0,ROUND(IF(EP9=2,VLOOKUP(EA9,IF(DX9&lt;$I$152,$A$154:$E$159,$F$154:$J$159),IF($B$10=VLOOKUP(DW9,$B$2:$G$4,6,TRUE),2,IF($B$10=VLOOKUP(DW9,$B$2:$G$4,6,TRUE),3,IF($D$10=VLOOKUP(DW9,$B$2:$G$4,6,TRUE),4,5))))/2,VLOOKUP(EA9,IF(DX9&lt;$I$152,$A$154:$E$159,$F$154:$J$159),IF($B$10=VLOOKUP(DW9,$B$2:$G$4,6,TRUE),2,IF($B$10=VLOOKUP(DW9,$B$2:$G$4,6,TRUE),3,IF($D$10=VLOOKUP(DW9,$B$2:$G$4,6,TRUE),4,5)))))*(DAY(DY9)-DAY(DX9)+1)/DAY(EOMONTH(DX9,0)),0))))</f>
        <v/>
      </c>
      <c r="EM9" s="461">
        <f t="shared" si="79"/>
        <v>0</v>
      </c>
      <c r="EN9" s="464" t="str">
        <f>IF(DX9="","",IF(AND(Main!$F$22=Main!$CA$24,DX9&gt;$EN$1),ROUND(SUM(EA9,EC9)*10%,0),""))</f>
        <v/>
      </c>
      <c r="EO9" s="464" t="str">
        <f>IF(DW9="","",IF(EA9=0,0,IF(OR(Main!$H$10=Main!$BH$4,Main!$H$10=Main!$BH$5),0,LOOKUP(EM9*DAY(EOMONTH(DX9,0))/(DAY(DY9)-DAY(DX9)+1),$H$184:$I$189))))</f>
        <v/>
      </c>
      <c r="EP9" s="457">
        <f t="shared" si="62"/>
        <v>1</v>
      </c>
      <c r="ER9" s="507"/>
      <c r="ET9" s="461"/>
      <c r="EU9" s="499" t="str">
        <f t="shared" si="63"/>
        <v/>
      </c>
      <c r="EV9" s="500" t="str">
        <f t="shared" si="89"/>
        <v/>
      </c>
      <c r="EW9" s="484" t="str">
        <f>IF(EV9="","",MIN(EOMONTH(EV9,0),VLOOKUP(EV9,'IN RPS-2015'!$O$164:$P$202,2,TRUE)-1,LOOKUP(EV9,$E$47:$F$53)-1,IF(EV9&lt;$B$2,$B$2-1,'IN RPS-2015'!$Q$9),IF(EV9&lt;$B$3,$B$3-1,'IN RPS-2015'!$Q$9),IF(EV9&lt;$B$4,$B$4-1,'IN RPS-2015'!$Q$9),LOOKUP(EV9,$H$47:$I$53)))</f>
        <v/>
      </c>
      <c r="EX9" s="490" t="str">
        <f>IF(EV9="","",VLOOKUP(EV9,'IN RPS-2015'!$P$164:$AA$202,12))</f>
        <v/>
      </c>
      <c r="EY9" s="461" t="str">
        <f t="shared" si="80"/>
        <v/>
      </c>
      <c r="EZ9" s="461" t="str">
        <f>IF(EV9="","",ROUND(IF(FN9=3,0,IF(FN9=2,IF(EX9=VLOOKUP(EX9,'IN RPS-2015'!$I$2:$J$5,1),0,Main!$H$9)/2,IF(EX9=VLOOKUP(EX9,'IN RPS-2015'!$I$2:$J$5,1),0,Main!$H$9)))*(DAY(EW9)-DAY(EV9)+1)/DAY(EOMONTH(EV9,0)),0))</f>
        <v/>
      </c>
      <c r="FA9" s="461" t="str">
        <f>IF(EV9="","",IF(EX9=VLOOKUP(EX9,'IN RPS-2015'!$I$2:$J$5,1),0,ROUND(EY9*VLOOKUP(EV9,$ER$4:$ES$7,2)%,0)))</f>
        <v/>
      </c>
      <c r="FB9" s="461" t="str">
        <f>IF(EV9="","",IF(OR(FN9=3,EX9=VLOOKUP(EX9,'IN RPS-2015'!$I$2:$J$5,1)),0,ROUND(MIN(ROUND(EX9*VLOOKUP(EV9,$B$1:$G$4,2)%,0),VLOOKUP(EV9,$B$2:$I$4,IF($ES$3=$I$29,7,8),TRUE))*(DAY(EW9)-DAY(EV9)+1)/DAY(EOMONTH(EV9,0)),0)))</f>
        <v/>
      </c>
      <c r="FC9" s="491" t="str">
        <f>IF(EV9="","",IF(Main!$C$26="UGC",0,IF(OR(EV9&lt;DATE(2010,4,1),$I$6=VLOOKUP(EV9,$B$2:$G$4,5,TRUE),EX9=VLOOKUP(EX9,'IN RPS-2015'!$I$2:$J$5,1)),0,ROUND(IF(FN9=3,0,IF(FN9=2,MIN(ROUND(EX9*$G$13%,0),IF(EV9&lt;$J$152,$G$14,$G$15))/2,MIN(ROUND(EX9*$G$13%,0),IF(EV9&lt;$J$152,$G$14,$G$15))))*(DAY(EW9)-DAY(EV9)+1)/DAY(EOMONTH(EV9,0)),0))))</f>
        <v/>
      </c>
      <c r="FD9" s="461" t="str">
        <f>IF(EV9="","",IF(Main!$C$26="UGC",0,IF(EX9=VLOOKUP(EX9,'IN RPS-2015'!$I$2:$J$5,1),0,ROUND(EY9*VLOOKUP(EV9,$ER$11:$ES$12,2)%,0))))</f>
        <v/>
      </c>
      <c r="FE9" s="461" t="str">
        <f>IF(EV9="","",IF(Main!$C$26="UGC",0,IF(EV9&lt;DATE(2010,4,1),0,IF(OR(FN9=2,FN9=3,EX9=VLOOKUP(EX9,'IN RPS-2015'!$I$2:$J$5,1)),0,ROUND(IF(EV9&lt;$J$152,VLOOKUP(EV9,$B$1:$G$4,4),VLOOKUP(VLOOKUP(EV9,$B$1:$G$4,4),Main!$CE$2:$CF$5,2,FALSE))*(DAY(EW9)-DAY(EV9)+1)/DAY(EOMONTH(EV9,0)),0)))))</f>
        <v/>
      </c>
      <c r="FF9" s="461" t="str">
        <f>IF(EV9="","",IF(OR(FN9=2,FN9=3,$D$31=$D$28,EX9=VLOOKUP(EX9,'IN RPS-2015'!$I$2:$J$5,1)),0,ROUND(MIN(VLOOKUP(EU9,$A$27:$C$29,2,TRUE),ROUND(EX9*VLOOKUP(EU9,$A$27:$C$29,3,TRUE)%,0))*IF(EU9=$A$36,$C$36,IF(EU9=$A$37,$C$37,IF(EU9=$A$38,$C$38,IF(EU9=$A$39,$C$39,IF(EU9=$A$40,$C$40,IF(EU9=$A$41,$C$41,1))))))*(DAY(EW9)-DAY(EV9)+1)/DAY(EOMONTH(EV9,0)),0)))</f>
        <v/>
      </c>
      <c r="FG9" s="461" t="str">
        <f>IF(EV9="","",IF(Main!$C$26="UGC",0,IF(OR(FN9=3,EX9=VLOOKUP(EX9,'IN RPS-2015'!$I$2:$J$5,1)),0,ROUND(IF(FN9=2,VLOOKUP(EX9,IF($ES$3=$I$29,$A$20:$E$23,$F$144:$J$147),IF($B$19=VLOOKUP(EV9,$B$2:$G$4,3,TRUE),2,IF($C$19=VLOOKUP(EV9,$B$2:$G$4,3,TRUE),3,IF($D$19=VLOOKUP(EV9,$B$2:$G$4,3,TRUE),4,5))),TRUE),VLOOKUP(EX9,IF($ES$3=$I$29,$A$20:$E$23,$F$144:$J$147),IF($B$19=VLOOKUP(EV9,$B$2:$G$4,3,TRUE),2,IF($C$19=VLOOKUP(EV9,$B$2:$G$4,3,TRUE),3,IF($D$19=VLOOKUP(EV9,$B$2:$G$4,3,TRUE),4,5))),TRUE))*(DAY(EW9)-DAY(EV9)+1)/DAY(EOMONTH(EV9,0)),0))))</f>
        <v/>
      </c>
      <c r="FH9" s="461" t="str">
        <f>IF(EV9="","",IF(Main!$C$26="UGC",0,IF(OR(EU9&lt;DATE(2010,4,1),FN9=3,EX9=VLOOKUP(EX9,'IN RPS-2015'!$I$2:$J$5,1)),0,ROUND(IF(FN9=2,IF(EV9&lt;$J$152,Main!$L$9,Main!$CI$3)/2,IF(EV9&lt;$J$152,Main!$L$9,Main!$CI$3))*(DAY(EW9)-DAY(EV9)+1)/DAY(EOMONTH(EV9,0)),0))))</f>
        <v/>
      </c>
      <c r="FI9" s="461"/>
      <c r="FJ9" s="461" t="str">
        <f>IF(EV9="","",IF(Main!$C$26="UGC",0,IF(OR(FN9=3,EX9=VLOOKUP(EX9,'IN RPS-2015'!$I$2:$J$5,1)),0,ROUND(IF(FN9=2,VLOOKUP(EY9,IF(EV9&lt;$J$152,$A$154:$E$159,$F$154:$J$159),IF($B$10=VLOOKUP(EU9,$B$2:$G$4,6,TRUE),2,IF($B$10=VLOOKUP(EU9,$B$2:$G$4,6,TRUE),3,IF($D$10=VLOOKUP(EU9,$B$2:$G$4,6,TRUE),4,5))))/2,VLOOKUP(EY9,IF(EV9&lt;$J$152,$A$154:$E$159,$F$154:$J$159),IF($B$10=VLOOKUP(EU9,$B$2:$G$4,6,TRUE),2,IF($B$10=VLOOKUP(EU9,$B$2:$G$4,6,TRUE),3,IF($D$10=VLOOKUP(EU9,$B$2:$G$4,6,TRUE),4,5)))))*(DAY(EW9)-DAY(EV9)+1)/DAY(EOMONTH(EV9,0)),0))))</f>
        <v/>
      </c>
      <c r="FK9" s="461">
        <f t="shared" si="81"/>
        <v>0</v>
      </c>
      <c r="FL9" s="464" t="str">
        <f>IF(EV9="","",IF(AND(Main!$F$22=Main!$CA$24,EV9&gt;$FL$1),ROUND(SUM(EY9,FA9)*10%,0),""))</f>
        <v/>
      </c>
      <c r="FM9" s="464" t="str">
        <f>IF(EU9="","",IF(EY9=0,0,IF(OR(Main!$H$10=Main!$BH$4,Main!$H$10=Main!$BH$5),0,LOOKUP(FK9*DAY(EOMONTH(EV9,0))/(DAY(EW9)-DAY(EV9)+1),$H$184:$I$189))))</f>
        <v/>
      </c>
      <c r="FN9" s="457">
        <f t="shared" si="64"/>
        <v>1</v>
      </c>
    </row>
    <row r="10" spans="1:170" ht="31.5">
      <c r="A10" s="152" t="s">
        <v>295</v>
      </c>
      <c r="B10" s="91" t="s">
        <v>1357</v>
      </c>
      <c r="C10" s="91" t="s">
        <v>1355</v>
      </c>
      <c r="D10" s="91" t="s">
        <v>1356</v>
      </c>
      <c r="E10" s="92" t="str">
        <f>H1</f>
        <v>Not-Applicable</v>
      </c>
      <c r="F10" s="508">
        <f>DATE(2010,4,1)</f>
        <v>40269</v>
      </c>
      <c r="G10" s="160" t="s">
        <v>61</v>
      </c>
      <c r="H10" s="744">
        <f>MAX(Main!$H$19,$A$49)</f>
        <v>42461</v>
      </c>
      <c r="I10" s="169">
        <f>IF(Main!$C$26="UGC",$D$49,$C$49)</f>
        <v>12.052</v>
      </c>
      <c r="J10" s="457">
        <f>$B$49</f>
        <v>83.031999999999996</v>
      </c>
      <c r="K10" s="494">
        <f t="shared" si="65"/>
        <v>42278</v>
      </c>
      <c r="L10" s="495">
        <f t="shared" si="82"/>
        <v>42278</v>
      </c>
      <c r="M10" s="484">
        <f>IF(L10="","",MIN(EOMONTH(L10,0),VLOOKUP(L10,'IN RPS-2015'!$O$164:$P$202,2,TRUE)-1,LOOKUP(L10,$E$47:$F$53)-1,IF(L10&lt;$B$2,$B$2-1,'IN RPS-2015'!$Q$9),IF(L10&lt;$B$3,$B$3-1,'IN RPS-2015'!$Q$9),IF(L10&lt;$B$4,$B$4-1,'IN RPS-2015'!$Q$9),LOOKUP(L10,$H$47:$I$53)))</f>
        <v>42308</v>
      </c>
      <c r="N10" s="496">
        <f>IF(L10="","",VLOOKUP(L10,'Advance Tax'!$A$3:$C$14,3))</f>
        <v>55410</v>
      </c>
      <c r="O10" s="497">
        <f t="shared" si="52"/>
        <v>55410</v>
      </c>
      <c r="P10" s="497">
        <f>IF(L10="","",ROUND(IF(AD10=3,0,IF(AD10=2,IF(N10=VLOOKUP(N10,'IN RPS-2015'!$I$2:$J$5,1),0,Main!$H$9)/2,IF(N10=VLOOKUP(N10,'IN RPS-2015'!$I$2:$J$5,1),0,Main!$H$9)))*(DAY(M10)-DAY(L10)+1)/DAY(EOMONTH(L10,0)),0))</f>
        <v>105</v>
      </c>
      <c r="Q10" s="457">
        <f>IF(L10="","",IF(N10=VLOOKUP(N10,'IN RPS-2015'!$I$2:$J$5,1),0,ROUND(O10*IF(L10&lt;Main!$C$27,VLOOKUP(L10,$H$9:$J$12,3),VLOOKUP(L10,$H$9:$J$12,2))%,0)))</f>
        <v>4936</v>
      </c>
      <c r="R10" s="457">
        <f>IF(L10="","",IF(OR(AD10=3,N10=VLOOKUP(N10,'IN RPS-2015'!$I$2:$J$5,1)),0,ROUND(MIN(ROUND(N10*VLOOKUP(L10,$B$1:$G$4,2)%,0),VLOOKUP(L10,$B$2:$I$4,IF(L10&lt;$G$7,7,8),TRUE))*(DAY(M10)-DAY(L10)+1)/DAY(EOMONTH(L10,0)),0)))</f>
        <v>11082</v>
      </c>
      <c r="S10" s="486">
        <f>IF(L10="","",IF(Main!$C$26="UGC",0,IF(OR(L10&lt;DATE(2010,4,1),$I$6=VLOOKUP(L10,$B$2:$G$4,5,TRUE),N10=VLOOKUP(N10,'IN RPS-2015'!$I$2:$J$5,1)),0,ROUND(IF(AD10=3,0,IF(AD10=2,MIN(ROUND(N10*$G$13%,0),IF(L10&lt;$J$152,$G$14,$G$15))/2,MIN(ROUND(N10*$G$13%,0),IF(L10&lt;$J$152,$G$14,$G$15))))*(DAY(M10)-DAY(L10)+1)/DAY(EOMONTH(L10,0)),0))))</f>
        <v>0</v>
      </c>
      <c r="T10" s="457">
        <f>IF(L10="","",IF(Main!$C$26="UGC",0,IF(N10=VLOOKUP(N10,'IN RPS-2015'!$I$2:$J$5,1),0,ROUND(O10*VLOOKUP(L10,$H$205:$I$206,2)%,0))))</f>
        <v>0</v>
      </c>
      <c r="U10" s="457">
        <f>IF(L10="","",IF(Main!$C$26="UGC",0,IF(L10&lt;DATE(2010,4,1),0,IF(OR(AD10=2,AD10=3,N10=VLOOKUP(N10,'IN RPS-2015'!$I$2:$J$5,1)),0,ROUND(IF(L10&lt;$J$152,VLOOKUP(L10,$B$1:$G$4,4),VLOOKUP(VLOOKUP(L10,$B$1:$G$4,4),Main!$CE$2:$CF$5,2,FALSE))*(DAY(M10)-DAY(L10)+1)/DAY(EOMONTH(L10,0)),0)))))</f>
        <v>0</v>
      </c>
      <c r="V10" s="457">
        <f>IF(L10="","",IF(OR(AD10=2,AD10=3,$D$31=$D$28,N10=VLOOKUP(N10,'IN RPS-2015'!$I$2:$J$5,1)),0,ROUND(MIN(VLOOKUP(K10,$A$27:$C$29,2,TRUE),ROUND(N10*VLOOKUP(K10,$A$27:$C$29,3,TRUE)%,0))*IF(K10=$A$36,$C$36,IF(K10=$A$37,$C$37,IF(K10=$A$38,$C$38,IF(K10=$A$39,$C$39,IF(K10=$A$40,$C$40,IF(K10=$A$41,$C$41,1))))))*(DAY(M10)-DAY(L10)+1)/DAY(EOMONTH(L10,0)),0)))</f>
        <v>900</v>
      </c>
      <c r="W10" s="457">
        <f>IF(L10="","",IF(Main!$C$26="UGC",0,IF(OR(AD10=3,N10=VLOOKUP(N10,'IN RPS-2015'!$I$2:$J$5,1)),0,ROUND(IF(AD10=2,VLOOKUP(N10,IF(L10&lt;$G$7,$A$20:$E$23,$F$144:$J$147),IF($B$19=VLOOKUP(L10,$B$2:$G$4,3,TRUE),2,IF($C$19=VLOOKUP(L10,$B$2:$G$4,3,TRUE),3,IF($D$19=VLOOKUP(L10,$B$2:$G$4,3,TRUE),4,5))),TRUE),VLOOKUP(N10,IF(L10&lt;$G$7,$A$20:$E$23,$F$144:$J$147),IF($B$19=VLOOKUP(L10,$B$2:$G$4,3,TRUE),2,IF($C$19=VLOOKUP(L10,$B$2:$G$4,3,TRUE),3,IF($D$19=VLOOKUP(L10,$B$2:$G$4,3,TRUE),4,5))),TRUE))*(DAY(M10)-DAY(L10)+1)/DAY(EOMONTH(L10,0)),0))))</f>
        <v>500</v>
      </c>
      <c r="X10" s="457">
        <f>IF(L10="","",IF(Main!$C$26="UGC",0,IF(OR(K10&lt;DATE(2010,4,1),AD10=3,N10=VLOOKUP(N10,'IN RPS-2015'!$I$2:$J$5,1)),0,ROUND(IF(AD10=2,IF(L10&lt;$J$152,Main!$L$9,Main!$CI$3)/2,IF(L10&lt;$J$152,Main!$L$9,Main!$CI$3))*(DAY(M10)-DAY(L10)+1)/DAY(EOMONTH(L10,0)),0))))</f>
        <v>0</v>
      </c>
      <c r="Y10" s="497"/>
      <c r="Z10" s="457">
        <f>IF(L10="","",IF(Main!$C$26="UGC",0,IF(OR(AD10=3,N10=VLOOKUP(N10,'IN RPS-2015'!$I$2:$J$5,1)),0,ROUND(IF(AD10=2,VLOOKUP(O10,IF(L10&lt;$J$152,$A$154:$E$159,$F$154:$J$159),IF($B$10=VLOOKUP(K10,$B$2:$G$4,6,TRUE),2,IF($B$10=VLOOKUP(K10,$B$2:$G$4,6,TRUE),3,IF($D$10=VLOOKUP(K10,$B$2:$G$4,6,TRUE),4,5))))/2,VLOOKUP(O10,IF(L10&lt;$J$152,$A$154:$E$159,$F$154:$J$159),IF($B$10=VLOOKUP(K10,$B$2:$G$4,6,TRUE),2,IF($B$10=VLOOKUP(K10,$B$2:$G$4,6,TRUE),3,IF($D$10=VLOOKUP(K10,$B$2:$G$4,6,TRUE),4,5)))))*(DAY(M10)-DAY(L10)+1)/DAY(EOMONTH(L10,0)),0))))</f>
        <v>0</v>
      </c>
      <c r="AA10" s="497">
        <f t="shared" si="83"/>
        <v>72933</v>
      </c>
      <c r="AB10" s="497"/>
      <c r="AC10" s="497"/>
      <c r="AD10" s="497">
        <f t="shared" si="53"/>
        <v>1</v>
      </c>
      <c r="AE10" s="497"/>
      <c r="AF10" s="1124" t="s">
        <v>40</v>
      </c>
      <c r="AG10" s="1124"/>
      <c r="AH10" s="461"/>
      <c r="AI10" s="499" t="str">
        <f t="shared" si="54"/>
        <v/>
      </c>
      <c r="AJ10" s="500" t="str">
        <f t="shared" si="84"/>
        <v/>
      </c>
      <c r="AK10" s="484" t="str">
        <f>IF(AJ10="","",MIN(EOMONTH(AJ10,0),VLOOKUP(AJ10,'IN RPS-2015'!$O$164:$P$202,2,TRUE)-1,LOOKUP(AJ10,$E$47:$F$53)-1,IF(AJ10&lt;$B$2,$B$2-1,'IN RPS-2015'!$Q$9),IF(AJ10&lt;$B$3,$B$3-1,'IN RPS-2015'!$Q$9),IF(AJ10&lt;$B$4,$B$4-1,'IN RPS-2015'!$Q$9),LOOKUP(AJ10,$H$47:$I$53)))</f>
        <v/>
      </c>
      <c r="AL10" s="490" t="str">
        <f>IF(AJ10="","",VLOOKUP(AJ10,'IN RPS-2015'!$P$164:$AA$202,9))</f>
        <v/>
      </c>
      <c r="AM10" s="461" t="str">
        <f t="shared" si="66"/>
        <v/>
      </c>
      <c r="AN10" s="461" t="str">
        <f>IF(AJ10="","",IF(AND($AG$3=$AG$1,AJ10&lt;=$AZ$1),0,ROUND(IF(BB10=3,0,IF(BB10=2,IF(AL10=VLOOKUP(AL10,'IN RPS-2015'!$I$2:$J$5,1),0,Main!$H$9)/2,IF(AL10=VLOOKUP(AL10,'IN RPS-2015'!$I$2:$J$5,1),0,Main!$H$9)))*(DAY(AK10)-DAY(AJ10)+1)/DAY(EOMONTH(AJ10,0)),0)))</f>
        <v/>
      </c>
      <c r="AO10" s="461" t="str">
        <f>IF(AJ10="","",IF(AND($AG$3=$AG$1,AJ10&lt;=$AZ$1),0,IF(AL10=VLOOKUP(AL10,'IN RPS-2015'!$I$2:$J$5,1),0,ROUND(AM10*VLOOKUP(AJ10,$AF$4:$AG$7,2)%,0))))</f>
        <v/>
      </c>
      <c r="AP10" s="461" t="str">
        <f>IF(AJ10="","",IF(AND($AG$3=$AG$1,AJ10&lt;=$AZ$1),0,IF(OR(BB10=3,AL10=VLOOKUP(AL10,'IN RPS-2015'!$I$2:$J$5,1)),0,ROUND(MIN(ROUND(AL10*VLOOKUP(AJ10,$B$1:$G$4,2)%,0),VLOOKUP(AJ10,$B$2:$I$4,IF($AG$3=$I$29,7,8),TRUE))*(DAY(AK10)-DAY(AJ10)+1)/DAY(EOMONTH(AJ10,0)),0))))</f>
        <v/>
      </c>
      <c r="AQ10" s="491" t="str">
        <f>IF(AJ10="","",IF(AND($AG$3=$AG$1,AJ10&lt;=$AZ$1),0,IF(Main!$C$26="UGC",0,IF(OR(AJ10&lt;DATE(2010,4,1),$I$6=VLOOKUP(AJ10,$B$2:$G$4,5,TRUE),AL10=VLOOKUP(AL10,'IN RPS-2015'!$I$2:$J$5,1)),0,ROUND(IF(BB10=3,0,IF(BB10=2,MIN(ROUND(AL10*$G$13%,0),IF(AJ10&lt;$J$152,$G$14,$G$15))/2,MIN(ROUND(AL10*$G$13%,0),IF(AJ10&lt;$J$152,$G$14,$G$15))))*(DAY(AK10)-DAY(AJ10)+1)/DAY(EOMONTH(AJ10,0)),0)))))</f>
        <v/>
      </c>
      <c r="AR10" s="461" t="str">
        <f>IF(AJ10="","",IF(AND($AG$3=$AG$1,AJ10&lt;=$AZ$1),0,IF(Main!$C$26="UGC",0,IF(AL10=VLOOKUP(AL10,'IN RPS-2015'!$I$2:$J$5,1),0,ROUND(AM10*VLOOKUP(AJ10,$AF$11:$AG$12,2)%,0)))))</f>
        <v/>
      </c>
      <c r="AS10" s="461" t="str">
        <f>IF(AJ10="","",IF(AND($AG$3=$AG$1,AJ10&lt;=$AZ$1),0,IF(Main!$C$26="UGC",0,IF(AJ10&lt;DATE(2010,4,1),0,IF(OR(BB10=2,BB10=3,AL10=VLOOKUP(AL10,'IN RPS-2015'!$I$2:$J$5,1)),0,ROUND(IF(AJ10&lt;$J$152,VLOOKUP(AJ10,$B$1:$G$4,4),VLOOKUP(VLOOKUP(AJ10,$B$1:$G$4,4),Main!$CE$2:$CF$5,2,FALSE))*(DAY(AK10)-DAY(AJ10)+1)/DAY(EOMONTH(AJ10,0)),0))))))</f>
        <v/>
      </c>
      <c r="AT10" s="461" t="str">
        <f>IF(AJ10="","",IF(AND($AG$3=$AG$1,AJ10&lt;=$AZ$1),0,IF(OR(BB10=2,BB10=3,$D$31=$D$28,AL10=VLOOKUP(AL10,'IN RPS-2015'!$I$2:$J$5,1)),0,ROUND(MIN(VLOOKUP(AI10,$A$27:$C$29,2,TRUE),ROUND(AL10*VLOOKUP(AI10,$A$27:$C$29,3,TRUE)%,0))*IF(AI10=$A$36,$C$36,IF(AI10=$A$37,$C$37,IF(AI10=$A$38,$C$38,IF(AI10=$A$39,$C$39,IF(AI10=$A$40,$C$40,IF(AI10=$A$41,$C$41,1))))))*(DAY(AK10)-DAY(AJ10)+1)/DAY(EOMONTH(AJ10,0)),0))))</f>
        <v/>
      </c>
      <c r="AU10" s="461" t="str">
        <f>IF(AJ10="","",IF(AND($AG$3=$AG$1,AJ10&lt;=$AZ$1),0,IF(Main!$C$26="UGC",0,IF(OR(BB10=3,AL10=VLOOKUP(AL10,'IN RPS-2015'!$I$2:$J$5,1)),0,ROUND(IF(BB10=2,VLOOKUP(AL10,IF($AG$3=$I$29,$A$20:$E$23,$F$144:$J$147),IF($B$19=VLOOKUP(AJ10,$B$2:$G$4,3,TRUE),2,IF($C$19=VLOOKUP(AJ10,$B$2:$G$4,3,TRUE),3,IF($D$19=VLOOKUP(AJ10,$B$2:$G$4,3,TRUE),4,5))),TRUE),VLOOKUP(AL10,IF($AG$3=$I$29,$A$20:$E$23,$F$144:$J$147),IF($B$19=VLOOKUP(AJ10,$B$2:$G$4,3,TRUE),2,IF($C$19=VLOOKUP(AJ10,$B$2:$G$4,3,TRUE),3,IF($D$19=VLOOKUP(AJ10,$B$2:$G$4,3,TRUE),4,5))),TRUE))*(DAY(AK10)-DAY(AJ10)+1)/DAY(EOMONTH(AJ10,0)),0)))))</f>
        <v/>
      </c>
      <c r="AV10" s="461" t="str">
        <f>IF(AJ10="","",IF(AND($AG$3=$AG$1,AJ10&lt;=$AZ$1),0,IF(Main!$C$26="UGC",0,IF(OR(AI10&lt;DATE(2010,4,1),BB10=3,AL10=VLOOKUP(AL10,'IN RPS-2015'!$I$2:$J$5,1)),0,ROUND(IF(BB10=2,IF(AJ10&lt;$J$152,Main!$L$9,Main!$CI$3)/2,IF(AJ10&lt;$J$152,Main!$L$9,Main!$CI$3))*(DAY(AK10)-DAY(AJ10)+1)/DAY(EOMONTH(AJ10,0)),0)))))</f>
        <v/>
      </c>
      <c r="AW10" s="461"/>
      <c r="AX10" s="461" t="str">
        <f>IF(AJ10="","",IF(AND($AG$3=$AG$1,AJ10&lt;=$AZ$1),0,IF(Main!$C$26="UGC",0,IF(OR(BB10=3,AL10=VLOOKUP(AL10,'IN RPS-2015'!$I$2:$J$5,1)),0,ROUND(IF(BB10=2,VLOOKUP(AM10,IF(AJ10&lt;$J$152,$A$154:$E$159,$F$154:$J$159),IF($B$10=VLOOKUP(AI10,$B$2:$G$4,6,TRUE),2,IF($B$10=VLOOKUP(AI10,$B$2:$G$4,6,TRUE),3,IF($D$10=VLOOKUP(AI10,$B$2:$G$4,6,TRUE),4,5))))/2,VLOOKUP(AM10,IF(AJ10&lt;$J$152,$A$154:$E$159,$F$154:$J$159),IF($B$10=VLOOKUP(AI10,$B$2:$G$4,6,TRUE),2,IF($B$10=VLOOKUP(AI10,$B$2:$G$4,6,TRUE),3,IF($D$10=VLOOKUP(AI10,$B$2:$G$4,6,TRUE),4,5)))))*(DAY(AK10)-DAY(AJ10)+1)/DAY(EOMONTH(AJ10,0)),0)))))</f>
        <v/>
      </c>
      <c r="AY10" s="461">
        <f t="shared" si="67"/>
        <v>0</v>
      </c>
      <c r="AZ10" s="464" t="str">
        <f>IF(AJ10="","",IF(AND($AG$3=$AG$1,AJ10&lt;=$AZ$1),0,IF(AND(Main!$F$22=Main!$CA$24,AJ10&gt;$AZ$1),ROUND(SUM(AM10,AO10)*10%,0),"")))</f>
        <v/>
      </c>
      <c r="BA10" s="464" t="str">
        <f>IF(AI10="","",IF(AND($AG$3=$AG$1,AJ10&lt;=$AZ$1),0,IF(OR(Main!$H$10=Main!$BH$4,Main!$H$10=Main!$BH$5),0,LOOKUP(AY10*DAY(EOMONTH(AJ10,0))/(DAY(AK10)-DAY(AJ10)+1),$H$184:$I$189))))</f>
        <v/>
      </c>
      <c r="BB10" s="497">
        <f t="shared" si="55"/>
        <v>1</v>
      </c>
      <c r="BC10" s="464"/>
      <c r="BD10" s="501" t="str">
        <f t="shared" si="56"/>
        <v/>
      </c>
      <c r="BE10" s="502" t="str">
        <f t="shared" si="85"/>
        <v/>
      </c>
      <c r="BF10" s="484" t="str">
        <f>IF(BE10="","",MIN(EOMONTH(BE10,0),VLOOKUP(BE10,'IN RPS-2015'!$O$164:$P$202,2,TRUE)-1,LOOKUP(BE10,$E$47:$F$53)-1,IF(BE10&lt;$B$2,$B$2-1,'IN RPS-2015'!$Q$9),IF(BE10&lt;$B$3,$B$3-1,'IN RPS-2015'!$Q$9),IF(BE10&lt;$B$4,$B$4-1,'IN RPS-2015'!$Q$9),LOOKUP(BE10,$H$47:$I$53)))</f>
        <v/>
      </c>
      <c r="BG10" s="493" t="str">
        <f>IF(BE10="","",VLOOKUP(BE10,'IN RPS-2015'!$P$164:$AA$202,10))</f>
        <v/>
      </c>
      <c r="BH10" s="461" t="str">
        <f t="shared" si="68"/>
        <v/>
      </c>
      <c r="BI10" s="461" t="str">
        <f>IF(BE10="","",IF(AND($AG$3=$AG$1,BE10&lt;=$AZ$1),0,ROUND(IF(BW10=3,0,IF(BW10=2,IF(BG10=VLOOKUP(BG10,'IN RPS-2015'!$I$2:$J$5,1),0,Main!$H$9)/2,IF(BG10=VLOOKUP(BG10,'IN RPS-2015'!$I$2:$J$5,1),0,Main!$H$9)))*(DAY(BF10)-DAY(BE10)+1)/DAY(EOMONTH(BE10,0)),0)))</f>
        <v/>
      </c>
      <c r="BJ10" s="461" t="str">
        <f>IF(BE10="","",IF(AND($AG$3=$AG$1,BE10&lt;=$AZ$1),0,IF(BG10=VLOOKUP(BG10,'IN RPS-2015'!$I$2:$J$5,1),0,ROUND(BH10*VLOOKUP(BE10,$AF$4:$AG$7,2)%,0))))</f>
        <v/>
      </c>
      <c r="BK10" s="461" t="str">
        <f>IF(BE10="","",IF(AND($AG$3=$AG$1,BE10&lt;=$AZ$1),0,IF(OR(BW10=3,BG10=VLOOKUP(BG10,'IN RPS-2015'!$I$2:$J$5,1)),0,ROUND(MIN(ROUND(BG10*VLOOKUP(BE10,$B$1:$G$4,2)%,0),VLOOKUP(BE10,$B$2:$I$4,IF($AG$3=$I$29,7,8),TRUE))*(DAY(BF10)-DAY(BE10)+1)/DAY(EOMONTH(BE10,0)),0))))</f>
        <v/>
      </c>
      <c r="BL10" s="491" t="str">
        <f>IF(BE10="","",IF(AND($AG$3=$AG$1,BE10&lt;=$AZ$1),0,IF(Main!$C$26="UGC",0,IF(OR(BE10&lt;DATE(2010,4,1),$I$6=VLOOKUP(BE10,$B$2:$G$4,5,TRUE),BG10=VLOOKUP(BG10,'IN RPS-2015'!$I$2:$J$5,1)),0,ROUND(IF(BW10=3,0,IF(BW10=2,MIN(ROUND(BG10*$G$13%,0),IF(BE10&lt;$J$152,$G$14,$G$15))/2,MIN(ROUND(BG10*$G$13%,0),IF(BE10&lt;$J$152,$G$14,$G$15))))*(DAY(BF10)-DAY(BE10)+1)/DAY(EOMONTH(BE10,0)),0)))))</f>
        <v/>
      </c>
      <c r="BM10" s="461" t="str">
        <f>IF(BE10="","",IF(AND($AG$3=$AG$1,BE10&lt;=$AZ$1),0,IF(Main!$C$26="UGC",0,IF(BG10=VLOOKUP(BG10,'IN RPS-2015'!$I$2:$J$5,1),0,ROUND(BH10*VLOOKUP(BE10,$AF$11:$AG$12,2)%,0)))))</f>
        <v/>
      </c>
      <c r="BN10" s="461" t="str">
        <f>IF(BE10="","",IF(AND($AG$3=$AG$1,BE10&lt;=$AZ$1),0,IF(Main!$C$26="UGC",0,IF(BE10&lt;DATE(2010,4,1),0,IF(OR(BW10=2,BW10=3,BG10=VLOOKUP(BG10,'IN RPS-2015'!$I$2:$J$5,1)),0,ROUND(IF(BE10&lt;$J$152,VLOOKUP(BE10,$B$1:$G$4,4),VLOOKUP(VLOOKUP(BE10,$B$1:$G$4,4),Main!$CE$2:$CF$5,2,FALSE))*(DAY(BF10)-DAY(BE10)+1)/DAY(EOMONTH(BE10,0)),0))))))</f>
        <v/>
      </c>
      <c r="BO10" s="461" t="str">
        <f>IF(BE10="","",IF(AND($AG$3=$AG$1,BE10&lt;=$AZ$1),0,IF(OR(BW10=2,BW10=3,$D$31=$D$28,BG10=VLOOKUP(BG10,'IN RPS-2015'!$I$2:$J$5,1)),0,ROUND(MIN(VLOOKUP(BD10,$A$27:$C$29,2,TRUE),ROUND(BG10*VLOOKUP(BD10,$A$27:$C$29,3,TRUE)%,0))*IF(BD10=$A$36,$C$36,IF(BD10=$A$37,$C$37,IF(BD10=$A$38,$C$38,IF(BD10=$A$39,$C$39,IF(BD10=$A$40,$C$40,IF(BD10=$A$41,$C$41,1))))))*(DAY(BF10)-DAY(BE10)+1)/DAY(EOMONTH(BE10,0)),0))))</f>
        <v/>
      </c>
      <c r="BP10" s="461" t="str">
        <f>IF(BE10="","",IF(AND($AG$3=$AG$1,BE10&lt;=$AZ$1),0,IF(Main!$C$26="UGC",0,IF(OR(BW10=3,BG10=VLOOKUP(BG10,'IN RPS-2015'!$I$2:$J$5,1)),0,ROUND(IF(BW10=2,VLOOKUP(BG10,IF($AG$3=$I$29,$A$20:$E$23,$F$144:$J$147),IF($B$19=VLOOKUP(BE10,$B$2:$G$4,3,TRUE),2,IF($C$19=VLOOKUP(BE10,$B$2:$G$4,3,TRUE),3,IF($D$19=VLOOKUP(BE10,$B$2:$G$4,3,TRUE),4,5))),TRUE),VLOOKUP(BG10,IF($AG$3=$I$29,$A$20:$E$23,$F$144:$J$147),IF($B$19=VLOOKUP(BE10,$B$2:$G$4,3,TRUE),2,IF($C$19=VLOOKUP(BE10,$B$2:$G$4,3,TRUE),3,IF($D$19=VLOOKUP(BE10,$B$2:$G$4,3,TRUE),4,5))),TRUE))*(DAY(BF10)-DAY(BE10)+1)/DAY(EOMONTH(BE10,0)),0)))))</f>
        <v/>
      </c>
      <c r="BQ10" s="461" t="str">
        <f>IF(BE10="","",IF(AND($AG$3=$AG$1,BE10&lt;=$AZ$1),0,IF(Main!$C$26="UGC",0,IF(OR(BD10&lt;DATE(2010,4,1),BW10=3,BG10=VLOOKUP(BG10,'IN RPS-2015'!$I$2:$J$5,1)),0,ROUND(IF(BW10=2,IF(BE10&lt;$J$152,Main!$L$9,Main!$CI$3)/2,IF(BE10&lt;$J$152,Main!$L$9,Main!$CI$3))*(DAY(BF10)-DAY(BE10)+1)/DAY(EOMONTH(BE10,0)),0)))))</f>
        <v/>
      </c>
      <c r="BR10" s="461"/>
      <c r="BS10" s="461" t="str">
        <f>IF(BE10="","",IF(AND($AG$3=$AG$1,BE10&lt;=$AZ$1),0,IF(Main!$C$26="UGC",0,IF(OR(BW10=3,BG10=VLOOKUP(BG10,'IN RPS-2015'!$I$2:$J$5,1)),0,ROUND(IF(BW10=2,VLOOKUP(BH10,IF(BE10&lt;$J$152,$A$154:$E$159,$F$154:$J$159),IF($B$10=VLOOKUP(BD10,$B$2:$G$4,6,TRUE),2,IF($B$10=VLOOKUP(BD10,$B$2:$G$4,6,TRUE),3,IF($D$10=VLOOKUP(BD10,$B$2:$G$4,6,TRUE),4,5))))/2,VLOOKUP(BH10,IF(BE10&lt;$J$152,$A$154:$E$159,$F$154:$J$159),IF($B$10=VLOOKUP(BD10,$B$2:$G$4,6,TRUE),2,IF($B$10=VLOOKUP(BD10,$B$2:$G$4,6,TRUE),3,IF($D$10=VLOOKUP(BD10,$B$2:$G$4,6,TRUE),4,5)))))*(DAY(BF10)-DAY(BE10)+1)/DAY(EOMONTH(BE10,0)),0)))))</f>
        <v/>
      </c>
      <c r="BT10" s="461">
        <f t="shared" si="69"/>
        <v>0</v>
      </c>
      <c r="BU10" s="464" t="str">
        <f>IF(BE10="","",IF(AND($AG$3=$AG$1,BE10&lt;=$AZ$1),0,IF(AND(Main!$F$22=Main!$CA$24,BE10&gt;$AZ$1),ROUND(SUM(BH10,BJ10)*10%,0),"")))</f>
        <v/>
      </c>
      <c r="BV10" s="464" t="str">
        <f>IF(BD10="","",IF(AND($AG$3=$AG$1,BE10&lt;=$AZ$1),0,IF(OR(Main!$H$10=Main!$BH$4,Main!$H$10=Main!$BH$5),0,LOOKUP(BT10*DAY(EOMONTH(BE10,0))/(DAY(BF10)-DAY(BE10)+1),$H$184:$I$189))))</f>
        <v/>
      </c>
      <c r="BW10" s="503">
        <f t="shared" si="70"/>
        <v>1</v>
      </c>
      <c r="BX10" s="457">
        <f t="shared" si="71"/>
        <v>0</v>
      </c>
      <c r="BY10" s="497"/>
      <c r="BZ10" s="1124" t="s">
        <v>40</v>
      </c>
      <c r="CA10" s="1124"/>
      <c r="CB10" s="461"/>
      <c r="CC10" s="499" t="str">
        <f t="shared" si="57"/>
        <v/>
      </c>
      <c r="CD10" s="500" t="str">
        <f t="shared" si="86"/>
        <v/>
      </c>
      <c r="CE10" s="484" t="str">
        <f>IF(CD10="","",MIN(EOMONTH(CD10,0),VLOOKUP(CD10,'IN RPS-2015'!$O$164:$P$202,2,TRUE)-1,LOOKUP(CD10,$E$47:$F$53)-1,IF(CD10&lt;$B$2,$B$2-1,'IN RPS-2015'!$Q$9),IF(CD10&lt;$B$3,$B$3-1,'IN RPS-2015'!$Q$9),IF(CD10&lt;$B$4,$B$4-1,'IN RPS-2015'!$Q$9),LOOKUP(CD10,$H$47:$I$53)))</f>
        <v/>
      </c>
      <c r="CF10" s="490" t="str">
        <f>IF(CD10="","",VLOOKUP(CD10,'IN RPS-2015'!$T$207:$Y$222,5))</f>
        <v/>
      </c>
      <c r="CG10" s="461" t="str">
        <f t="shared" si="72"/>
        <v/>
      </c>
      <c r="CH10" s="461" t="str">
        <f>IF(CD10="","",IF(AND($CA$3=$CA$1,CD10&lt;=$CT$1),0,ROUND(IF(CV10=3,0,IF(CV10=2,IF(CF10=VLOOKUP(CF10,'IN RPS-2015'!$I$2:$J$5,1),0,Main!$H$9)/2,IF(CF10=VLOOKUP(CF10,'IN RPS-2015'!$I$2:$J$5,1),0,Main!$H$9)))*(DAY(CE10)-DAY(CD10)+1)/DAY(EOMONTH(CD10,0)),0)))</f>
        <v/>
      </c>
      <c r="CI10" s="461" t="str">
        <f>IF(CD10="","",IF(AND($CA$3=$CA$1,CD10&lt;=$CT$1),0,IF(CF10=VLOOKUP(CF10,'IN RPS-2015'!$I$2:$J$5,1),0,ROUND(CG10*VLOOKUP(CD10,$BZ$4:$CA$7,2)%,0))))</f>
        <v/>
      </c>
      <c r="CJ10" s="461" t="str">
        <f>IF(CD10="","",IF(AND($CA$3=$CA$1,CD10&lt;=$CT$1),0,IF(OR(CV10=3,CF10=VLOOKUP(CF10,'IN RPS-2015'!$I$2:$J$5,1)),0,ROUND(MIN(ROUND(CF10*VLOOKUP(CD10,$B$1:$G$4,2)%,0),VLOOKUP(CD10,$B$2:$I$4,IF($CA$3=$I$29,7,8),TRUE))*(DAY(CE10)-DAY(CD10)+1)/DAY(EOMONTH(CD10,0)),0))))</f>
        <v/>
      </c>
      <c r="CK10" s="491" t="str">
        <f>IF(CD10="","",IF(AND($CA$3=$CA$1,CD10&lt;=$CT$1),0,IF(Main!$C$26="UGC",0,IF(OR(CD10&lt;DATE(2010,4,1),$I$6=VLOOKUP(CD10,$B$2:$G$4,5,TRUE),CF10=VLOOKUP(CF10,'IN RPS-2015'!$I$2:$J$5,1)),0,ROUND(IF(CV10=3,0,IF(CV10=2,MIN(ROUND(CF10*$G$13%,0),IF(CD10&lt;$J$152,$G$14,$G$15))/2,MIN(ROUND(CF10*$G$13%,0),IF(CD10&lt;$J$152,$G$14,$G$15))))*(DAY(CE10)-DAY(CD10)+1)/DAY(EOMONTH(CD10,0)),0)))))</f>
        <v/>
      </c>
      <c r="CL10" s="461" t="str">
        <f>IF(CD10="","",IF(AND($CA$3=$CA$1,CD10&lt;=$CT$1),0,IF(Main!$C$26="UGC",0,IF(CF10=VLOOKUP(CF10,'IN RPS-2015'!$I$2:$J$5,1),0,ROUND(CG10*VLOOKUP(CD10,$BZ$11:$CA$12,2)%,0)))))</f>
        <v/>
      </c>
      <c r="CM10" s="461" t="str">
        <f>IF(CD10="","",IF(AND($CA$3=$CA$1,CD10&lt;=$CT$1),0,IF(Main!$C$26="UGC",0,IF(CD10&lt;DATE(2010,4,1),0,IF(OR(CV10=2,CV10=3,CF10=VLOOKUP(CF10,'IN RPS-2015'!$I$2:$J$5,1)),0,ROUND(IF(CD10&lt;$J$152,VLOOKUP(CD10,$B$1:$G$4,4),VLOOKUP(VLOOKUP(CD10,$B$1:$G$4,4),Main!$CE$2:$CF$5,2,FALSE))*(DAY(CE10)-DAY(CD10)+1)/DAY(EOMONTH(CD10,0)),0))))))</f>
        <v/>
      </c>
      <c r="CN10" s="461" t="str">
        <f>IF(CD10="","",IF(AND($CA$3=$CA$1,CD10&lt;=$CT$1),0,IF(OR(CV10=2,CV10=3,$D$31=$D$28,CF10=VLOOKUP(CF10,'IN RPS-2015'!$I$2:$J$5,1)),0,ROUND(MIN(VLOOKUP(CC10,$A$27:$C$29,2,TRUE),ROUND(CF10*VLOOKUP(CC10,$A$27:$C$29,3,TRUE)%,0))*IF(CC10=$A$36,$C$36,IF(CC10=$A$37,$C$37,IF(CC10=$A$38,$C$38,IF(CC10=$A$39,$C$39,IF(CC10=$A$40,$C$40,IF(CC10=$A$41,$C$41,1))))))*(DAY(CE10)-DAY(CD10)+1)/DAY(EOMONTH(CD10,0)),0))))</f>
        <v/>
      </c>
      <c r="CO10" s="461" t="str">
        <f>IF(CD10="","",IF(AND($CA$3=$CA$1,CD10&lt;=$CT$1),0,IF(Main!$C$26="UGC",0,IF(OR(CV10=3,CF10=VLOOKUP(CF10,'IN RPS-2015'!$I$2:$J$5,1)),0,ROUND(IF(CV10=2,VLOOKUP(CF10,IF($CA$3=$I$29,$A$20:$E$23,$F$144:$J$147),IF($B$19=VLOOKUP(CD10,$B$2:$G$4,3,TRUE),2,IF($C$19=VLOOKUP(CD10,$B$2:$G$4,3,TRUE),3,IF($D$19=VLOOKUP(CD10,$B$2:$G$4,3,TRUE),4,5))),TRUE),VLOOKUP(CF10,IF($CA$3=$I$29,$A$20:$E$23,$F$144:$J$147),IF($B$19=VLOOKUP(CD10,$B$2:$G$4,3,TRUE),2,IF($C$19=VLOOKUP(CD10,$B$2:$G$4,3,TRUE),3,IF($D$19=VLOOKUP(CD10,$B$2:$G$4,3,TRUE),4,5))),TRUE))*(DAY(CE10)-DAY(CD10)+1)/DAY(EOMONTH(CD10,0)),0)))))</f>
        <v/>
      </c>
      <c r="CP10" s="461" t="str">
        <f>IF(CD10="","",IF(AND($CA$3=$CA$1,CD10&lt;=$CT$1),0,IF(Main!$C$26="UGC",0,IF(OR(CC10&lt;DATE(2010,4,1),CV10=3,CF10=VLOOKUP(CF10,'IN RPS-2015'!$I$2:$J$5,1)),0,ROUND(IF(CV10=2,IF(CD10&lt;$J$152,Main!$L$9,Main!$CI$3)/2,IF(CD10&lt;$J$152,Main!$L$9,Main!$CI$3))*(DAY(CE10)-DAY(CD10)+1)/DAY(EOMONTH(CD10,0)),0)))))</f>
        <v/>
      </c>
      <c r="CQ10" s="461"/>
      <c r="CR10" s="461" t="str">
        <f>IF(CD10="","",IF(AND($CA$3=$CA$1,CD10&lt;=$CT$1),0,IF(Main!$C$26="UGC",0,IF(OR(CV10=3,CF10=VLOOKUP(CF10,'IN RPS-2015'!$I$2:$J$5,1)),0,ROUND(IF(CV10=2,VLOOKUP(CG10,IF(CD10&lt;$J$152,$A$154:$E$159,$F$154:$J$159),IF($B$10=VLOOKUP(CC10,$B$2:$G$4,6,TRUE),2,IF($B$10=VLOOKUP(CC10,$B$2:$G$4,6,TRUE),3,IF($D$10=VLOOKUP(CC10,$B$2:$G$4,6,TRUE),4,5))))/2,VLOOKUP(CG10,IF(CD10&lt;$J$152,$A$154:$E$159,$F$154:$J$159),IF($B$10=VLOOKUP(CC10,$B$2:$G$4,6,TRUE),2,IF($B$10=VLOOKUP(CC10,$B$2:$G$4,6,TRUE),3,IF($D$10=VLOOKUP(CC10,$B$2:$G$4,6,TRUE),4,5)))))*(DAY(CE10)-DAY(CD10)+1)/DAY(EOMONTH(CD10,0)),0)))))</f>
        <v/>
      </c>
      <c r="CS10" s="461">
        <f t="shared" si="73"/>
        <v>0</v>
      </c>
      <c r="CT10" s="464" t="str">
        <f>IF(CD10="","",IF(AND($CA$3=$CA$1,CD10&lt;=$CT$1),0,IF(AND(Main!$F$22=Main!$CA$24,CD10&gt;$CT$1),ROUND(SUM(CG10,CI10)*10%,0),"")))</f>
        <v/>
      </c>
      <c r="CU10" s="464" t="str">
        <f>IF(CC10="","",IF(CG10=0,0,IF(OR(Main!$H$10=Main!$BH$4,Main!$H$10=Main!$BH$5),0,LOOKUP(CS10*DAY(EOMONTH(CD10,0))/(DAY(CE10)-DAY(CD10)+1),$H$184:$I$189))))</f>
        <v/>
      </c>
      <c r="CV10" s="457">
        <f t="shared" si="74"/>
        <v>1</v>
      </c>
      <c r="CW10" s="464"/>
      <c r="CX10" s="501" t="str">
        <f t="shared" si="59"/>
        <v/>
      </c>
      <c r="CY10" s="502" t="str">
        <f t="shared" si="87"/>
        <v/>
      </c>
      <c r="CZ10" s="484" t="str">
        <f>IF(CY10="","",MIN(EOMONTH(CY10,0),VLOOKUP(CY10,'IN RPS-2015'!$O$164:$P$202,2,TRUE)-1,LOOKUP(CY10,$E$47:$F$53)-1,IF(CY10&lt;$B$2,$B$2-1,'IN RPS-2015'!$Q$9),IF(CY10&lt;$B$3,$B$3-1,'IN RPS-2015'!$Q$9),IF(CY10&lt;$B$4,$B$4-1,'IN RPS-2015'!$Q$9),LOOKUP(CY10,$H$47:$I$53)))</f>
        <v/>
      </c>
      <c r="DA10" s="493" t="str">
        <f>IF(CY10="","",VLOOKUP(CY10,'IN RPS-2015'!$T$207:$Y$222,6))</f>
        <v/>
      </c>
      <c r="DB10" s="461" t="str">
        <f t="shared" si="75"/>
        <v/>
      </c>
      <c r="DC10" s="461" t="str">
        <f>IF(CY10="","",IF(AND($CA$3=$CA$1,CY10&lt;=$CT$1),0,ROUND(IF(DQ10=3,0,IF(DQ10=2,IF(DA10=VLOOKUP(DA10,'IN RPS-2015'!$I$2:$J$5,1),0,Main!$H$9)/2,IF(DA10=VLOOKUP(DA10,'IN RPS-2015'!$I$2:$J$5,1),0,Main!$H$9)))*(DAY(CZ10)-DAY(CY10)+1)/DAY(EOMONTH(CY10,0)),0)))</f>
        <v/>
      </c>
      <c r="DD10" s="461" t="str">
        <f>IF(CY10="","",IF(AND($CA$3=$CA$1,CY10&lt;=$CT$1),0,IF(DA10=VLOOKUP(DA10,'IN RPS-2015'!$I$2:$J$5,1),0,ROUND(DB10*VLOOKUP(CY10,$BZ$4:$CA$7,2)%,0))))</f>
        <v/>
      </c>
      <c r="DE10" s="461" t="str">
        <f>IF(CY10="","",IF(AND($CA$3=$CA$1,CY10&lt;=$CT$1),0,IF(OR(DQ10=3,DA10=VLOOKUP(DA10,'IN RPS-2015'!$I$2:$J$5,1)),0,ROUND(MIN(ROUND(DA10*VLOOKUP(CY10,$B$1:$G$4,2)%,0),VLOOKUP(CY10,$B$2:$I$4,IF($CA$3=$I$29,7,8),TRUE))*(DAY(CZ10)-DAY(CY10)+1)/DAY(EOMONTH(CY10,0)),0))))</f>
        <v/>
      </c>
      <c r="DF10" s="491" t="str">
        <f>IF(CY10="","",IF(AND($CA$3=$CA$1,CY10&lt;=$CT$1),0,IF(Main!$C$26="UGC",0,IF(OR(CY10&lt;DATE(2010,4,1),$I$6=VLOOKUP(CY10,$B$2:$G$4,5,TRUE),DA10=VLOOKUP(DA10,'IN RPS-2015'!$I$2:$J$5,1)),0,ROUND(IF(DQ10=3,0,IF(DQ10=2,MIN(ROUND(DA10*$G$13%,0),IF(CY10&lt;$J$152,$G$14,$G$15))/2,MIN(ROUND(DA10*$G$13%,0),IF(CY10&lt;$J$152,$G$14,$G$15))))*(DAY(CZ10)-DAY(CY10)+1)/DAY(EOMONTH(CY10,0)),0)))))</f>
        <v/>
      </c>
      <c r="DG10" s="461" t="str">
        <f>IF(CY10="","",IF(AND($CA$3=$CA$1,CY10&lt;=$CT$1),0,IF(Main!$C$26="UGC",0,IF(DA10=VLOOKUP(DA10,'IN RPS-2015'!$I$2:$J$5,1),0,ROUND(DB10*VLOOKUP(CY10,$BZ$11:$CA$12,2)%,0)))))</f>
        <v/>
      </c>
      <c r="DH10" s="461" t="str">
        <f>IF(CY10="","",IF(AND($CA$3=$CA$1,CY10&lt;=$CT$1),0,IF(Main!$C$26="UGC",0,IF(CY10&lt;DATE(2010,4,1),0,IF(OR(DQ10=2,DQ10=3,DA10=VLOOKUP(DA10,'IN RPS-2015'!$I$2:$J$5,1)),0,ROUND(IF(CY10&lt;$J$152,VLOOKUP(CY10,$B$1:$G$4,4),VLOOKUP(VLOOKUP(CY10,$B$1:$G$4,4),Main!$CE$2:$CF$5,2,FALSE))*(DAY(CZ10)-DAY(CY10)+1)/DAY(EOMONTH(CY10,0)),0))))))</f>
        <v/>
      </c>
      <c r="DI10" s="461" t="str">
        <f>IF(CY10="","",IF(AND($CA$3=$CA$1,CY10&lt;=$CT$1),0,IF(OR(DQ10=2,DQ10=3,$D$31=$D$28,DA10=VLOOKUP(DA10,'IN RPS-2015'!$I$2:$J$5,1)),0,ROUND(MIN(VLOOKUP(CX10,$A$27:$C$29,2,TRUE),ROUND(DA10*VLOOKUP(CX10,$A$27:$C$29,3,TRUE)%,0))*IF(CX10=$A$36,$C$36,IF(CX10=$A$37,$C$37,IF(CX10=$A$38,$C$38,IF(CX10=$A$39,$C$39,IF(CX10=$A$40,$C$40,IF(CX10=$A$41,$C$41,1))))))*(DAY(CZ10)-DAY(CY10)+1)/DAY(EOMONTH(CY10,0)),0))))</f>
        <v/>
      </c>
      <c r="DJ10" s="461" t="str">
        <f>IF(CY10="","",IF(AND($CA$3=$CA$1,CY10&lt;=$CT$1),0,IF(Main!$C$26="UGC",0,IF(OR(DQ10=3,DA10=VLOOKUP(DA10,'IN RPS-2015'!$I$2:$J$5,1)),0,ROUND(IF(DQ10=2,VLOOKUP(DA10,IF($CA$3=$I$29,$A$20:$E$23,$F$144:$J$147),IF($B$19=VLOOKUP(CY10,$B$2:$G$4,3,TRUE),2,IF($C$19=VLOOKUP(CY10,$B$2:$G$4,3,TRUE),3,IF($D$19=VLOOKUP(CY10,$B$2:$G$4,3,TRUE),4,5))),TRUE),VLOOKUP(DA10,IF($CA$3=$I$29,$A$20:$E$23,$F$144:$J$147),IF($B$19=VLOOKUP(CY10,$B$2:$G$4,3,TRUE),2,IF($C$19=VLOOKUP(CY10,$B$2:$G$4,3,TRUE),3,IF($D$19=VLOOKUP(CY10,$B$2:$G$4,3,TRUE),4,5))),TRUE))*(DAY(CZ10)-DAY(CY10)+1)/DAY(EOMONTH(CY10,0)),0)))))</f>
        <v/>
      </c>
      <c r="DK10" s="461" t="str">
        <f>IF(CY10="","",IF(AND($CA$3=$CA$1,CY10&lt;=$CT$1),0,IF(Main!$C$26="UGC",0,IF(OR(CX10&lt;DATE(2010,4,1),DQ10=3,DA10=VLOOKUP(DA10,'IN RPS-2015'!$I$2:$J$5,1)),0,ROUND(IF(DQ10=2,IF(CY10&lt;$J$152,Main!$L$9,Main!$CI$3)/2,IF(CY10&lt;$J$152,Main!$L$9,Main!$CI$3))*(DAY(CZ10)-DAY(CY10)+1)/DAY(EOMONTH(CY10,0)),0)))))</f>
        <v/>
      </c>
      <c r="DL10" s="461"/>
      <c r="DM10" s="461" t="str">
        <f>IF(CY10="","",IF(AND($CA$3=$CA$1,CY10&lt;=$CT$1),0,IF(Main!$C$26="UGC",0,IF(OR(DQ10=3,DA10=VLOOKUP(DA10,'IN RPS-2015'!$I$2:$J$5,1)),0,ROUND(IF(DQ10=2,VLOOKUP(DB10,IF(CY10&lt;$J$152,$A$154:$E$159,$F$154:$J$159),IF($B$10=VLOOKUP(CX10,$B$2:$G$4,6,TRUE),2,IF($B$10=VLOOKUP(CX10,$B$2:$G$4,6,TRUE),3,IF($D$10=VLOOKUP(CX10,$B$2:$G$4,6,TRUE),4,5))))/2,VLOOKUP(DB10,IF(CY10&lt;$J$152,$A$154:$E$159,$F$154:$J$159),IF($B$10=VLOOKUP(CX10,$B$2:$G$4,6,TRUE),2,IF($B$10=VLOOKUP(CX10,$B$2:$G$4,6,TRUE),3,IF($D$10=VLOOKUP(CX10,$B$2:$G$4,6,TRUE),4,5)))))*(DAY(CZ10)-DAY(CY10)+1)/DAY(EOMONTH(CY10,0)),0)))))</f>
        <v/>
      </c>
      <c r="DN10" s="461">
        <f t="shared" si="76"/>
        <v>0</v>
      </c>
      <c r="DO10" s="464" t="str">
        <f>IF(CY10="","",IF(AND($CA$3=$CA$1,CY10&lt;=$CT$1),0,IF(AND(Main!$F$22=Main!$CA$24,CY10&gt;$CT$1),ROUND(SUM(DB10,DD10)*10%,0),"")))</f>
        <v/>
      </c>
      <c r="DP10" s="464" t="str">
        <f>IF(CX10="","",IF(AND($CA$3=$CA$1,CY10&lt;=$CT$1),0,IF(OR(Main!$H$10=Main!$BH$4,Main!$H$10=Main!$BH$5),0,LOOKUP(DN10*DAY(EOMONTH(CY10,0))/(DAY(CZ10)-DAY(CY10)+1),$H$184:$I$189))))</f>
        <v/>
      </c>
      <c r="DQ10" s="457">
        <f t="shared" si="60"/>
        <v>1</v>
      </c>
      <c r="DR10" s="457">
        <f t="shared" si="77"/>
        <v>0</v>
      </c>
      <c r="DS10" s="497"/>
      <c r="DT10" s="1124" t="s">
        <v>40</v>
      </c>
      <c r="DU10" s="1124"/>
      <c r="DV10" s="461"/>
      <c r="DW10" s="499" t="str">
        <f t="shared" si="61"/>
        <v/>
      </c>
      <c r="DX10" s="500" t="str">
        <f t="shared" si="88"/>
        <v/>
      </c>
      <c r="DY10" s="484" t="str">
        <f>IF(DX10="","",MIN(EOMONTH(DX10,0),VLOOKUP(DX10,'IN RPS-2015'!$O$164:$P$202,2,TRUE)-1,LOOKUP(DX10,$E$47:$F$53)-1,IF(DX10&lt;$B$2,$B$2-1,'IN RPS-2015'!$Q$9),IF(DX10&lt;$B$3,$B$3-1,'IN RPS-2015'!$Q$9),IF(DX10&lt;$B$4,$B$4-1,'IN RPS-2015'!$Q$9),LOOKUP(DX10,$H$47:$I$53)))</f>
        <v/>
      </c>
      <c r="DZ10" s="490" t="str">
        <f>IF(DX10="","",VLOOKUP(DX10,'IN RPS-2015'!$P$164:$AA$202,11))</f>
        <v/>
      </c>
      <c r="EA10" s="461" t="str">
        <f t="shared" si="78"/>
        <v/>
      </c>
      <c r="EB10" s="461" t="str">
        <f>IF(DX10="","",ROUND(IF(EP10=3,0,IF(EP10=2,IF(DZ10=VLOOKUP(DZ10,'IN RPS-2015'!$I$2:$J$5,1),0,Main!$H$9)/2,IF(DZ10=VLOOKUP(DZ10,'IN RPS-2015'!$I$2:$J$5,1),0,Main!$H$9)))*(DAY(DY10)-DAY(DX10)+1)/DAY(EOMONTH(DX10,0)),0))</f>
        <v/>
      </c>
      <c r="EC10" s="461" t="str">
        <f>IF(DX10="","",IF(DZ10=VLOOKUP(DZ10,'IN RPS-2015'!$I$2:$J$5,1),0,ROUND(EA10*VLOOKUP(DX10,$DT$4:$DU$7,2)%,0)))</f>
        <v/>
      </c>
      <c r="ED10" s="461" t="str">
        <f>IF(DX10="","",IF(OR(EP10=3,DZ10=VLOOKUP(DZ10,'IN RPS-2015'!$I$2:$J$5,1)),0,ROUND(MIN(ROUND(DZ10*VLOOKUP(DX10,$B$1:$G$4,2)%,0),VLOOKUP(DX10,$B$2:$I$4,IF($DU$3=$I$29,7,8),TRUE))*(DAY(DY10)-DAY(DX10)+1)/DAY(EOMONTH(DX10,0)),0)))</f>
        <v/>
      </c>
      <c r="EE10" s="491" t="str">
        <f>IF(DX10="","",IF(Main!$C$26="UGC",0,IF(OR(DX10&lt;DATE(2010,4,1),$I$6=VLOOKUP(DX10,$B$2:$G$4,5,TRUE),DZ10=VLOOKUP(DZ10,'IN RPS-2015'!$I$2:$J$5,1)),0,ROUND(IF(EP10=3,0,IF(EP10=2,MIN(ROUND(DZ10*$G$13%,0),IF(DX10&lt;$I$152,$G$14,$G$15))/2,MIN(ROUND(DZ10*$G$13%,0),IF(DX10&lt;$I$152,$G$14,$G$15))))*(DAY(DY10)-DAY(DX10)+1)/DAY(EOMONTH(DX10,0)),0))))</f>
        <v/>
      </c>
      <c r="EF10" s="461" t="str">
        <f>IF(DX10="","",IF(Main!$C$26="UGC",0,IF(DZ10=VLOOKUP(DZ10,'IN RPS-2015'!$I$2:$J$5,1),0,ROUND(EA10*VLOOKUP(DX10,$DT$11:$DU$12,2)%,0))))</f>
        <v/>
      </c>
      <c r="EG10" s="461" t="str">
        <f>IF(DX10="","",IF(Main!$C$26="UGC",0,IF(DX10&lt;DATE(2010,4,1),0,IF(OR(EP10=2,EP10=3,DZ10=VLOOKUP(DZ10,'IN RPS-2015'!$I$2:$J$5,1)),0,ROUND(IF(DX10&lt;$I$152,VLOOKUP(DX10,$B$1:$G$4,4),VLOOKUP(VLOOKUP(DX10,$B$1:$G$4,4),Main!$CE$2:$CF$5,2,FALSE))*(DAY(DY10)-DAY(DX10)+1)/DAY(EOMONTH(DX10,0)),0)))))</f>
        <v/>
      </c>
      <c r="EH10" s="461" t="str">
        <f>IF(DX10="","",IF(OR(EP10=2,EP10=3,$D$31=$D$28,DZ10=VLOOKUP(DZ10,'IN RPS-2015'!$I$2:$J$5,1)),0,ROUND(MIN(IF(DX10&lt;$I$152,900,1350),ROUND(DZ10*VLOOKUP(DW10,$A$27:$C$29,3,TRUE)%,0))*IF(DW10=$A$36,$C$36,IF(DW10=$A$37,$C$37,IF(DW10=$A$38,$C$38,IF(DW10=$A$39,$C$39,IF(DW10=$A$40,$C$40,IF(DW10=$A$41,$C$41,1))))))*(DAY(DY10)-DAY(DX10)+1)/DAY(EOMONTH(DX10,0)),0)))</f>
        <v/>
      </c>
      <c r="EI10" s="461" t="str">
        <f>IF(DX10="","",IF(Main!$C$26="UGC",0,IF(OR(EP10=3,DZ10=VLOOKUP(DZ10,'IN RPS-2015'!$I$2:$J$5,1)),0,ROUND(IF(EP10=2,VLOOKUP(DZ10,IF($DU$3=$I$29,$A$20:$E$23,$F$144:$J$147),IF($B$19=VLOOKUP(DX10,$B$2:$G$4,3,TRUE),2,IF($C$19=VLOOKUP(DX10,$B$2:$G$4,3,TRUE),3,IF($D$19=VLOOKUP(DX10,$B$2:$G$4,3,TRUE),4,5))),TRUE),VLOOKUP(DZ10,IF($DU$3=$I$29,$A$20:$E$23,$F$144:$J$147),IF($B$19=VLOOKUP(DX10,$B$2:$G$4,3,TRUE),2,IF($C$19=VLOOKUP(DX10,$B$2:$G$4,3,TRUE),3,IF($D$19=VLOOKUP(DX10,$B$2:$G$4,3,TRUE),4,5))),TRUE))*(DAY(DY10)-DAY(DX10)+1)/DAY(EOMONTH(DX10,0)),0))))</f>
        <v/>
      </c>
      <c r="EJ10" s="461" t="str">
        <f>IF(DX10="","",IF(Main!$C$26="UGC",0,IF(OR(DW10&lt;DATE(2010,4,1),EP10=3,DZ10=VLOOKUP(DZ10,'IN RPS-2015'!$I$2:$J$5,1)),0,ROUND(IF(EP10=2,IF(DX10&lt;$I$152,Main!$L$9,Main!$CI$3)/2,IF(DX10&lt;$I$152,Main!$L$9,Main!$CI$3))*(DAY(DY10)-DAY(DX10)+1)/DAY(EOMONTH(DX10,0)),0))))</f>
        <v/>
      </c>
      <c r="EK10" s="461"/>
      <c r="EL10" s="461" t="str">
        <f>IF(DX10="","",IF(Main!$C$26="UGC",0,IF(OR(EP10=3,DZ10=VLOOKUP(DZ10,'IN RPS-2015'!$I$2:$J$5,1)),0,ROUND(IF(EP10=2,VLOOKUP(EA10,IF(DX10&lt;$I$152,$A$154:$E$159,$F$154:$J$159),IF($B$10=VLOOKUP(DW10,$B$2:$G$4,6,TRUE),2,IF($B$10=VLOOKUP(DW10,$B$2:$G$4,6,TRUE),3,IF($D$10=VLOOKUP(DW10,$B$2:$G$4,6,TRUE),4,5))))/2,VLOOKUP(EA10,IF(DX10&lt;$I$152,$A$154:$E$159,$F$154:$J$159),IF($B$10=VLOOKUP(DW10,$B$2:$G$4,6,TRUE),2,IF($B$10=VLOOKUP(DW10,$B$2:$G$4,6,TRUE),3,IF($D$10=VLOOKUP(DW10,$B$2:$G$4,6,TRUE),4,5)))))*(DAY(DY10)-DAY(DX10)+1)/DAY(EOMONTH(DX10,0)),0))))</f>
        <v/>
      </c>
      <c r="EM10" s="461">
        <f t="shared" si="79"/>
        <v>0</v>
      </c>
      <c r="EN10" s="464" t="str">
        <f>IF(DX10="","",IF(AND(Main!$F$22=Main!$CA$24,DX10&gt;$EN$1),ROUND(SUM(EA10,EC10)*10%,0),""))</f>
        <v/>
      </c>
      <c r="EO10" s="464" t="str">
        <f>IF(DW10="","",IF(EA10=0,0,IF(OR(Main!$H$10=Main!$BH$4,Main!$H$10=Main!$BH$5),0,LOOKUP(EM10*DAY(EOMONTH(DX10,0))/(DAY(DY10)-DAY(DX10)+1),$H$184:$I$189))))</f>
        <v/>
      </c>
      <c r="EP10" s="457">
        <f t="shared" si="62"/>
        <v>1</v>
      </c>
      <c r="ER10" s="1124" t="s">
        <v>40</v>
      </c>
      <c r="ES10" s="1124"/>
      <c r="ET10" s="461"/>
      <c r="EU10" s="499" t="str">
        <f t="shared" si="63"/>
        <v/>
      </c>
      <c r="EV10" s="500" t="str">
        <f t="shared" si="89"/>
        <v/>
      </c>
      <c r="EW10" s="484" t="str">
        <f>IF(EV10="","",MIN(EOMONTH(EV10,0),VLOOKUP(EV10,'IN RPS-2015'!$O$164:$P$202,2,TRUE)-1,LOOKUP(EV10,$E$47:$F$53)-1,IF(EV10&lt;$B$2,$B$2-1,'IN RPS-2015'!$Q$9),IF(EV10&lt;$B$3,$B$3-1,'IN RPS-2015'!$Q$9),IF(EV10&lt;$B$4,$B$4-1,'IN RPS-2015'!$Q$9),LOOKUP(EV10,$H$47:$I$53)))</f>
        <v/>
      </c>
      <c r="EX10" s="490" t="str">
        <f>IF(EV10="","",VLOOKUP(EV10,'IN RPS-2015'!$P$164:$AA$202,12))</f>
        <v/>
      </c>
      <c r="EY10" s="461" t="str">
        <f t="shared" si="80"/>
        <v/>
      </c>
      <c r="EZ10" s="461" t="str">
        <f>IF(EV10="","",ROUND(IF(FN10=3,0,IF(FN10=2,IF(EX10=VLOOKUP(EX10,'IN RPS-2015'!$I$2:$J$5,1),0,Main!$H$9)/2,IF(EX10=VLOOKUP(EX10,'IN RPS-2015'!$I$2:$J$5,1),0,Main!$H$9)))*(DAY(EW10)-DAY(EV10)+1)/DAY(EOMONTH(EV10,0)),0))</f>
        <v/>
      </c>
      <c r="FA10" s="461" t="str">
        <f>IF(EV10="","",IF(EX10=VLOOKUP(EX10,'IN RPS-2015'!$I$2:$J$5,1),0,ROUND(EY10*VLOOKUP(EV10,$ER$4:$ES$7,2)%,0)))</f>
        <v/>
      </c>
      <c r="FB10" s="461" t="str">
        <f>IF(EV10="","",IF(OR(FN10=3,EX10=VLOOKUP(EX10,'IN RPS-2015'!$I$2:$J$5,1)),0,ROUND(MIN(ROUND(EX10*VLOOKUP(EV10,$B$1:$G$4,2)%,0),VLOOKUP(EV10,$B$2:$I$4,IF($ES$3=$I$29,7,8),TRUE))*(DAY(EW10)-DAY(EV10)+1)/DAY(EOMONTH(EV10,0)),0)))</f>
        <v/>
      </c>
      <c r="FC10" s="491" t="str">
        <f>IF(EV10="","",IF(Main!$C$26="UGC",0,IF(OR(EV10&lt;DATE(2010,4,1),$I$6=VLOOKUP(EV10,$B$2:$G$4,5,TRUE),EX10=VLOOKUP(EX10,'IN RPS-2015'!$I$2:$J$5,1)),0,ROUND(IF(FN10=3,0,IF(FN10=2,MIN(ROUND(EX10*$G$13%,0),IF(EV10&lt;$J$152,$G$14,$G$15))/2,MIN(ROUND(EX10*$G$13%,0),IF(EV10&lt;$J$152,$G$14,$G$15))))*(DAY(EW10)-DAY(EV10)+1)/DAY(EOMONTH(EV10,0)),0))))</f>
        <v/>
      </c>
      <c r="FD10" s="461" t="str">
        <f>IF(EV10="","",IF(Main!$C$26="UGC",0,IF(EX10=VLOOKUP(EX10,'IN RPS-2015'!$I$2:$J$5,1),0,ROUND(EY10*VLOOKUP(EV10,$ER$11:$ES$12,2)%,0))))</f>
        <v/>
      </c>
      <c r="FE10" s="461" t="str">
        <f>IF(EV10="","",IF(Main!$C$26="UGC",0,IF(EV10&lt;DATE(2010,4,1),0,IF(OR(FN10=2,FN10=3,EX10=VLOOKUP(EX10,'IN RPS-2015'!$I$2:$J$5,1)),0,ROUND(IF(EV10&lt;$J$152,VLOOKUP(EV10,$B$1:$G$4,4),VLOOKUP(VLOOKUP(EV10,$B$1:$G$4,4),Main!$CE$2:$CF$5,2,FALSE))*(DAY(EW10)-DAY(EV10)+1)/DAY(EOMONTH(EV10,0)),0)))))</f>
        <v/>
      </c>
      <c r="FF10" s="461" t="str">
        <f>IF(EV10="","",IF(OR(FN10=2,FN10=3,$D$31=$D$28,EX10=VLOOKUP(EX10,'IN RPS-2015'!$I$2:$J$5,1)),0,ROUND(MIN(VLOOKUP(EU10,$A$27:$C$29,2,TRUE),ROUND(EX10*VLOOKUP(EU10,$A$27:$C$29,3,TRUE)%,0))*IF(EU10=$A$36,$C$36,IF(EU10=$A$37,$C$37,IF(EU10=$A$38,$C$38,IF(EU10=$A$39,$C$39,IF(EU10=$A$40,$C$40,IF(EU10=$A$41,$C$41,1))))))*(DAY(EW10)-DAY(EV10)+1)/DAY(EOMONTH(EV10,0)),0)))</f>
        <v/>
      </c>
      <c r="FG10" s="461" t="str">
        <f>IF(EV10="","",IF(Main!$C$26="UGC",0,IF(OR(FN10=3,EX10=VLOOKUP(EX10,'IN RPS-2015'!$I$2:$J$5,1)),0,ROUND(IF(FN10=2,VLOOKUP(EX10,IF($ES$3=$I$29,$A$20:$E$23,$F$144:$J$147),IF($B$19=VLOOKUP(EV10,$B$2:$G$4,3,TRUE),2,IF($C$19=VLOOKUP(EV10,$B$2:$G$4,3,TRUE),3,IF($D$19=VLOOKUP(EV10,$B$2:$G$4,3,TRUE),4,5))),TRUE),VLOOKUP(EX10,IF($ES$3=$I$29,$A$20:$E$23,$F$144:$J$147),IF($B$19=VLOOKUP(EV10,$B$2:$G$4,3,TRUE),2,IF($C$19=VLOOKUP(EV10,$B$2:$G$4,3,TRUE),3,IF($D$19=VLOOKUP(EV10,$B$2:$G$4,3,TRUE),4,5))),TRUE))*(DAY(EW10)-DAY(EV10)+1)/DAY(EOMONTH(EV10,0)),0))))</f>
        <v/>
      </c>
      <c r="FH10" s="461" t="str">
        <f>IF(EV10="","",IF(Main!$C$26="UGC",0,IF(OR(EU10&lt;DATE(2010,4,1),FN10=3,EX10=VLOOKUP(EX10,'IN RPS-2015'!$I$2:$J$5,1)),0,ROUND(IF(FN10=2,IF(EV10&lt;$J$152,Main!$L$9,Main!$CI$3)/2,IF(EV10&lt;$J$152,Main!$L$9,Main!$CI$3))*(DAY(EW10)-DAY(EV10)+1)/DAY(EOMONTH(EV10,0)),0))))</f>
        <v/>
      </c>
      <c r="FI10" s="461"/>
      <c r="FJ10" s="461" t="str">
        <f>IF(EV10="","",IF(Main!$C$26="UGC",0,IF(OR(FN10=3,EX10=VLOOKUP(EX10,'IN RPS-2015'!$I$2:$J$5,1)),0,ROUND(IF(FN10=2,VLOOKUP(EY10,IF(EV10&lt;$J$152,$A$154:$E$159,$F$154:$J$159),IF($B$10=VLOOKUP(EU10,$B$2:$G$4,6,TRUE),2,IF($B$10=VLOOKUP(EU10,$B$2:$G$4,6,TRUE),3,IF($D$10=VLOOKUP(EU10,$B$2:$G$4,6,TRUE),4,5))))/2,VLOOKUP(EY10,IF(EV10&lt;$J$152,$A$154:$E$159,$F$154:$J$159),IF($B$10=VLOOKUP(EU10,$B$2:$G$4,6,TRUE),2,IF($B$10=VLOOKUP(EU10,$B$2:$G$4,6,TRUE),3,IF($D$10=VLOOKUP(EU10,$B$2:$G$4,6,TRUE),4,5)))))*(DAY(EW10)-DAY(EV10)+1)/DAY(EOMONTH(EV10,0)),0))))</f>
        <v/>
      </c>
      <c r="FK10" s="461">
        <f t="shared" si="81"/>
        <v>0</v>
      </c>
      <c r="FL10" s="464" t="str">
        <f>IF(EV10="","",IF(AND(Main!$F$22=Main!$CA$24,EV10&gt;$FL$1),ROUND(SUM(EY10,FA10)*10%,0),""))</f>
        <v/>
      </c>
      <c r="FM10" s="464" t="str">
        <f>IF(EU10="","",IF(EY10=0,0,IF(OR(Main!$H$10=Main!$BH$4,Main!$H$10=Main!$BH$5),0,LOOKUP(FK10*DAY(EOMONTH(EV10,0))/(DAY(EW10)-DAY(EV10)+1),$H$184:$I$189))))</f>
        <v/>
      </c>
      <c r="FN10" s="457">
        <f t="shared" si="64"/>
        <v>1</v>
      </c>
    </row>
    <row r="11" spans="1:170">
      <c r="A11" s="13">
        <v>1</v>
      </c>
      <c r="B11" s="13">
        <v>325</v>
      </c>
      <c r="C11" s="13">
        <v>400</v>
      </c>
      <c r="D11" s="13">
        <v>475</v>
      </c>
      <c r="E11" s="38">
        <v>0</v>
      </c>
      <c r="H11" s="744">
        <f>MAX($A$50,Main!$L$19)</f>
        <v>42461</v>
      </c>
      <c r="I11" s="169">
        <f>IF(Main!$C$26="UGC",$D$50,$C$50)</f>
        <v>15.196</v>
      </c>
      <c r="J11" s="457">
        <f>$B$50</f>
        <v>88.167999999999992</v>
      </c>
      <c r="K11" s="494">
        <f t="shared" si="65"/>
        <v>42309</v>
      </c>
      <c r="L11" s="495">
        <f t="shared" si="82"/>
        <v>42309</v>
      </c>
      <c r="M11" s="484">
        <f>IF(L11="","",MIN(EOMONTH(L11,0),VLOOKUP(L11,'IN RPS-2015'!$O$164:$P$202,2,TRUE)-1,LOOKUP(L11,$E$47:$F$53)-1,IF(L11&lt;$B$2,$B$2-1,'IN RPS-2015'!$Q$9),IF(L11&lt;$B$3,$B$3-1,'IN RPS-2015'!$Q$9),IF(L11&lt;$B$4,$B$4-1,'IN RPS-2015'!$Q$9),LOOKUP(L11,$H$47:$I$53)))</f>
        <v>42338</v>
      </c>
      <c r="N11" s="496">
        <f>IF(L11="","",VLOOKUP(L11,'Advance Tax'!$A$3:$C$14,3))</f>
        <v>55410</v>
      </c>
      <c r="O11" s="497">
        <f t="shared" si="52"/>
        <v>55410</v>
      </c>
      <c r="P11" s="497">
        <f>IF(L11="","",ROUND(IF(AD11=3,0,IF(AD11=2,IF(N11=VLOOKUP(N11,'IN RPS-2015'!$I$2:$J$5,1),0,Main!$H$9)/2,IF(N11=VLOOKUP(N11,'IN RPS-2015'!$I$2:$J$5,1),0,Main!$H$9)))*(DAY(M11)-DAY(L11)+1)/DAY(EOMONTH(L11,0)),0))</f>
        <v>105</v>
      </c>
      <c r="Q11" s="457">
        <f>IF(L11="","",IF(N11=VLOOKUP(N11,'IN RPS-2015'!$I$2:$J$5,1),0,ROUND(O11*IF(L11&lt;Main!$C$27,VLOOKUP(L11,$H$9:$J$12,3),VLOOKUP(L11,$H$9:$J$12,2))%,0)))</f>
        <v>4936</v>
      </c>
      <c r="R11" s="457">
        <f>IF(L11="","",IF(OR(AD11=3,N11=VLOOKUP(N11,'IN RPS-2015'!$I$2:$J$5,1)),0,ROUND(MIN(ROUND(N11*VLOOKUP(L11,$B$1:$G$4,2)%,0),VLOOKUP(L11,$B$2:$I$4,IF(L11&lt;$G$7,7,8),TRUE))*(DAY(M11)-DAY(L11)+1)/DAY(EOMONTH(L11,0)),0)))</f>
        <v>11082</v>
      </c>
      <c r="S11" s="486">
        <f>IF(L11="","",IF(Main!$C$26="UGC",0,IF(OR(L11&lt;DATE(2010,4,1),$I$6=VLOOKUP(L11,$B$2:$G$4,5,TRUE),N11=VLOOKUP(N11,'IN RPS-2015'!$I$2:$J$5,1)),0,ROUND(IF(AD11=3,0,IF(AD11=2,MIN(ROUND(N11*$G$13%,0),IF(L11&lt;$J$152,$G$14,$G$15))/2,MIN(ROUND(N11*$G$13%,0),IF(L11&lt;$J$152,$G$14,$G$15))))*(DAY(M11)-DAY(L11)+1)/DAY(EOMONTH(L11,0)),0))))</f>
        <v>0</v>
      </c>
      <c r="T11" s="457">
        <f>IF(L11="","",IF(Main!$C$26="UGC",0,IF(N11=VLOOKUP(N11,'IN RPS-2015'!$I$2:$J$5,1),0,ROUND(O11*VLOOKUP(L11,$H$205:$I$206,2)%,0))))</f>
        <v>0</v>
      </c>
      <c r="U11" s="457">
        <f>IF(L11="","",IF(Main!$C$26="UGC",0,IF(L11&lt;DATE(2010,4,1),0,IF(OR(AD11=2,AD11=3,N11=VLOOKUP(N11,'IN RPS-2015'!$I$2:$J$5,1)),0,ROUND(IF(L11&lt;$J$152,VLOOKUP(L11,$B$1:$G$4,4),VLOOKUP(VLOOKUP(L11,$B$1:$G$4,4),Main!$CE$2:$CF$5,2,FALSE))*(DAY(M11)-DAY(L11)+1)/DAY(EOMONTH(L11,0)),0)))))</f>
        <v>0</v>
      </c>
      <c r="V11" s="457">
        <f>IF(L11="","",IF(OR(AD11=2,AD11=3,$D$31=$D$28,N11=VLOOKUP(N11,'IN RPS-2015'!$I$2:$J$5,1)),0,ROUND(MIN(VLOOKUP(K11,$A$27:$C$29,2,TRUE),ROUND(N11*VLOOKUP(K11,$A$27:$C$29,3,TRUE)%,0))*IF(K11=$A$36,$C$36,IF(K11=$A$37,$C$37,IF(K11=$A$38,$C$38,IF(K11=$A$39,$C$39,IF(K11=$A$40,$C$40,IF(K11=$A$41,$C$41,1))))))*(DAY(M11)-DAY(L11)+1)/DAY(EOMONTH(L11,0)),0)))</f>
        <v>900</v>
      </c>
      <c r="W11" s="457">
        <f>IF(L11="","",IF(Main!$C$26="UGC",0,IF(OR(AD11=3,N11=VLOOKUP(N11,'IN RPS-2015'!$I$2:$J$5,1)),0,ROUND(IF(AD11=2,VLOOKUP(N11,IF(L11&lt;$G$7,$A$20:$E$23,$F$144:$J$147),IF($B$19=VLOOKUP(L11,$B$2:$G$4,3,TRUE),2,IF($C$19=VLOOKUP(L11,$B$2:$G$4,3,TRUE),3,IF($D$19=VLOOKUP(L11,$B$2:$G$4,3,TRUE),4,5))),TRUE),VLOOKUP(N11,IF(L11&lt;$G$7,$A$20:$E$23,$F$144:$J$147),IF($B$19=VLOOKUP(L11,$B$2:$G$4,3,TRUE),2,IF($C$19=VLOOKUP(L11,$B$2:$G$4,3,TRUE),3,IF($D$19=VLOOKUP(L11,$B$2:$G$4,3,TRUE),4,5))),TRUE))*(DAY(M11)-DAY(L11)+1)/DAY(EOMONTH(L11,0)),0))))</f>
        <v>500</v>
      </c>
      <c r="X11" s="457">
        <f>IF(L11="","",IF(Main!$C$26="UGC",0,IF(OR(K11&lt;DATE(2010,4,1),AD11=3,N11=VLOOKUP(N11,'IN RPS-2015'!$I$2:$J$5,1)),0,ROUND(IF(AD11=2,IF(L11&lt;$J$152,Main!$L$9,Main!$CI$3)/2,IF(L11&lt;$J$152,Main!$L$9,Main!$CI$3))*(DAY(M11)-DAY(L11)+1)/DAY(EOMONTH(L11,0)),0))))</f>
        <v>0</v>
      </c>
      <c r="Y11" s="497"/>
      <c r="Z11" s="457">
        <f>IF(L11="","",IF(Main!$C$26="UGC",0,IF(OR(AD11=3,N11=VLOOKUP(N11,'IN RPS-2015'!$I$2:$J$5,1)),0,ROUND(IF(AD11=2,VLOOKUP(O11,IF(L11&lt;$J$152,$A$154:$E$159,$F$154:$J$159),IF($B$10=VLOOKUP(K11,$B$2:$G$4,6,TRUE),2,IF($B$10=VLOOKUP(K11,$B$2:$G$4,6,TRUE),3,IF($D$10=VLOOKUP(K11,$B$2:$G$4,6,TRUE),4,5))))/2,VLOOKUP(O11,IF(L11&lt;$J$152,$A$154:$E$159,$F$154:$J$159),IF($B$10=VLOOKUP(K11,$B$2:$G$4,6,TRUE),2,IF($B$10=VLOOKUP(K11,$B$2:$G$4,6,TRUE),3,IF($D$10=VLOOKUP(K11,$B$2:$G$4,6,TRUE),4,5)))))*(DAY(M11)-DAY(L11)+1)/DAY(EOMONTH(L11,0)),0))))</f>
        <v>0</v>
      </c>
      <c r="AA11" s="497">
        <f t="shared" si="83"/>
        <v>72933</v>
      </c>
      <c r="AB11" s="497"/>
      <c r="AC11" s="497"/>
      <c r="AD11" s="497">
        <f t="shared" si="53"/>
        <v>1</v>
      </c>
      <c r="AE11" s="497"/>
      <c r="AF11" s="612">
        <f>$H$205</f>
        <v>41640</v>
      </c>
      <c r="AG11" s="457">
        <f>IF($AG$3=$I$29,27,0)</f>
        <v>0</v>
      </c>
      <c r="AH11" s="461"/>
      <c r="AI11" s="499" t="str">
        <f t="shared" si="54"/>
        <v/>
      </c>
      <c r="AJ11" s="500" t="str">
        <f t="shared" si="84"/>
        <v/>
      </c>
      <c r="AK11" s="484" t="str">
        <f>IF(AJ11="","",MIN(EOMONTH(AJ11,0),VLOOKUP(AJ11,'IN RPS-2015'!$O$164:$P$202,2,TRUE)-1,LOOKUP(AJ11,$E$47:$F$53)-1,IF(AJ11&lt;$B$2,$B$2-1,'IN RPS-2015'!$Q$9),IF(AJ11&lt;$B$3,$B$3-1,'IN RPS-2015'!$Q$9),IF(AJ11&lt;$B$4,$B$4-1,'IN RPS-2015'!$Q$9),LOOKUP(AJ11,$H$47:$I$53)))</f>
        <v/>
      </c>
      <c r="AL11" s="490" t="str">
        <f>IF(AJ11="","",VLOOKUP(AJ11,'IN RPS-2015'!$P$164:$AA$202,9))</f>
        <v/>
      </c>
      <c r="AM11" s="461" t="str">
        <f t="shared" si="66"/>
        <v/>
      </c>
      <c r="AN11" s="461" t="str">
        <f>IF(AJ11="","",IF(AND($AG$3=$AG$1,AJ11&lt;=$AZ$1),0,ROUND(IF(BB11=3,0,IF(BB11=2,IF(AL11=VLOOKUP(AL11,'IN RPS-2015'!$I$2:$J$5,1),0,Main!$H$9)/2,IF(AL11=VLOOKUP(AL11,'IN RPS-2015'!$I$2:$J$5,1),0,Main!$H$9)))*(DAY(AK11)-DAY(AJ11)+1)/DAY(EOMONTH(AJ11,0)),0)))</f>
        <v/>
      </c>
      <c r="AO11" s="461" t="str">
        <f>IF(AJ11="","",IF(AND($AG$3=$AG$1,AJ11&lt;=$AZ$1),0,IF(AL11=VLOOKUP(AL11,'IN RPS-2015'!$I$2:$J$5,1),0,ROUND(AM11*VLOOKUP(AJ11,$AF$4:$AG$7,2)%,0))))</f>
        <v/>
      </c>
      <c r="AP11" s="461" t="str">
        <f>IF(AJ11="","",IF(AND($AG$3=$AG$1,AJ11&lt;=$AZ$1),0,IF(OR(BB11=3,AL11=VLOOKUP(AL11,'IN RPS-2015'!$I$2:$J$5,1)),0,ROUND(MIN(ROUND(AL11*VLOOKUP(AJ11,$B$1:$G$4,2)%,0),VLOOKUP(AJ11,$B$2:$I$4,IF($AG$3=$I$29,7,8),TRUE))*(DAY(AK11)-DAY(AJ11)+1)/DAY(EOMONTH(AJ11,0)),0))))</f>
        <v/>
      </c>
      <c r="AQ11" s="491" t="str">
        <f>IF(AJ11="","",IF(AND($AG$3=$AG$1,AJ11&lt;=$AZ$1),0,IF(Main!$C$26="UGC",0,IF(OR(AJ11&lt;DATE(2010,4,1),$I$6=VLOOKUP(AJ11,$B$2:$G$4,5,TRUE),AL11=VLOOKUP(AL11,'IN RPS-2015'!$I$2:$J$5,1)),0,ROUND(IF(BB11=3,0,IF(BB11=2,MIN(ROUND(AL11*$G$13%,0),IF(AJ11&lt;$J$152,$G$14,$G$15))/2,MIN(ROUND(AL11*$G$13%,0),IF(AJ11&lt;$J$152,$G$14,$G$15))))*(DAY(AK11)-DAY(AJ11)+1)/DAY(EOMONTH(AJ11,0)),0)))))</f>
        <v/>
      </c>
      <c r="AR11" s="461" t="str">
        <f>IF(AJ11="","",IF(AND($AG$3=$AG$1,AJ11&lt;=$AZ$1),0,IF(Main!$C$26="UGC",0,IF(AL11=VLOOKUP(AL11,'IN RPS-2015'!$I$2:$J$5,1),0,ROUND(AM11*VLOOKUP(AJ11,$AF$11:$AG$12,2)%,0)))))</f>
        <v/>
      </c>
      <c r="AS11" s="461" t="str">
        <f>IF(AJ11="","",IF(AND($AG$3=$AG$1,AJ11&lt;=$AZ$1),0,IF(Main!$C$26="UGC",0,IF(AJ11&lt;DATE(2010,4,1),0,IF(OR(BB11=2,BB11=3,AL11=VLOOKUP(AL11,'IN RPS-2015'!$I$2:$J$5,1)),0,ROUND(IF(AJ11&lt;$J$152,VLOOKUP(AJ11,$B$1:$G$4,4),VLOOKUP(VLOOKUP(AJ11,$B$1:$G$4,4),Main!$CE$2:$CF$5,2,FALSE))*(DAY(AK11)-DAY(AJ11)+1)/DAY(EOMONTH(AJ11,0)),0))))))</f>
        <v/>
      </c>
      <c r="AT11" s="461" t="str">
        <f>IF(AJ11="","",IF(AND($AG$3=$AG$1,AJ11&lt;=$AZ$1),0,IF(OR(BB11=2,BB11=3,$D$31=$D$28,AL11=VLOOKUP(AL11,'IN RPS-2015'!$I$2:$J$5,1)),0,ROUND(MIN(VLOOKUP(AI11,$A$27:$C$29,2,TRUE),ROUND(AL11*VLOOKUP(AI11,$A$27:$C$29,3,TRUE)%,0))*IF(AI11=$A$36,$C$36,IF(AI11=$A$37,$C$37,IF(AI11=$A$38,$C$38,IF(AI11=$A$39,$C$39,IF(AI11=$A$40,$C$40,IF(AI11=$A$41,$C$41,1))))))*(DAY(AK11)-DAY(AJ11)+1)/DAY(EOMONTH(AJ11,0)),0))))</f>
        <v/>
      </c>
      <c r="AU11" s="461" t="str">
        <f>IF(AJ11="","",IF(AND($AG$3=$AG$1,AJ11&lt;=$AZ$1),0,IF(Main!$C$26="UGC",0,IF(OR(BB11=3,AL11=VLOOKUP(AL11,'IN RPS-2015'!$I$2:$J$5,1)),0,ROUND(IF(BB11=2,VLOOKUP(AL11,IF($AG$3=$I$29,$A$20:$E$23,$F$144:$J$147),IF($B$19=VLOOKUP(AJ11,$B$2:$G$4,3,TRUE),2,IF($C$19=VLOOKUP(AJ11,$B$2:$G$4,3,TRUE),3,IF($D$19=VLOOKUP(AJ11,$B$2:$G$4,3,TRUE),4,5))),TRUE),VLOOKUP(AL11,IF($AG$3=$I$29,$A$20:$E$23,$F$144:$J$147),IF($B$19=VLOOKUP(AJ11,$B$2:$G$4,3,TRUE),2,IF($C$19=VLOOKUP(AJ11,$B$2:$G$4,3,TRUE),3,IF($D$19=VLOOKUP(AJ11,$B$2:$G$4,3,TRUE),4,5))),TRUE))*(DAY(AK11)-DAY(AJ11)+1)/DAY(EOMONTH(AJ11,0)),0)))))</f>
        <v/>
      </c>
      <c r="AV11" s="461" t="str">
        <f>IF(AJ11="","",IF(AND($AG$3=$AG$1,AJ11&lt;=$AZ$1),0,IF(Main!$C$26="UGC",0,IF(OR(AI11&lt;DATE(2010,4,1),BB11=3,AL11=VLOOKUP(AL11,'IN RPS-2015'!$I$2:$J$5,1)),0,ROUND(IF(BB11=2,IF(AJ11&lt;$J$152,Main!$L$9,Main!$CI$3)/2,IF(AJ11&lt;$J$152,Main!$L$9,Main!$CI$3))*(DAY(AK11)-DAY(AJ11)+1)/DAY(EOMONTH(AJ11,0)),0)))))</f>
        <v/>
      </c>
      <c r="AW11" s="461"/>
      <c r="AX11" s="461" t="str">
        <f>IF(AJ11="","",IF(AND($AG$3=$AG$1,AJ11&lt;=$AZ$1),0,IF(Main!$C$26="UGC",0,IF(OR(BB11=3,AL11=VLOOKUP(AL11,'IN RPS-2015'!$I$2:$J$5,1)),0,ROUND(IF(BB11=2,VLOOKUP(AM11,IF(AJ11&lt;$J$152,$A$154:$E$159,$F$154:$J$159),IF($B$10=VLOOKUP(AI11,$B$2:$G$4,6,TRUE),2,IF($B$10=VLOOKUP(AI11,$B$2:$G$4,6,TRUE),3,IF($D$10=VLOOKUP(AI11,$B$2:$G$4,6,TRUE),4,5))))/2,VLOOKUP(AM11,IF(AJ11&lt;$J$152,$A$154:$E$159,$F$154:$J$159),IF($B$10=VLOOKUP(AI11,$B$2:$G$4,6,TRUE),2,IF($B$10=VLOOKUP(AI11,$B$2:$G$4,6,TRUE),3,IF($D$10=VLOOKUP(AI11,$B$2:$G$4,6,TRUE),4,5)))))*(DAY(AK11)-DAY(AJ11)+1)/DAY(EOMONTH(AJ11,0)),0)))))</f>
        <v/>
      </c>
      <c r="AY11" s="461">
        <f t="shared" si="67"/>
        <v>0</v>
      </c>
      <c r="AZ11" s="464" t="str">
        <f>IF(AJ11="","",IF(AND($AG$3=$AG$1,AJ11&lt;=$AZ$1),0,IF(AND(Main!$F$22=Main!$CA$24,AJ11&gt;$AZ$1),ROUND(SUM(AM11,AO11)*10%,0),"")))</f>
        <v/>
      </c>
      <c r="BA11" s="464" t="str">
        <f>IF(AI11="","",IF(AND($AG$3=$AG$1,AJ11&lt;=$AZ$1),0,IF(OR(Main!$H$10=Main!$BH$4,Main!$H$10=Main!$BH$5),0,LOOKUP(AY11*DAY(EOMONTH(AJ11,0))/(DAY(AK11)-DAY(AJ11)+1),$H$184:$I$189))))</f>
        <v/>
      </c>
      <c r="BB11" s="497">
        <f t="shared" si="55"/>
        <v>1</v>
      </c>
      <c r="BC11" s="464"/>
      <c r="BD11" s="501" t="str">
        <f t="shared" si="56"/>
        <v/>
      </c>
      <c r="BE11" s="502" t="str">
        <f t="shared" si="85"/>
        <v/>
      </c>
      <c r="BF11" s="484" t="str">
        <f>IF(BE11="","",MIN(EOMONTH(BE11,0),VLOOKUP(BE11,'IN RPS-2015'!$O$164:$P$202,2,TRUE)-1,LOOKUP(BE11,$E$47:$F$53)-1,IF(BE11&lt;$B$2,$B$2-1,'IN RPS-2015'!$Q$9),IF(BE11&lt;$B$3,$B$3-1,'IN RPS-2015'!$Q$9),IF(BE11&lt;$B$4,$B$4-1,'IN RPS-2015'!$Q$9),LOOKUP(BE11,$H$47:$I$53)))</f>
        <v/>
      </c>
      <c r="BG11" s="493" t="str">
        <f>IF(BE11="","",VLOOKUP(BE11,'IN RPS-2015'!$P$164:$AA$202,10))</f>
        <v/>
      </c>
      <c r="BH11" s="461" t="str">
        <f t="shared" si="68"/>
        <v/>
      </c>
      <c r="BI11" s="461" t="str">
        <f>IF(BE11="","",IF(AND($AG$3=$AG$1,BE11&lt;=$AZ$1),0,ROUND(IF(BW11=3,0,IF(BW11=2,IF(BG11=VLOOKUP(BG11,'IN RPS-2015'!$I$2:$J$5,1),0,Main!$H$9)/2,IF(BG11=VLOOKUP(BG11,'IN RPS-2015'!$I$2:$J$5,1),0,Main!$H$9)))*(DAY(BF11)-DAY(BE11)+1)/DAY(EOMONTH(BE11,0)),0)))</f>
        <v/>
      </c>
      <c r="BJ11" s="461" t="str">
        <f>IF(BE11="","",IF(AND($AG$3=$AG$1,BE11&lt;=$AZ$1),0,IF(BG11=VLOOKUP(BG11,'IN RPS-2015'!$I$2:$J$5,1),0,ROUND(BH11*VLOOKUP(BE11,$AF$4:$AG$7,2)%,0))))</f>
        <v/>
      </c>
      <c r="BK11" s="461" t="str">
        <f>IF(BE11="","",IF(AND($AG$3=$AG$1,BE11&lt;=$AZ$1),0,IF(OR(BW11=3,BG11=VLOOKUP(BG11,'IN RPS-2015'!$I$2:$J$5,1)),0,ROUND(MIN(ROUND(BG11*VLOOKUP(BE11,$B$1:$G$4,2)%,0),VLOOKUP(BE11,$B$2:$I$4,IF($AG$3=$I$29,7,8),TRUE))*(DAY(BF11)-DAY(BE11)+1)/DAY(EOMONTH(BE11,0)),0))))</f>
        <v/>
      </c>
      <c r="BL11" s="491" t="str">
        <f>IF(BE11="","",IF(AND($AG$3=$AG$1,BE11&lt;=$AZ$1),0,IF(Main!$C$26="UGC",0,IF(OR(BE11&lt;DATE(2010,4,1),$I$6=VLOOKUP(BE11,$B$2:$G$4,5,TRUE),BG11=VLOOKUP(BG11,'IN RPS-2015'!$I$2:$J$5,1)),0,ROUND(IF(BW11=3,0,IF(BW11=2,MIN(ROUND(BG11*$G$13%,0),IF(BE11&lt;$J$152,$G$14,$G$15))/2,MIN(ROUND(BG11*$G$13%,0),IF(BE11&lt;$J$152,$G$14,$G$15))))*(DAY(BF11)-DAY(BE11)+1)/DAY(EOMONTH(BE11,0)),0)))))</f>
        <v/>
      </c>
      <c r="BM11" s="461" t="str">
        <f>IF(BE11="","",IF(AND($AG$3=$AG$1,BE11&lt;=$AZ$1),0,IF(Main!$C$26="UGC",0,IF(BG11=VLOOKUP(BG11,'IN RPS-2015'!$I$2:$J$5,1),0,ROUND(BH11*VLOOKUP(BE11,$AF$11:$AG$12,2)%,0)))))</f>
        <v/>
      </c>
      <c r="BN11" s="461" t="str">
        <f>IF(BE11="","",IF(AND($AG$3=$AG$1,BE11&lt;=$AZ$1),0,IF(Main!$C$26="UGC",0,IF(BE11&lt;DATE(2010,4,1),0,IF(OR(BW11=2,BW11=3,BG11=VLOOKUP(BG11,'IN RPS-2015'!$I$2:$J$5,1)),0,ROUND(IF(BE11&lt;$J$152,VLOOKUP(BE11,$B$1:$G$4,4),VLOOKUP(VLOOKUP(BE11,$B$1:$G$4,4),Main!$CE$2:$CF$5,2,FALSE))*(DAY(BF11)-DAY(BE11)+1)/DAY(EOMONTH(BE11,0)),0))))))</f>
        <v/>
      </c>
      <c r="BO11" s="461" t="str">
        <f>IF(BE11="","",IF(AND($AG$3=$AG$1,BE11&lt;=$AZ$1),0,IF(OR(BW11=2,BW11=3,$D$31=$D$28,BG11=VLOOKUP(BG11,'IN RPS-2015'!$I$2:$J$5,1)),0,ROUND(MIN(VLOOKUP(BD11,$A$27:$C$29,2,TRUE),ROUND(BG11*VLOOKUP(BD11,$A$27:$C$29,3,TRUE)%,0))*IF(BD11=$A$36,$C$36,IF(BD11=$A$37,$C$37,IF(BD11=$A$38,$C$38,IF(BD11=$A$39,$C$39,IF(BD11=$A$40,$C$40,IF(BD11=$A$41,$C$41,1))))))*(DAY(BF11)-DAY(BE11)+1)/DAY(EOMONTH(BE11,0)),0))))</f>
        <v/>
      </c>
      <c r="BP11" s="461" t="str">
        <f>IF(BE11="","",IF(AND($AG$3=$AG$1,BE11&lt;=$AZ$1),0,IF(Main!$C$26="UGC",0,IF(OR(BW11=3,BG11=VLOOKUP(BG11,'IN RPS-2015'!$I$2:$J$5,1)),0,ROUND(IF(BW11=2,VLOOKUP(BG11,IF($AG$3=$I$29,$A$20:$E$23,$F$144:$J$147),IF($B$19=VLOOKUP(BE11,$B$2:$G$4,3,TRUE),2,IF($C$19=VLOOKUP(BE11,$B$2:$G$4,3,TRUE),3,IF($D$19=VLOOKUP(BE11,$B$2:$G$4,3,TRUE),4,5))),TRUE),VLOOKUP(BG11,IF($AG$3=$I$29,$A$20:$E$23,$F$144:$J$147),IF($B$19=VLOOKUP(BE11,$B$2:$G$4,3,TRUE),2,IF($C$19=VLOOKUP(BE11,$B$2:$G$4,3,TRUE),3,IF($D$19=VLOOKUP(BE11,$B$2:$G$4,3,TRUE),4,5))),TRUE))*(DAY(BF11)-DAY(BE11)+1)/DAY(EOMONTH(BE11,0)),0)))))</f>
        <v/>
      </c>
      <c r="BQ11" s="461" t="str">
        <f>IF(BE11="","",IF(AND($AG$3=$AG$1,BE11&lt;=$AZ$1),0,IF(Main!$C$26="UGC",0,IF(OR(BD11&lt;DATE(2010,4,1),BW11=3,BG11=VLOOKUP(BG11,'IN RPS-2015'!$I$2:$J$5,1)),0,ROUND(IF(BW11=2,IF(BE11&lt;$J$152,Main!$L$9,Main!$CI$3)/2,IF(BE11&lt;$J$152,Main!$L$9,Main!$CI$3))*(DAY(BF11)-DAY(BE11)+1)/DAY(EOMONTH(BE11,0)),0)))))</f>
        <v/>
      </c>
      <c r="BR11" s="461"/>
      <c r="BS11" s="461" t="str">
        <f>IF(BE11="","",IF(AND($AG$3=$AG$1,BE11&lt;=$AZ$1),0,IF(Main!$C$26="UGC",0,IF(OR(BW11=3,BG11=VLOOKUP(BG11,'IN RPS-2015'!$I$2:$J$5,1)),0,ROUND(IF(BW11=2,VLOOKUP(BH11,IF(BE11&lt;$J$152,$A$154:$E$159,$F$154:$J$159),IF($B$10=VLOOKUP(BD11,$B$2:$G$4,6,TRUE),2,IF($B$10=VLOOKUP(BD11,$B$2:$G$4,6,TRUE),3,IF($D$10=VLOOKUP(BD11,$B$2:$G$4,6,TRUE),4,5))))/2,VLOOKUP(BH11,IF(BE11&lt;$J$152,$A$154:$E$159,$F$154:$J$159),IF($B$10=VLOOKUP(BD11,$B$2:$G$4,6,TRUE),2,IF($B$10=VLOOKUP(BD11,$B$2:$G$4,6,TRUE),3,IF($D$10=VLOOKUP(BD11,$B$2:$G$4,6,TRUE),4,5)))))*(DAY(BF11)-DAY(BE11)+1)/DAY(EOMONTH(BE11,0)),0)))))</f>
        <v/>
      </c>
      <c r="BT11" s="461">
        <f t="shared" si="69"/>
        <v>0</v>
      </c>
      <c r="BU11" s="464" t="str">
        <f>IF(BE11="","",IF(AND($AG$3=$AG$1,BE11&lt;=$AZ$1),0,IF(AND(Main!$F$22=Main!$CA$24,BE11&gt;$AZ$1),ROUND(SUM(BH11,BJ11)*10%,0),"")))</f>
        <v/>
      </c>
      <c r="BV11" s="464" t="str">
        <f>IF(BD11="","",IF(AND($AG$3=$AG$1,BE11&lt;=$AZ$1),0,IF(OR(Main!$H$10=Main!$BH$4,Main!$H$10=Main!$BH$5),0,LOOKUP(BT11*DAY(EOMONTH(BE11,0))/(DAY(BF11)-DAY(BE11)+1),$H$184:$I$189))))</f>
        <v/>
      </c>
      <c r="BW11" s="503">
        <f t="shared" si="70"/>
        <v>1</v>
      </c>
      <c r="BX11" s="457">
        <f t="shared" si="71"/>
        <v>0</v>
      </c>
      <c r="BY11" s="497"/>
      <c r="BZ11" s="612">
        <f>$H$205</f>
        <v>41640</v>
      </c>
      <c r="CA11" s="457">
        <f>IF($AG$3=$I$29,27,0)</f>
        <v>0</v>
      </c>
      <c r="CB11" s="461"/>
      <c r="CC11" s="499" t="str">
        <f t="shared" si="57"/>
        <v/>
      </c>
      <c r="CD11" s="500" t="str">
        <f t="shared" si="86"/>
        <v/>
      </c>
      <c r="CE11" s="484" t="str">
        <f>IF(CD11="","",MIN(EOMONTH(CD11,0),VLOOKUP(CD11,'IN RPS-2015'!$O$164:$P$202,2,TRUE)-1,LOOKUP(CD11,$E$47:$F$53)-1,IF(CD11&lt;$B$2,$B$2-1,'IN RPS-2015'!$Q$9),IF(CD11&lt;$B$3,$B$3-1,'IN RPS-2015'!$Q$9),IF(CD11&lt;$B$4,$B$4-1,'IN RPS-2015'!$Q$9),LOOKUP(CD11,$H$47:$I$53)))</f>
        <v/>
      </c>
      <c r="CF11" s="490" t="str">
        <f>IF(CD11="","",VLOOKUP(CD11,'IN RPS-2015'!$T$207:$Y$222,5))</f>
        <v/>
      </c>
      <c r="CG11" s="461" t="str">
        <f t="shared" si="72"/>
        <v/>
      </c>
      <c r="CH11" s="461" t="str">
        <f>IF(CD11="","",IF(AND($CA$3=$CA$1,CD11&lt;=$CT$1),0,ROUND(IF(CV11=3,0,IF(CV11=2,IF(CF11=VLOOKUP(CF11,'IN RPS-2015'!$I$2:$J$5,1),0,Main!$H$9)/2,IF(CF11=VLOOKUP(CF11,'IN RPS-2015'!$I$2:$J$5,1),0,Main!$H$9)))*(DAY(CE11)-DAY(CD11)+1)/DAY(EOMONTH(CD11,0)),0)))</f>
        <v/>
      </c>
      <c r="CI11" s="461" t="str">
        <f>IF(CD11="","",IF(AND($CA$3=$CA$1,CD11&lt;=$CT$1),0,IF(CF11=VLOOKUP(CF11,'IN RPS-2015'!$I$2:$J$5,1),0,ROUND(CG11*VLOOKUP(CD11,$BZ$4:$CA$7,2)%,0))))</f>
        <v/>
      </c>
      <c r="CJ11" s="461" t="str">
        <f>IF(CD11="","",IF(AND($CA$3=$CA$1,CD11&lt;=$CT$1),0,IF(OR(CV11=3,CF11=VLOOKUP(CF11,'IN RPS-2015'!$I$2:$J$5,1)),0,ROUND(MIN(ROUND(CF11*VLOOKUP(CD11,$B$1:$G$4,2)%,0),VLOOKUP(CD11,$B$2:$I$4,IF($CA$3=$I$29,7,8),TRUE))*(DAY(CE11)-DAY(CD11)+1)/DAY(EOMONTH(CD11,0)),0))))</f>
        <v/>
      </c>
      <c r="CK11" s="491" t="str">
        <f>IF(CD11="","",IF(AND($CA$3=$CA$1,CD11&lt;=$CT$1),0,IF(Main!$C$26="UGC",0,IF(OR(CD11&lt;DATE(2010,4,1),$I$6=VLOOKUP(CD11,$B$2:$G$4,5,TRUE),CF11=VLOOKUP(CF11,'IN RPS-2015'!$I$2:$J$5,1)),0,ROUND(IF(CV11=3,0,IF(CV11=2,MIN(ROUND(CF11*$G$13%,0),IF(CD11&lt;$J$152,$G$14,$G$15))/2,MIN(ROUND(CF11*$G$13%,0),IF(CD11&lt;$J$152,$G$14,$G$15))))*(DAY(CE11)-DAY(CD11)+1)/DAY(EOMONTH(CD11,0)),0)))))</f>
        <v/>
      </c>
      <c r="CL11" s="461" t="str">
        <f>IF(CD11="","",IF(AND($CA$3=$CA$1,CD11&lt;=$CT$1),0,IF(Main!$C$26="UGC",0,IF(CF11=VLOOKUP(CF11,'IN RPS-2015'!$I$2:$J$5,1),0,ROUND(CG11*VLOOKUP(CD11,$BZ$11:$CA$12,2)%,0)))))</f>
        <v/>
      </c>
      <c r="CM11" s="461" t="str">
        <f>IF(CD11="","",IF(AND($CA$3=$CA$1,CD11&lt;=$CT$1),0,IF(Main!$C$26="UGC",0,IF(CD11&lt;DATE(2010,4,1),0,IF(OR(CV11=2,CV11=3,CF11=VLOOKUP(CF11,'IN RPS-2015'!$I$2:$J$5,1)),0,ROUND(IF(CD11&lt;$J$152,VLOOKUP(CD11,$B$1:$G$4,4),VLOOKUP(VLOOKUP(CD11,$B$1:$G$4,4),Main!$CE$2:$CF$5,2,FALSE))*(DAY(CE11)-DAY(CD11)+1)/DAY(EOMONTH(CD11,0)),0))))))</f>
        <v/>
      </c>
      <c r="CN11" s="461" t="str">
        <f>IF(CD11="","",IF(AND($CA$3=$CA$1,CD11&lt;=$CT$1),0,IF(OR(CV11=2,CV11=3,$D$31=$D$28,CF11=VLOOKUP(CF11,'IN RPS-2015'!$I$2:$J$5,1)),0,ROUND(MIN(VLOOKUP(CC11,$A$27:$C$29,2,TRUE),ROUND(CF11*VLOOKUP(CC11,$A$27:$C$29,3,TRUE)%,0))*IF(CC11=$A$36,$C$36,IF(CC11=$A$37,$C$37,IF(CC11=$A$38,$C$38,IF(CC11=$A$39,$C$39,IF(CC11=$A$40,$C$40,IF(CC11=$A$41,$C$41,1))))))*(DAY(CE11)-DAY(CD11)+1)/DAY(EOMONTH(CD11,0)),0))))</f>
        <v/>
      </c>
      <c r="CO11" s="461" t="str">
        <f>IF(CD11="","",IF(AND($CA$3=$CA$1,CD11&lt;=$CT$1),0,IF(Main!$C$26="UGC",0,IF(OR(CV11=3,CF11=VLOOKUP(CF11,'IN RPS-2015'!$I$2:$J$5,1)),0,ROUND(IF(CV11=2,VLOOKUP(CF11,IF($CA$3=$I$29,$A$20:$E$23,$F$144:$J$147),IF($B$19=VLOOKUP(CD11,$B$2:$G$4,3,TRUE),2,IF($C$19=VLOOKUP(CD11,$B$2:$G$4,3,TRUE),3,IF($D$19=VLOOKUP(CD11,$B$2:$G$4,3,TRUE),4,5))),TRUE),VLOOKUP(CF11,IF($CA$3=$I$29,$A$20:$E$23,$F$144:$J$147),IF($B$19=VLOOKUP(CD11,$B$2:$G$4,3,TRUE),2,IF($C$19=VLOOKUP(CD11,$B$2:$G$4,3,TRUE),3,IF($D$19=VLOOKUP(CD11,$B$2:$G$4,3,TRUE),4,5))),TRUE))*(DAY(CE11)-DAY(CD11)+1)/DAY(EOMONTH(CD11,0)),0)))))</f>
        <v/>
      </c>
      <c r="CP11" s="461" t="str">
        <f>IF(CD11="","",IF(AND($CA$3=$CA$1,CD11&lt;=$CT$1),0,IF(Main!$C$26="UGC",0,IF(OR(CC11&lt;DATE(2010,4,1),CV11=3,CF11=VLOOKUP(CF11,'IN RPS-2015'!$I$2:$J$5,1)),0,ROUND(IF(CV11=2,IF(CD11&lt;$J$152,Main!$L$9,Main!$CI$3)/2,IF(CD11&lt;$J$152,Main!$L$9,Main!$CI$3))*(DAY(CE11)-DAY(CD11)+1)/DAY(EOMONTH(CD11,0)),0)))))</f>
        <v/>
      </c>
      <c r="CQ11" s="461"/>
      <c r="CR11" s="461" t="str">
        <f>IF(CD11="","",IF(AND($CA$3=$CA$1,CD11&lt;=$CT$1),0,IF(Main!$C$26="UGC",0,IF(OR(CV11=3,CF11=VLOOKUP(CF11,'IN RPS-2015'!$I$2:$J$5,1)),0,ROUND(IF(CV11=2,VLOOKUP(CG11,IF(CD11&lt;$J$152,$A$154:$E$159,$F$154:$J$159),IF($B$10=VLOOKUP(CC11,$B$2:$G$4,6,TRUE),2,IF($B$10=VLOOKUP(CC11,$B$2:$G$4,6,TRUE),3,IF($D$10=VLOOKUP(CC11,$B$2:$G$4,6,TRUE),4,5))))/2,VLOOKUP(CG11,IF(CD11&lt;$J$152,$A$154:$E$159,$F$154:$J$159),IF($B$10=VLOOKUP(CC11,$B$2:$G$4,6,TRUE),2,IF($B$10=VLOOKUP(CC11,$B$2:$G$4,6,TRUE),3,IF($D$10=VLOOKUP(CC11,$B$2:$G$4,6,TRUE),4,5)))))*(DAY(CE11)-DAY(CD11)+1)/DAY(EOMONTH(CD11,0)),0)))))</f>
        <v/>
      </c>
      <c r="CS11" s="461">
        <f t="shared" si="73"/>
        <v>0</v>
      </c>
      <c r="CT11" s="464" t="str">
        <f>IF(CD11="","",IF(AND($CA$3=$CA$1,CD11&lt;=$CT$1),0,IF(AND(Main!$F$22=Main!$CA$24,CD11&gt;$CT$1),ROUND(SUM(CG11,CI11)*10%,0),"")))</f>
        <v/>
      </c>
      <c r="CU11" s="464" t="str">
        <f>IF(CC11="","",IF(CG11=0,0,IF(OR(Main!$H$10=Main!$BH$4,Main!$H$10=Main!$BH$5),0,LOOKUP(CS11*DAY(EOMONTH(CD11,0))/(DAY(CE11)-DAY(CD11)+1),$H$184:$I$189))))</f>
        <v/>
      </c>
      <c r="CV11" s="457">
        <f t="shared" si="74"/>
        <v>1</v>
      </c>
      <c r="CW11" s="464"/>
      <c r="CX11" s="501" t="str">
        <f t="shared" si="59"/>
        <v/>
      </c>
      <c r="CY11" s="502" t="str">
        <f t="shared" si="87"/>
        <v/>
      </c>
      <c r="CZ11" s="484" t="str">
        <f>IF(CY11="","",MIN(EOMONTH(CY11,0),VLOOKUP(CY11,'IN RPS-2015'!$O$164:$P$202,2,TRUE)-1,LOOKUP(CY11,$E$47:$F$53)-1,IF(CY11&lt;$B$2,$B$2-1,'IN RPS-2015'!$Q$9),IF(CY11&lt;$B$3,$B$3-1,'IN RPS-2015'!$Q$9),IF(CY11&lt;$B$4,$B$4-1,'IN RPS-2015'!$Q$9),LOOKUP(CY11,$H$47:$I$53)))</f>
        <v/>
      </c>
      <c r="DA11" s="493" t="str">
        <f>IF(CY11="","",VLOOKUP(CY11,'IN RPS-2015'!$T$207:$Y$222,6))</f>
        <v/>
      </c>
      <c r="DB11" s="461" t="str">
        <f t="shared" si="75"/>
        <v/>
      </c>
      <c r="DC11" s="461" t="str">
        <f>IF(CY11="","",IF(AND($CA$3=$CA$1,CY11&lt;=$CT$1),0,ROUND(IF(DQ11=3,0,IF(DQ11=2,IF(DA11=VLOOKUP(DA11,'IN RPS-2015'!$I$2:$J$5,1),0,Main!$H$9)/2,IF(DA11=VLOOKUP(DA11,'IN RPS-2015'!$I$2:$J$5,1),0,Main!$H$9)))*(DAY(CZ11)-DAY(CY11)+1)/DAY(EOMONTH(CY11,0)),0)))</f>
        <v/>
      </c>
      <c r="DD11" s="461" t="str">
        <f>IF(CY11="","",IF(AND($CA$3=$CA$1,CY11&lt;=$CT$1),0,IF(DA11=VLOOKUP(DA11,'IN RPS-2015'!$I$2:$J$5,1),0,ROUND(DB11*VLOOKUP(CY11,$BZ$4:$CA$7,2)%,0))))</f>
        <v/>
      </c>
      <c r="DE11" s="461" t="str">
        <f>IF(CY11="","",IF(AND($CA$3=$CA$1,CY11&lt;=$CT$1),0,IF(OR(DQ11=3,DA11=VLOOKUP(DA11,'IN RPS-2015'!$I$2:$J$5,1)),0,ROUND(MIN(ROUND(DA11*VLOOKUP(CY11,$B$1:$G$4,2)%,0),VLOOKUP(CY11,$B$2:$I$4,IF($CA$3=$I$29,7,8),TRUE))*(DAY(CZ11)-DAY(CY11)+1)/DAY(EOMONTH(CY11,0)),0))))</f>
        <v/>
      </c>
      <c r="DF11" s="491" t="str">
        <f>IF(CY11="","",IF(AND($CA$3=$CA$1,CY11&lt;=$CT$1),0,IF(Main!$C$26="UGC",0,IF(OR(CY11&lt;DATE(2010,4,1),$I$6=VLOOKUP(CY11,$B$2:$G$4,5,TRUE),DA11=VLOOKUP(DA11,'IN RPS-2015'!$I$2:$J$5,1)),0,ROUND(IF(DQ11=3,0,IF(DQ11=2,MIN(ROUND(DA11*$G$13%,0),IF(CY11&lt;$J$152,$G$14,$G$15))/2,MIN(ROUND(DA11*$G$13%,0),IF(CY11&lt;$J$152,$G$14,$G$15))))*(DAY(CZ11)-DAY(CY11)+1)/DAY(EOMONTH(CY11,0)),0)))))</f>
        <v/>
      </c>
      <c r="DG11" s="461" t="str">
        <f>IF(CY11="","",IF(AND($CA$3=$CA$1,CY11&lt;=$CT$1),0,IF(Main!$C$26="UGC",0,IF(DA11=VLOOKUP(DA11,'IN RPS-2015'!$I$2:$J$5,1),0,ROUND(DB11*VLOOKUP(CY11,$BZ$11:$CA$12,2)%,0)))))</f>
        <v/>
      </c>
      <c r="DH11" s="461" t="str">
        <f>IF(CY11="","",IF(AND($CA$3=$CA$1,CY11&lt;=$CT$1),0,IF(Main!$C$26="UGC",0,IF(CY11&lt;DATE(2010,4,1),0,IF(OR(DQ11=2,DQ11=3,DA11=VLOOKUP(DA11,'IN RPS-2015'!$I$2:$J$5,1)),0,ROUND(IF(CY11&lt;$J$152,VLOOKUP(CY11,$B$1:$G$4,4),VLOOKUP(VLOOKUP(CY11,$B$1:$G$4,4),Main!$CE$2:$CF$5,2,FALSE))*(DAY(CZ11)-DAY(CY11)+1)/DAY(EOMONTH(CY11,0)),0))))))</f>
        <v/>
      </c>
      <c r="DI11" s="461" t="str">
        <f>IF(CY11="","",IF(AND($CA$3=$CA$1,CY11&lt;=$CT$1),0,IF(OR(DQ11=2,DQ11=3,$D$31=$D$28,DA11=VLOOKUP(DA11,'IN RPS-2015'!$I$2:$J$5,1)),0,ROUND(MIN(VLOOKUP(CX11,$A$27:$C$29,2,TRUE),ROUND(DA11*VLOOKUP(CX11,$A$27:$C$29,3,TRUE)%,0))*IF(CX11=$A$36,$C$36,IF(CX11=$A$37,$C$37,IF(CX11=$A$38,$C$38,IF(CX11=$A$39,$C$39,IF(CX11=$A$40,$C$40,IF(CX11=$A$41,$C$41,1))))))*(DAY(CZ11)-DAY(CY11)+1)/DAY(EOMONTH(CY11,0)),0))))</f>
        <v/>
      </c>
      <c r="DJ11" s="461" t="str">
        <f>IF(CY11="","",IF(AND($CA$3=$CA$1,CY11&lt;=$CT$1),0,IF(Main!$C$26="UGC",0,IF(OR(DQ11=3,DA11=VLOOKUP(DA11,'IN RPS-2015'!$I$2:$J$5,1)),0,ROUND(IF(DQ11=2,VLOOKUP(DA11,IF($CA$3=$I$29,$A$20:$E$23,$F$144:$J$147),IF($B$19=VLOOKUP(CY11,$B$2:$G$4,3,TRUE),2,IF($C$19=VLOOKUP(CY11,$B$2:$G$4,3,TRUE),3,IF($D$19=VLOOKUP(CY11,$B$2:$G$4,3,TRUE),4,5))),TRUE),VLOOKUP(DA11,IF($CA$3=$I$29,$A$20:$E$23,$F$144:$J$147),IF($B$19=VLOOKUP(CY11,$B$2:$G$4,3,TRUE),2,IF($C$19=VLOOKUP(CY11,$B$2:$G$4,3,TRUE),3,IF($D$19=VLOOKUP(CY11,$B$2:$G$4,3,TRUE),4,5))),TRUE))*(DAY(CZ11)-DAY(CY11)+1)/DAY(EOMONTH(CY11,0)),0)))))</f>
        <v/>
      </c>
      <c r="DK11" s="461" t="str">
        <f>IF(CY11="","",IF(AND($CA$3=$CA$1,CY11&lt;=$CT$1),0,IF(Main!$C$26="UGC",0,IF(OR(CX11&lt;DATE(2010,4,1),DQ11=3,DA11=VLOOKUP(DA11,'IN RPS-2015'!$I$2:$J$5,1)),0,ROUND(IF(DQ11=2,IF(CY11&lt;$J$152,Main!$L$9,Main!$CI$3)/2,IF(CY11&lt;$J$152,Main!$L$9,Main!$CI$3))*(DAY(CZ11)-DAY(CY11)+1)/DAY(EOMONTH(CY11,0)),0)))))</f>
        <v/>
      </c>
      <c r="DL11" s="461"/>
      <c r="DM11" s="461" t="str">
        <f>IF(CY11="","",IF(AND($CA$3=$CA$1,CY11&lt;=$CT$1),0,IF(Main!$C$26="UGC",0,IF(OR(DQ11=3,DA11=VLOOKUP(DA11,'IN RPS-2015'!$I$2:$J$5,1)),0,ROUND(IF(DQ11=2,VLOOKUP(DB11,IF(CY11&lt;$J$152,$A$154:$E$159,$F$154:$J$159),IF($B$10=VLOOKUP(CX11,$B$2:$G$4,6,TRUE),2,IF($B$10=VLOOKUP(CX11,$B$2:$G$4,6,TRUE),3,IF($D$10=VLOOKUP(CX11,$B$2:$G$4,6,TRUE),4,5))))/2,VLOOKUP(DB11,IF(CY11&lt;$J$152,$A$154:$E$159,$F$154:$J$159),IF($B$10=VLOOKUP(CX11,$B$2:$G$4,6,TRUE),2,IF($B$10=VLOOKUP(CX11,$B$2:$G$4,6,TRUE),3,IF($D$10=VLOOKUP(CX11,$B$2:$G$4,6,TRUE),4,5)))))*(DAY(CZ11)-DAY(CY11)+1)/DAY(EOMONTH(CY11,0)),0)))))</f>
        <v/>
      </c>
      <c r="DN11" s="461">
        <f t="shared" si="76"/>
        <v>0</v>
      </c>
      <c r="DO11" s="464" t="str">
        <f>IF(CY11="","",IF(AND($CA$3=$CA$1,CY11&lt;=$CT$1),0,IF(AND(Main!$F$22=Main!$CA$24,CY11&gt;$CT$1),ROUND(SUM(DB11,DD11)*10%,0),"")))</f>
        <v/>
      </c>
      <c r="DP11" s="464" t="str">
        <f>IF(CX11="","",IF(AND($CA$3=$CA$1,CY11&lt;=$CT$1),0,IF(OR(Main!$H$10=Main!$BH$4,Main!$H$10=Main!$BH$5),0,LOOKUP(DN11*DAY(EOMONTH(CY11,0))/(DAY(CZ11)-DAY(CY11)+1),$H$184:$I$189))))</f>
        <v/>
      </c>
      <c r="DQ11" s="457">
        <f t="shared" si="60"/>
        <v>1</v>
      </c>
      <c r="DR11" s="457">
        <f t="shared" si="77"/>
        <v>0</v>
      </c>
      <c r="DS11" s="497"/>
      <c r="DT11" s="612">
        <f>$H$205</f>
        <v>41640</v>
      </c>
      <c r="DU11" s="457">
        <f>IF($DU$3=$I$29,27,0)</f>
        <v>0</v>
      </c>
      <c r="DV11" s="461"/>
      <c r="DW11" s="499" t="str">
        <f t="shared" si="61"/>
        <v/>
      </c>
      <c r="DX11" s="500" t="str">
        <f t="shared" si="88"/>
        <v/>
      </c>
      <c r="DY11" s="484" t="str">
        <f>IF(DX11="","",MIN(EOMONTH(DX11,0),VLOOKUP(DX11,'IN RPS-2015'!$O$164:$P$202,2,TRUE)-1,LOOKUP(DX11,$E$47:$F$53)-1,IF(DX11&lt;$B$2,$B$2-1,'IN RPS-2015'!$Q$9),IF(DX11&lt;$B$3,$B$3-1,'IN RPS-2015'!$Q$9),IF(DX11&lt;$B$4,$B$4-1,'IN RPS-2015'!$Q$9),LOOKUP(DX11,$H$47:$I$53)))</f>
        <v/>
      </c>
      <c r="DZ11" s="490" t="str">
        <f>IF(DX11="","",VLOOKUP(DX11,'IN RPS-2015'!$P$164:$AA$202,11))</f>
        <v/>
      </c>
      <c r="EA11" s="461" t="str">
        <f t="shared" si="78"/>
        <v/>
      </c>
      <c r="EB11" s="461" t="str">
        <f>IF(DX11="","",ROUND(IF(EP11=3,0,IF(EP11=2,IF(DZ11=VLOOKUP(DZ11,'IN RPS-2015'!$I$2:$J$5,1),0,Main!$H$9)/2,IF(DZ11=VLOOKUP(DZ11,'IN RPS-2015'!$I$2:$J$5,1),0,Main!$H$9)))*(DAY(DY11)-DAY(DX11)+1)/DAY(EOMONTH(DX11,0)),0))</f>
        <v/>
      </c>
      <c r="EC11" s="461" t="str">
        <f>IF(DX11="","",IF(DZ11=VLOOKUP(DZ11,'IN RPS-2015'!$I$2:$J$5,1),0,ROUND(EA11*VLOOKUP(DX11,$DT$4:$DU$7,2)%,0)))</f>
        <v/>
      </c>
      <c r="ED11" s="461" t="str">
        <f>IF(DX11="","",IF(OR(EP11=3,DZ11=VLOOKUP(DZ11,'IN RPS-2015'!$I$2:$J$5,1)),0,ROUND(MIN(ROUND(DZ11*VLOOKUP(DX11,$B$1:$G$4,2)%,0),VLOOKUP(DX11,$B$2:$I$4,IF($DU$3=$I$29,7,8),TRUE))*(DAY(DY11)-DAY(DX11)+1)/DAY(EOMONTH(DX11,0)),0)))</f>
        <v/>
      </c>
      <c r="EE11" s="491" t="str">
        <f>IF(DX11="","",IF(Main!$C$26="UGC",0,IF(OR(DX11&lt;DATE(2010,4,1),$I$6=VLOOKUP(DX11,$B$2:$G$4,5,TRUE),DZ11=VLOOKUP(DZ11,'IN RPS-2015'!$I$2:$J$5,1)),0,ROUND(IF(EP11=3,0,IF(EP11=2,MIN(ROUND(DZ11*$G$13%,0),IF(DX11&lt;$I$152,$G$14,$G$15))/2,MIN(ROUND(DZ11*$G$13%,0),IF(DX11&lt;$I$152,$G$14,$G$15))))*(DAY(DY11)-DAY(DX11)+1)/DAY(EOMONTH(DX11,0)),0))))</f>
        <v/>
      </c>
      <c r="EF11" s="461" t="str">
        <f>IF(DX11="","",IF(Main!$C$26="UGC",0,IF(DZ11=VLOOKUP(DZ11,'IN RPS-2015'!$I$2:$J$5,1),0,ROUND(EA11*VLOOKUP(DX11,$DT$11:$DU$12,2)%,0))))</f>
        <v/>
      </c>
      <c r="EG11" s="461" t="str">
        <f>IF(DX11="","",IF(Main!$C$26="UGC",0,IF(DX11&lt;DATE(2010,4,1),0,IF(OR(EP11=2,EP11=3,DZ11=VLOOKUP(DZ11,'IN RPS-2015'!$I$2:$J$5,1)),0,ROUND(IF(DX11&lt;$I$152,VLOOKUP(DX11,$B$1:$G$4,4),VLOOKUP(VLOOKUP(DX11,$B$1:$G$4,4),Main!$CE$2:$CF$5,2,FALSE))*(DAY(DY11)-DAY(DX11)+1)/DAY(EOMONTH(DX11,0)),0)))))</f>
        <v/>
      </c>
      <c r="EH11" s="461" t="str">
        <f>IF(DX11="","",IF(OR(EP11=2,EP11=3,$D$31=$D$28,DZ11=VLOOKUP(DZ11,'IN RPS-2015'!$I$2:$J$5,1)),0,ROUND(MIN(IF(DX11&lt;$I$152,900,1350),ROUND(DZ11*VLOOKUP(DW11,$A$27:$C$29,3,TRUE)%,0))*IF(DW11=$A$36,$C$36,IF(DW11=$A$37,$C$37,IF(DW11=$A$38,$C$38,IF(DW11=$A$39,$C$39,IF(DW11=$A$40,$C$40,IF(DW11=$A$41,$C$41,1))))))*(DAY(DY11)-DAY(DX11)+1)/DAY(EOMONTH(DX11,0)),0)))</f>
        <v/>
      </c>
      <c r="EI11" s="461" t="str">
        <f>IF(DX11="","",IF(Main!$C$26="UGC",0,IF(OR(EP11=3,DZ11=VLOOKUP(DZ11,'IN RPS-2015'!$I$2:$J$5,1)),0,ROUND(IF(EP11=2,VLOOKUP(DZ11,IF($DU$3=$I$29,$A$20:$E$23,$F$144:$J$147),IF($B$19=VLOOKUP(DX11,$B$2:$G$4,3,TRUE),2,IF($C$19=VLOOKUP(DX11,$B$2:$G$4,3,TRUE),3,IF($D$19=VLOOKUP(DX11,$B$2:$G$4,3,TRUE),4,5))),TRUE),VLOOKUP(DZ11,IF($DU$3=$I$29,$A$20:$E$23,$F$144:$J$147),IF($B$19=VLOOKUP(DX11,$B$2:$G$4,3,TRUE),2,IF($C$19=VLOOKUP(DX11,$B$2:$G$4,3,TRUE),3,IF($D$19=VLOOKUP(DX11,$B$2:$G$4,3,TRUE),4,5))),TRUE))*(DAY(DY11)-DAY(DX11)+1)/DAY(EOMONTH(DX11,0)),0))))</f>
        <v/>
      </c>
      <c r="EJ11" s="461" t="str">
        <f>IF(DX11="","",IF(Main!$C$26="UGC",0,IF(OR(DW11&lt;DATE(2010,4,1),EP11=3,DZ11=VLOOKUP(DZ11,'IN RPS-2015'!$I$2:$J$5,1)),0,ROUND(IF(EP11=2,IF(DX11&lt;$I$152,Main!$L$9,Main!$CI$3)/2,IF(DX11&lt;$I$152,Main!$L$9,Main!$CI$3))*(DAY(DY11)-DAY(DX11)+1)/DAY(EOMONTH(DX11,0)),0))))</f>
        <v/>
      </c>
      <c r="EK11" s="461"/>
      <c r="EL11" s="461" t="str">
        <f>IF(DX11="","",IF(Main!$C$26="UGC",0,IF(OR(EP11=3,DZ11=VLOOKUP(DZ11,'IN RPS-2015'!$I$2:$J$5,1)),0,ROUND(IF(EP11=2,VLOOKUP(EA11,IF(DX11&lt;$I$152,$A$154:$E$159,$F$154:$J$159),IF($B$10=VLOOKUP(DW11,$B$2:$G$4,6,TRUE),2,IF($B$10=VLOOKUP(DW11,$B$2:$G$4,6,TRUE),3,IF($D$10=VLOOKUP(DW11,$B$2:$G$4,6,TRUE),4,5))))/2,VLOOKUP(EA11,IF(DX11&lt;$I$152,$A$154:$E$159,$F$154:$J$159),IF($B$10=VLOOKUP(DW11,$B$2:$G$4,6,TRUE),2,IF($B$10=VLOOKUP(DW11,$B$2:$G$4,6,TRUE),3,IF($D$10=VLOOKUP(DW11,$B$2:$G$4,6,TRUE),4,5)))))*(DAY(DY11)-DAY(DX11)+1)/DAY(EOMONTH(DX11,0)),0))))</f>
        <v/>
      </c>
      <c r="EM11" s="461">
        <f t="shared" si="79"/>
        <v>0</v>
      </c>
      <c r="EN11" s="464" t="str">
        <f>IF(DX11="","",IF(AND(Main!$F$22=Main!$CA$24,DX11&gt;$EN$1),ROUND(SUM(EA11,EC11)*10%,0),""))</f>
        <v/>
      </c>
      <c r="EO11" s="464" t="str">
        <f>IF(DW11="","",IF(EA11=0,0,IF(OR(Main!$H$10=Main!$BH$4,Main!$H$10=Main!$BH$5),0,LOOKUP(EM11*DAY(EOMONTH(DX11,0))/(DAY(DY11)-DAY(DX11)+1),$H$184:$I$189))))</f>
        <v/>
      </c>
      <c r="EP11" s="457">
        <f t="shared" si="62"/>
        <v>1</v>
      </c>
      <c r="ER11" s="612">
        <f>$H$205</f>
        <v>41640</v>
      </c>
      <c r="ES11" s="457">
        <f>IF($ES$3=$I$29,27,0)</f>
        <v>27</v>
      </c>
      <c r="ET11" s="461"/>
      <c r="EU11" s="499" t="str">
        <f t="shared" si="63"/>
        <v/>
      </c>
      <c r="EV11" s="500" t="str">
        <f t="shared" si="89"/>
        <v/>
      </c>
      <c r="EW11" s="484" t="str">
        <f>IF(EV11="","",MIN(EOMONTH(EV11,0),VLOOKUP(EV11,'IN RPS-2015'!$O$164:$P$202,2,TRUE)-1,LOOKUP(EV11,$E$47:$F$53)-1,IF(EV11&lt;$B$2,$B$2-1,'IN RPS-2015'!$Q$9),IF(EV11&lt;$B$3,$B$3-1,'IN RPS-2015'!$Q$9),IF(EV11&lt;$B$4,$B$4-1,'IN RPS-2015'!$Q$9),LOOKUP(EV11,$H$47:$I$53)))</f>
        <v/>
      </c>
      <c r="EX11" s="490" t="str">
        <f>IF(EV11="","",VLOOKUP(EV11,'IN RPS-2015'!$P$164:$AA$202,12))</f>
        <v/>
      </c>
      <c r="EY11" s="461" t="str">
        <f t="shared" si="80"/>
        <v/>
      </c>
      <c r="EZ11" s="461" t="str">
        <f>IF(EV11="","",ROUND(IF(FN11=3,0,IF(FN11=2,IF(EX11=VLOOKUP(EX11,'IN RPS-2015'!$I$2:$J$5,1),0,Main!$H$9)/2,IF(EX11=VLOOKUP(EX11,'IN RPS-2015'!$I$2:$J$5,1),0,Main!$H$9)))*(DAY(EW11)-DAY(EV11)+1)/DAY(EOMONTH(EV11,0)),0))</f>
        <v/>
      </c>
      <c r="FA11" s="461" t="str">
        <f>IF(EV11="","",IF(EX11=VLOOKUP(EX11,'IN RPS-2015'!$I$2:$J$5,1),0,ROUND(EY11*VLOOKUP(EV11,$ER$4:$ES$7,2)%,0)))</f>
        <v/>
      </c>
      <c r="FB11" s="461" t="str">
        <f>IF(EV11="","",IF(OR(FN11=3,EX11=VLOOKUP(EX11,'IN RPS-2015'!$I$2:$J$5,1)),0,ROUND(MIN(ROUND(EX11*VLOOKUP(EV11,$B$1:$G$4,2)%,0),VLOOKUP(EV11,$B$2:$I$4,IF($ES$3=$I$29,7,8),TRUE))*(DAY(EW11)-DAY(EV11)+1)/DAY(EOMONTH(EV11,0)),0)))</f>
        <v/>
      </c>
      <c r="FC11" s="491" t="str">
        <f>IF(EV11="","",IF(Main!$C$26="UGC",0,IF(OR(EV11&lt;DATE(2010,4,1),$I$6=VLOOKUP(EV11,$B$2:$G$4,5,TRUE),EX11=VLOOKUP(EX11,'IN RPS-2015'!$I$2:$J$5,1)),0,ROUND(IF(FN11=3,0,IF(FN11=2,MIN(ROUND(EX11*$G$13%,0),IF(EV11&lt;$J$152,$G$14,$G$15))/2,MIN(ROUND(EX11*$G$13%,0),IF(EV11&lt;$J$152,$G$14,$G$15))))*(DAY(EW11)-DAY(EV11)+1)/DAY(EOMONTH(EV11,0)),0))))</f>
        <v/>
      </c>
      <c r="FD11" s="461" t="str">
        <f>IF(EV11="","",IF(Main!$C$26="UGC",0,IF(EX11=VLOOKUP(EX11,'IN RPS-2015'!$I$2:$J$5,1),0,ROUND(EY11*VLOOKUP(EV11,$ER$11:$ES$12,2)%,0))))</f>
        <v/>
      </c>
      <c r="FE11" s="461" t="str">
        <f>IF(EV11="","",IF(Main!$C$26="UGC",0,IF(EV11&lt;DATE(2010,4,1),0,IF(OR(FN11=2,FN11=3,EX11=VLOOKUP(EX11,'IN RPS-2015'!$I$2:$J$5,1)),0,ROUND(IF(EV11&lt;$J$152,VLOOKUP(EV11,$B$1:$G$4,4),VLOOKUP(VLOOKUP(EV11,$B$1:$G$4,4),Main!$CE$2:$CF$5,2,FALSE))*(DAY(EW11)-DAY(EV11)+1)/DAY(EOMONTH(EV11,0)),0)))))</f>
        <v/>
      </c>
      <c r="FF11" s="461" t="str">
        <f>IF(EV11="","",IF(OR(FN11=2,FN11=3,$D$31=$D$28,EX11=VLOOKUP(EX11,'IN RPS-2015'!$I$2:$J$5,1)),0,ROUND(MIN(VLOOKUP(EU11,$A$27:$C$29,2,TRUE),ROUND(EX11*VLOOKUP(EU11,$A$27:$C$29,3,TRUE)%,0))*IF(EU11=$A$36,$C$36,IF(EU11=$A$37,$C$37,IF(EU11=$A$38,$C$38,IF(EU11=$A$39,$C$39,IF(EU11=$A$40,$C$40,IF(EU11=$A$41,$C$41,1))))))*(DAY(EW11)-DAY(EV11)+1)/DAY(EOMONTH(EV11,0)),0)))</f>
        <v/>
      </c>
      <c r="FG11" s="461" t="str">
        <f>IF(EV11="","",IF(Main!$C$26="UGC",0,IF(OR(FN11=3,EX11=VLOOKUP(EX11,'IN RPS-2015'!$I$2:$J$5,1)),0,ROUND(IF(FN11=2,VLOOKUP(EX11,IF($ES$3=$I$29,$A$20:$E$23,$F$144:$J$147),IF($B$19=VLOOKUP(EV11,$B$2:$G$4,3,TRUE),2,IF($C$19=VLOOKUP(EV11,$B$2:$G$4,3,TRUE),3,IF($D$19=VLOOKUP(EV11,$B$2:$G$4,3,TRUE),4,5))),TRUE),VLOOKUP(EX11,IF($ES$3=$I$29,$A$20:$E$23,$F$144:$J$147),IF($B$19=VLOOKUP(EV11,$B$2:$G$4,3,TRUE),2,IF($C$19=VLOOKUP(EV11,$B$2:$G$4,3,TRUE),3,IF($D$19=VLOOKUP(EV11,$B$2:$G$4,3,TRUE),4,5))),TRUE))*(DAY(EW11)-DAY(EV11)+1)/DAY(EOMONTH(EV11,0)),0))))</f>
        <v/>
      </c>
      <c r="FH11" s="461" t="str">
        <f>IF(EV11="","",IF(Main!$C$26="UGC",0,IF(OR(EU11&lt;DATE(2010,4,1),FN11=3,EX11=VLOOKUP(EX11,'IN RPS-2015'!$I$2:$J$5,1)),0,ROUND(IF(FN11=2,IF(EV11&lt;$J$152,Main!$L$9,Main!$CI$3)/2,IF(EV11&lt;$J$152,Main!$L$9,Main!$CI$3))*(DAY(EW11)-DAY(EV11)+1)/DAY(EOMONTH(EV11,0)),0))))</f>
        <v/>
      </c>
      <c r="FI11" s="461"/>
      <c r="FJ11" s="461" t="str">
        <f>IF(EV11="","",IF(Main!$C$26="UGC",0,IF(OR(FN11=3,EX11=VLOOKUP(EX11,'IN RPS-2015'!$I$2:$J$5,1)),0,ROUND(IF(FN11=2,VLOOKUP(EY11,IF(EV11&lt;$J$152,$A$154:$E$159,$F$154:$J$159),IF($B$10=VLOOKUP(EU11,$B$2:$G$4,6,TRUE),2,IF($B$10=VLOOKUP(EU11,$B$2:$G$4,6,TRUE),3,IF($D$10=VLOOKUP(EU11,$B$2:$G$4,6,TRUE),4,5))))/2,VLOOKUP(EY11,IF(EV11&lt;$J$152,$A$154:$E$159,$F$154:$J$159),IF($B$10=VLOOKUP(EU11,$B$2:$G$4,6,TRUE),2,IF($B$10=VLOOKUP(EU11,$B$2:$G$4,6,TRUE),3,IF($D$10=VLOOKUP(EU11,$B$2:$G$4,6,TRUE),4,5)))))*(DAY(EW11)-DAY(EV11)+1)/DAY(EOMONTH(EV11,0)),0))))</f>
        <v/>
      </c>
      <c r="FK11" s="461">
        <f t="shared" si="81"/>
        <v>0</v>
      </c>
      <c r="FL11" s="464" t="str">
        <f>IF(EV11="","",IF(AND(Main!$F$22=Main!$CA$24,EV11&gt;$FL$1),ROUND(SUM(EY11,FA11)*10%,0),""))</f>
        <v/>
      </c>
      <c r="FM11" s="464" t="str">
        <f>IF(EU11="","",IF(EY11=0,0,IF(OR(Main!$H$10=Main!$BH$4,Main!$H$10=Main!$BH$5),0,LOOKUP(FK11*DAY(EOMONTH(EV11,0))/(DAY(EW11)-DAY(EV11)+1),$H$184:$I$189))))</f>
        <v/>
      </c>
      <c r="FN11" s="457">
        <f t="shared" si="64"/>
        <v>1</v>
      </c>
    </row>
    <row r="12" spans="1:170">
      <c r="A12" s="13">
        <v>10601</v>
      </c>
      <c r="B12" s="13">
        <v>400</v>
      </c>
      <c r="C12" s="13">
        <v>475</v>
      </c>
      <c r="D12" s="13">
        <v>550</v>
      </c>
      <c r="E12" s="38">
        <v>0</v>
      </c>
      <c r="F12" s="159" t="s">
        <v>1536</v>
      </c>
      <c r="H12" s="744">
        <f>Main!$BK$29</f>
        <v>42795</v>
      </c>
      <c r="I12" s="169">
        <f>IF(Main!$C$26="UGC",$D$51,$C$51)</f>
        <v>0</v>
      </c>
      <c r="J12" s="457">
        <f>$B$51</f>
        <v>0</v>
      </c>
      <c r="K12" s="494">
        <f t="shared" si="65"/>
        <v>42339</v>
      </c>
      <c r="L12" s="495">
        <f t="shared" si="82"/>
        <v>42339</v>
      </c>
      <c r="M12" s="484">
        <f>IF(L12="","",MIN(EOMONTH(L12,0),VLOOKUP(L12,'IN RPS-2015'!$O$164:$P$202,2,TRUE)-1,LOOKUP(L12,$E$47:$F$53)-1,IF(L12&lt;$B$2,$B$2-1,'IN RPS-2015'!$Q$9),IF(L12&lt;$B$3,$B$3-1,'IN RPS-2015'!$Q$9),IF(L12&lt;$B$4,$B$4-1,'IN RPS-2015'!$Q$9),LOOKUP(L12,$H$47:$I$53)))</f>
        <v>42369</v>
      </c>
      <c r="N12" s="496">
        <f>IF(L12="","",VLOOKUP(L12,'Advance Tax'!$A$3:$C$14,3))</f>
        <v>55410</v>
      </c>
      <c r="O12" s="497">
        <f t="shared" si="52"/>
        <v>55410</v>
      </c>
      <c r="P12" s="497">
        <f>IF(L12="","",ROUND(IF(AD12=3,0,IF(AD12=2,IF(N12=VLOOKUP(N12,'IN RPS-2015'!$I$2:$J$5,1),0,Main!$H$9)/2,IF(N12=VLOOKUP(N12,'IN RPS-2015'!$I$2:$J$5,1),0,Main!$H$9)))*(DAY(M12)-DAY(L12)+1)/DAY(EOMONTH(L12,0)),0))</f>
        <v>105</v>
      </c>
      <c r="Q12" s="457">
        <f>IF(L12="","",IF(N12=VLOOKUP(N12,'IN RPS-2015'!$I$2:$J$5,1),0,ROUND(O12*IF(L12&lt;Main!$C$27,VLOOKUP(L12,$H$9:$J$12,3),VLOOKUP(L12,$H$9:$J$12,2))%,0)))</f>
        <v>4936</v>
      </c>
      <c r="R12" s="457">
        <f>IF(L12="","",IF(OR(AD12=3,N12=VLOOKUP(N12,'IN RPS-2015'!$I$2:$J$5,1)),0,ROUND(MIN(ROUND(N12*VLOOKUP(L12,$B$1:$G$4,2)%,0),VLOOKUP(L12,$B$2:$I$4,IF(L12&lt;$G$7,7,8),TRUE))*(DAY(M12)-DAY(L12)+1)/DAY(EOMONTH(L12,0)),0)))</f>
        <v>11082</v>
      </c>
      <c r="S12" s="486">
        <f>IF(L12="","",IF(Main!$C$26="UGC",0,IF(OR(L12&lt;DATE(2010,4,1),$I$6=VLOOKUP(L12,$B$2:$G$4,5,TRUE),N12=VLOOKUP(N12,'IN RPS-2015'!$I$2:$J$5,1)),0,ROUND(IF(AD12=3,0,IF(AD12=2,MIN(ROUND(N12*$G$13%,0),IF(L12&lt;$J$152,$G$14,$G$15))/2,MIN(ROUND(N12*$G$13%,0),IF(L12&lt;$J$152,$G$14,$G$15))))*(DAY(M12)-DAY(L12)+1)/DAY(EOMONTH(L12,0)),0))))</f>
        <v>0</v>
      </c>
      <c r="T12" s="457">
        <f>IF(L12="","",IF(Main!$C$26="UGC",0,IF(N12=VLOOKUP(N12,'IN RPS-2015'!$I$2:$J$5,1),0,ROUND(O12*VLOOKUP(L12,$H$205:$I$206,2)%,0))))</f>
        <v>0</v>
      </c>
      <c r="U12" s="457">
        <f>IF(L12="","",IF(Main!$C$26="UGC",0,IF(L12&lt;DATE(2010,4,1),0,IF(OR(AD12=2,AD12=3,N12=VLOOKUP(N12,'IN RPS-2015'!$I$2:$J$5,1)),0,ROUND(IF(L12&lt;$J$152,VLOOKUP(L12,$B$1:$G$4,4),VLOOKUP(VLOOKUP(L12,$B$1:$G$4,4),Main!$CE$2:$CF$5,2,FALSE))*(DAY(M12)-DAY(L12)+1)/DAY(EOMONTH(L12,0)),0)))))</f>
        <v>0</v>
      </c>
      <c r="V12" s="457">
        <f>IF(L12="","",IF(OR(AD12=2,AD12=3,$D$31=$D$28,N12=VLOOKUP(N12,'IN RPS-2015'!$I$2:$J$5,1)),0,ROUND(MIN(VLOOKUP(K12,$A$27:$C$29,2,TRUE),ROUND(N12*VLOOKUP(K12,$A$27:$C$29,3,TRUE)%,0))*IF(K12=$A$36,$C$36,IF(K12=$A$37,$C$37,IF(K12=$A$38,$C$38,IF(K12=$A$39,$C$39,IF(K12=$A$40,$C$40,IF(K12=$A$41,$C$41,1))))))*(DAY(M12)-DAY(L12)+1)/DAY(EOMONTH(L12,0)),0)))</f>
        <v>1350</v>
      </c>
      <c r="W12" s="457">
        <f>IF(L12="","",IF(Main!$C$26="UGC",0,IF(OR(AD12=3,N12=VLOOKUP(N12,'IN RPS-2015'!$I$2:$J$5,1)),0,ROUND(IF(AD12=2,VLOOKUP(N12,IF(L12&lt;$G$7,$A$20:$E$23,$F$144:$J$147),IF($B$19=VLOOKUP(L12,$B$2:$G$4,3,TRUE),2,IF($C$19=VLOOKUP(L12,$B$2:$G$4,3,TRUE),3,IF($D$19=VLOOKUP(L12,$B$2:$G$4,3,TRUE),4,5))),TRUE),VLOOKUP(N12,IF(L12&lt;$G$7,$A$20:$E$23,$F$144:$J$147),IF($B$19=VLOOKUP(L12,$B$2:$G$4,3,TRUE),2,IF($C$19=VLOOKUP(L12,$B$2:$G$4,3,TRUE),3,IF($D$19=VLOOKUP(L12,$B$2:$G$4,3,TRUE),4,5))),TRUE))*(DAY(M12)-DAY(L12)+1)/DAY(EOMONTH(L12,0)),0))))</f>
        <v>500</v>
      </c>
      <c r="X12" s="457">
        <f>IF(L12="","",IF(Main!$C$26="UGC",0,IF(OR(K12&lt;DATE(2010,4,1),AD12=3,N12=VLOOKUP(N12,'IN RPS-2015'!$I$2:$J$5,1)),0,ROUND(IF(AD12=2,IF(L12&lt;$J$152,Main!$L$9,Main!$CI$3)/2,IF(L12&lt;$J$152,Main!$L$9,Main!$CI$3))*(DAY(M12)-DAY(L12)+1)/DAY(EOMONTH(L12,0)),0))))</f>
        <v>0</v>
      </c>
      <c r="Y12" s="497"/>
      <c r="Z12" s="457">
        <f>IF(L12="","",IF(Main!$C$26="UGC",0,IF(OR(AD12=3,N12=VLOOKUP(N12,'IN RPS-2015'!$I$2:$J$5,1)),0,ROUND(IF(AD12=2,VLOOKUP(O12,IF(L12&lt;$J$152,$A$154:$E$159,$F$154:$J$159),IF($B$10=VLOOKUP(K12,$B$2:$G$4,6,TRUE),2,IF($B$10=VLOOKUP(K12,$B$2:$G$4,6,TRUE),3,IF($D$10=VLOOKUP(K12,$B$2:$G$4,6,TRUE),4,5))))/2,VLOOKUP(O12,IF(L12&lt;$J$152,$A$154:$E$159,$F$154:$J$159),IF($B$10=VLOOKUP(K12,$B$2:$G$4,6,TRUE),2,IF($B$10=VLOOKUP(K12,$B$2:$G$4,6,TRUE),3,IF($D$10=VLOOKUP(K12,$B$2:$G$4,6,TRUE),4,5)))))*(DAY(M12)-DAY(L12)+1)/DAY(EOMONTH(L12,0)),0))))</f>
        <v>0</v>
      </c>
      <c r="AA12" s="497">
        <f t="shared" si="83"/>
        <v>73383</v>
      </c>
      <c r="AB12" s="497"/>
      <c r="AC12" s="497"/>
      <c r="AD12" s="497">
        <f t="shared" si="53"/>
        <v>1</v>
      </c>
      <c r="AE12" s="497"/>
      <c r="AF12" s="613">
        <f>AF7</f>
        <v>42795</v>
      </c>
      <c r="AG12" s="457">
        <v>0</v>
      </c>
      <c r="AH12" s="461"/>
      <c r="AI12" s="499" t="str">
        <f t="shared" si="54"/>
        <v/>
      </c>
      <c r="AJ12" s="500" t="str">
        <f t="shared" si="84"/>
        <v/>
      </c>
      <c r="AK12" s="484" t="str">
        <f>IF(AJ12="","",MIN(EOMONTH(AJ12,0),VLOOKUP(AJ12,'IN RPS-2015'!$O$164:$P$202,2,TRUE)-1,LOOKUP(AJ12,$E$47:$F$53)-1,IF(AJ12&lt;$B$2,$B$2-1,'IN RPS-2015'!$Q$9),IF(AJ12&lt;$B$3,$B$3-1,'IN RPS-2015'!$Q$9),IF(AJ12&lt;$B$4,$B$4-1,'IN RPS-2015'!$Q$9),LOOKUP(AJ12,$H$47:$I$53)))</f>
        <v/>
      </c>
      <c r="AL12" s="490" t="str">
        <f>IF(AJ12="","",VLOOKUP(AJ12,'IN RPS-2015'!$P$164:$AA$202,9))</f>
        <v/>
      </c>
      <c r="AM12" s="461" t="str">
        <f t="shared" si="66"/>
        <v/>
      </c>
      <c r="AN12" s="461" t="str">
        <f>IF(AJ12="","",IF(AND($AG$3=$AG$1,AJ12&lt;=$AZ$1),0,ROUND(IF(BB12=3,0,IF(BB12=2,IF(AL12=VLOOKUP(AL12,'IN RPS-2015'!$I$2:$J$5,1),0,Main!$H$9)/2,IF(AL12=VLOOKUP(AL12,'IN RPS-2015'!$I$2:$J$5,1),0,Main!$H$9)))*(DAY(AK12)-DAY(AJ12)+1)/DAY(EOMONTH(AJ12,0)),0)))</f>
        <v/>
      </c>
      <c r="AO12" s="461" t="str">
        <f>IF(AJ12="","",IF(AND($AG$3=$AG$1,AJ12&lt;=$AZ$1),0,IF(AL12=VLOOKUP(AL12,'IN RPS-2015'!$I$2:$J$5,1),0,ROUND(AM12*VLOOKUP(AJ12,$AF$4:$AG$7,2)%,0))))</f>
        <v/>
      </c>
      <c r="AP12" s="461" t="str">
        <f>IF(AJ12="","",IF(AND($AG$3=$AG$1,AJ12&lt;=$AZ$1),0,IF(OR(BB12=3,AL12=VLOOKUP(AL12,'IN RPS-2015'!$I$2:$J$5,1)),0,ROUND(MIN(ROUND(AL12*VLOOKUP(AJ12,$B$1:$G$4,2)%,0),VLOOKUP(AJ12,$B$2:$I$4,IF($AG$3=$I$29,7,8),TRUE))*(DAY(AK12)-DAY(AJ12)+1)/DAY(EOMONTH(AJ12,0)),0))))</f>
        <v/>
      </c>
      <c r="AQ12" s="491" t="str">
        <f>IF(AJ12="","",IF(AND($AG$3=$AG$1,AJ12&lt;=$AZ$1),0,IF(Main!$C$26="UGC",0,IF(OR(AJ12&lt;DATE(2010,4,1),$I$6=VLOOKUP(AJ12,$B$2:$G$4,5,TRUE),AL12=VLOOKUP(AL12,'IN RPS-2015'!$I$2:$J$5,1)),0,ROUND(IF(BB12=3,0,IF(BB12=2,MIN(ROUND(AL12*$G$13%,0),IF(AJ12&lt;$J$152,$G$14,$G$15))/2,MIN(ROUND(AL12*$G$13%,0),IF(AJ12&lt;$J$152,$G$14,$G$15))))*(DAY(AK12)-DAY(AJ12)+1)/DAY(EOMONTH(AJ12,0)),0)))))</f>
        <v/>
      </c>
      <c r="AR12" s="461" t="str">
        <f>IF(AJ12="","",IF(AND($AG$3=$AG$1,AJ12&lt;=$AZ$1),0,IF(Main!$C$26="UGC",0,IF(AL12=VLOOKUP(AL12,'IN RPS-2015'!$I$2:$J$5,1),0,ROUND(AM12*VLOOKUP(AJ12,$AF$11:$AG$12,2)%,0)))))</f>
        <v/>
      </c>
      <c r="AS12" s="461" t="str">
        <f>IF(AJ12="","",IF(AND($AG$3=$AG$1,AJ12&lt;=$AZ$1),0,IF(Main!$C$26="UGC",0,IF(AJ12&lt;DATE(2010,4,1),0,IF(OR(BB12=2,BB12=3,AL12=VLOOKUP(AL12,'IN RPS-2015'!$I$2:$J$5,1)),0,ROUND(IF(AJ12&lt;$J$152,VLOOKUP(AJ12,$B$1:$G$4,4),VLOOKUP(VLOOKUP(AJ12,$B$1:$G$4,4),Main!$CE$2:$CF$5,2,FALSE))*(DAY(AK12)-DAY(AJ12)+1)/DAY(EOMONTH(AJ12,0)),0))))))</f>
        <v/>
      </c>
      <c r="AT12" s="461" t="str">
        <f>IF(AJ12="","",IF(AND($AG$3=$AG$1,AJ12&lt;=$AZ$1),0,IF(OR(BB12=2,BB12=3,$D$31=$D$28,AL12=VLOOKUP(AL12,'IN RPS-2015'!$I$2:$J$5,1)),0,ROUND(MIN(VLOOKUP(AI12,$A$27:$C$29,2,TRUE),ROUND(AL12*VLOOKUP(AI12,$A$27:$C$29,3,TRUE)%,0))*IF(AI12=$A$36,$C$36,IF(AI12=$A$37,$C$37,IF(AI12=$A$38,$C$38,IF(AI12=$A$39,$C$39,IF(AI12=$A$40,$C$40,IF(AI12=$A$41,$C$41,1))))))*(DAY(AK12)-DAY(AJ12)+1)/DAY(EOMONTH(AJ12,0)),0))))</f>
        <v/>
      </c>
      <c r="AU12" s="461" t="str">
        <f>IF(AJ12="","",IF(AND($AG$3=$AG$1,AJ12&lt;=$AZ$1),0,IF(Main!$C$26="UGC",0,IF(OR(BB12=3,AL12=VLOOKUP(AL12,'IN RPS-2015'!$I$2:$J$5,1)),0,ROUND(IF(BB12=2,VLOOKUP(AL12,IF($AG$3=$I$29,$A$20:$E$23,$F$144:$J$147),IF($B$19=VLOOKUP(AJ12,$B$2:$G$4,3,TRUE),2,IF($C$19=VLOOKUP(AJ12,$B$2:$G$4,3,TRUE),3,IF($D$19=VLOOKUP(AJ12,$B$2:$G$4,3,TRUE),4,5))),TRUE),VLOOKUP(AL12,IF($AG$3=$I$29,$A$20:$E$23,$F$144:$J$147),IF($B$19=VLOOKUP(AJ12,$B$2:$G$4,3,TRUE),2,IF($C$19=VLOOKUP(AJ12,$B$2:$G$4,3,TRUE),3,IF($D$19=VLOOKUP(AJ12,$B$2:$G$4,3,TRUE),4,5))),TRUE))*(DAY(AK12)-DAY(AJ12)+1)/DAY(EOMONTH(AJ12,0)),0)))))</f>
        <v/>
      </c>
      <c r="AV12" s="461" t="str">
        <f>IF(AJ12="","",IF(AND($AG$3=$AG$1,AJ12&lt;=$AZ$1),0,IF(Main!$C$26="UGC",0,IF(OR(AI12&lt;DATE(2010,4,1),BB12=3,AL12=VLOOKUP(AL12,'IN RPS-2015'!$I$2:$J$5,1)),0,ROUND(IF(BB12=2,IF(AJ12&lt;$J$152,Main!$L$9,Main!$CI$3)/2,IF(AJ12&lt;$J$152,Main!$L$9,Main!$CI$3))*(DAY(AK12)-DAY(AJ12)+1)/DAY(EOMONTH(AJ12,0)),0)))))</f>
        <v/>
      </c>
      <c r="AW12" s="461"/>
      <c r="AX12" s="461" t="str">
        <f>IF(AJ12="","",IF(AND($AG$3=$AG$1,AJ12&lt;=$AZ$1),0,IF(Main!$C$26="UGC",0,IF(OR(BB12=3,AL12=VLOOKUP(AL12,'IN RPS-2015'!$I$2:$J$5,1)),0,ROUND(IF(BB12=2,VLOOKUP(AM12,IF(AJ12&lt;$J$152,$A$154:$E$159,$F$154:$J$159),IF($B$10=VLOOKUP(AI12,$B$2:$G$4,6,TRUE),2,IF($B$10=VLOOKUP(AI12,$B$2:$G$4,6,TRUE),3,IF($D$10=VLOOKUP(AI12,$B$2:$G$4,6,TRUE),4,5))))/2,VLOOKUP(AM12,IF(AJ12&lt;$J$152,$A$154:$E$159,$F$154:$J$159),IF($B$10=VLOOKUP(AI12,$B$2:$G$4,6,TRUE),2,IF($B$10=VLOOKUP(AI12,$B$2:$G$4,6,TRUE),3,IF($D$10=VLOOKUP(AI12,$B$2:$G$4,6,TRUE),4,5)))))*(DAY(AK12)-DAY(AJ12)+1)/DAY(EOMONTH(AJ12,0)),0)))))</f>
        <v/>
      </c>
      <c r="AY12" s="461">
        <f t="shared" si="67"/>
        <v>0</v>
      </c>
      <c r="AZ12" s="464" t="str">
        <f>IF(AJ12="","",IF(AND($AG$3=$AG$1,AJ12&lt;=$AZ$1),0,IF(AND(Main!$F$22=Main!$CA$24,AJ12&gt;$AZ$1),ROUND(SUM(AM12,AO12)*10%,0),"")))</f>
        <v/>
      </c>
      <c r="BA12" s="464" t="str">
        <f>IF(AI12="","",IF(AND($AG$3=$AG$1,AJ12&lt;=$AZ$1),0,IF(OR(Main!$H$10=Main!$BH$4,Main!$H$10=Main!$BH$5),0,LOOKUP(AY12*DAY(EOMONTH(AJ12,0))/(DAY(AK12)-DAY(AJ12)+1),$H$184:$I$189))))</f>
        <v/>
      </c>
      <c r="BB12" s="497">
        <f t="shared" si="55"/>
        <v>1</v>
      </c>
      <c r="BC12" s="464"/>
      <c r="BD12" s="501" t="str">
        <f t="shared" si="56"/>
        <v/>
      </c>
      <c r="BE12" s="502" t="str">
        <f t="shared" si="85"/>
        <v/>
      </c>
      <c r="BF12" s="484" t="str">
        <f>IF(BE12="","",MIN(EOMONTH(BE12,0),VLOOKUP(BE12,'IN RPS-2015'!$O$164:$P$202,2,TRUE)-1,LOOKUP(BE12,$E$47:$F$53)-1,IF(BE12&lt;$B$2,$B$2-1,'IN RPS-2015'!$Q$9),IF(BE12&lt;$B$3,$B$3-1,'IN RPS-2015'!$Q$9),IF(BE12&lt;$B$4,$B$4-1,'IN RPS-2015'!$Q$9),LOOKUP(BE12,$H$47:$I$53)))</f>
        <v/>
      </c>
      <c r="BG12" s="493" t="str">
        <f>IF(BE12="","",VLOOKUP(BE12,'IN RPS-2015'!$P$164:$AA$202,10))</f>
        <v/>
      </c>
      <c r="BH12" s="461" t="str">
        <f t="shared" si="68"/>
        <v/>
      </c>
      <c r="BI12" s="461" t="str">
        <f>IF(BE12="","",IF(AND($AG$3=$AG$1,BE12&lt;=$AZ$1),0,ROUND(IF(BW12=3,0,IF(BW12=2,IF(BG12=VLOOKUP(BG12,'IN RPS-2015'!$I$2:$J$5,1),0,Main!$H$9)/2,IF(BG12=VLOOKUP(BG12,'IN RPS-2015'!$I$2:$J$5,1),0,Main!$H$9)))*(DAY(BF12)-DAY(BE12)+1)/DAY(EOMONTH(BE12,0)),0)))</f>
        <v/>
      </c>
      <c r="BJ12" s="461" t="str">
        <f>IF(BE12="","",IF(AND($AG$3=$AG$1,BE12&lt;=$AZ$1),0,IF(BG12=VLOOKUP(BG12,'IN RPS-2015'!$I$2:$J$5,1),0,ROUND(BH12*VLOOKUP(BE12,$AF$4:$AG$7,2)%,0))))</f>
        <v/>
      </c>
      <c r="BK12" s="461" t="str">
        <f>IF(BE12="","",IF(AND($AG$3=$AG$1,BE12&lt;=$AZ$1),0,IF(OR(BW12=3,BG12=VLOOKUP(BG12,'IN RPS-2015'!$I$2:$J$5,1)),0,ROUND(MIN(ROUND(BG12*VLOOKUP(BE12,$B$1:$G$4,2)%,0),VLOOKUP(BE12,$B$2:$I$4,IF($AG$3=$I$29,7,8),TRUE))*(DAY(BF12)-DAY(BE12)+1)/DAY(EOMONTH(BE12,0)),0))))</f>
        <v/>
      </c>
      <c r="BL12" s="491" t="str">
        <f>IF(BE12="","",IF(AND($AG$3=$AG$1,BE12&lt;=$AZ$1),0,IF(Main!$C$26="UGC",0,IF(OR(BE12&lt;DATE(2010,4,1),$I$6=VLOOKUP(BE12,$B$2:$G$4,5,TRUE),BG12=VLOOKUP(BG12,'IN RPS-2015'!$I$2:$J$5,1)),0,ROUND(IF(BW12=3,0,IF(BW12=2,MIN(ROUND(BG12*$G$13%,0),IF(BE12&lt;$J$152,$G$14,$G$15))/2,MIN(ROUND(BG12*$G$13%,0),IF(BE12&lt;$J$152,$G$14,$G$15))))*(DAY(BF12)-DAY(BE12)+1)/DAY(EOMONTH(BE12,0)),0)))))</f>
        <v/>
      </c>
      <c r="BM12" s="461" t="str">
        <f>IF(BE12="","",IF(AND($AG$3=$AG$1,BE12&lt;=$AZ$1),0,IF(Main!$C$26="UGC",0,IF(BG12=VLOOKUP(BG12,'IN RPS-2015'!$I$2:$J$5,1),0,ROUND(BH12*VLOOKUP(BE12,$AF$11:$AG$12,2)%,0)))))</f>
        <v/>
      </c>
      <c r="BN12" s="461" t="str">
        <f>IF(BE12="","",IF(AND($AG$3=$AG$1,BE12&lt;=$AZ$1),0,IF(Main!$C$26="UGC",0,IF(BE12&lt;DATE(2010,4,1),0,IF(OR(BW12=2,BW12=3,BG12=VLOOKUP(BG12,'IN RPS-2015'!$I$2:$J$5,1)),0,ROUND(IF(BE12&lt;$J$152,VLOOKUP(BE12,$B$1:$G$4,4),VLOOKUP(VLOOKUP(BE12,$B$1:$G$4,4),Main!$CE$2:$CF$5,2,FALSE))*(DAY(BF12)-DAY(BE12)+1)/DAY(EOMONTH(BE12,0)),0))))))</f>
        <v/>
      </c>
      <c r="BO12" s="461" t="str">
        <f>IF(BE12="","",IF(AND($AG$3=$AG$1,BE12&lt;=$AZ$1),0,IF(OR(BW12=2,BW12=3,$D$31=$D$28,BG12=VLOOKUP(BG12,'IN RPS-2015'!$I$2:$J$5,1)),0,ROUND(MIN(VLOOKUP(BD12,$A$27:$C$29,2,TRUE),ROUND(BG12*VLOOKUP(BD12,$A$27:$C$29,3,TRUE)%,0))*IF(BD12=$A$36,$C$36,IF(BD12=$A$37,$C$37,IF(BD12=$A$38,$C$38,IF(BD12=$A$39,$C$39,IF(BD12=$A$40,$C$40,IF(BD12=$A$41,$C$41,1))))))*(DAY(BF12)-DAY(BE12)+1)/DAY(EOMONTH(BE12,0)),0))))</f>
        <v/>
      </c>
      <c r="BP12" s="461" t="str">
        <f>IF(BE12="","",IF(AND($AG$3=$AG$1,BE12&lt;=$AZ$1),0,IF(Main!$C$26="UGC",0,IF(OR(BW12=3,BG12=VLOOKUP(BG12,'IN RPS-2015'!$I$2:$J$5,1)),0,ROUND(IF(BW12=2,VLOOKUP(BG12,IF($AG$3=$I$29,$A$20:$E$23,$F$144:$J$147),IF($B$19=VLOOKUP(BE12,$B$2:$G$4,3,TRUE),2,IF($C$19=VLOOKUP(BE12,$B$2:$G$4,3,TRUE),3,IF($D$19=VLOOKUP(BE12,$B$2:$G$4,3,TRUE),4,5))),TRUE),VLOOKUP(BG12,IF($AG$3=$I$29,$A$20:$E$23,$F$144:$J$147),IF($B$19=VLOOKUP(BE12,$B$2:$G$4,3,TRUE),2,IF($C$19=VLOOKUP(BE12,$B$2:$G$4,3,TRUE),3,IF($D$19=VLOOKUP(BE12,$B$2:$G$4,3,TRUE),4,5))),TRUE))*(DAY(BF12)-DAY(BE12)+1)/DAY(EOMONTH(BE12,0)),0)))))</f>
        <v/>
      </c>
      <c r="BQ12" s="461" t="str">
        <f>IF(BE12="","",IF(AND($AG$3=$AG$1,BE12&lt;=$AZ$1),0,IF(Main!$C$26="UGC",0,IF(OR(BD12&lt;DATE(2010,4,1),BW12=3,BG12=VLOOKUP(BG12,'IN RPS-2015'!$I$2:$J$5,1)),0,ROUND(IF(BW12=2,IF(BE12&lt;$J$152,Main!$L$9,Main!$CI$3)/2,IF(BE12&lt;$J$152,Main!$L$9,Main!$CI$3))*(DAY(BF12)-DAY(BE12)+1)/DAY(EOMONTH(BE12,0)),0)))))</f>
        <v/>
      </c>
      <c r="BR12" s="461"/>
      <c r="BS12" s="461" t="str">
        <f>IF(BE12="","",IF(AND($AG$3=$AG$1,BE12&lt;=$AZ$1),0,IF(Main!$C$26="UGC",0,IF(OR(BW12=3,BG12=VLOOKUP(BG12,'IN RPS-2015'!$I$2:$J$5,1)),0,ROUND(IF(BW12=2,VLOOKUP(BH12,IF(BE12&lt;$J$152,$A$154:$E$159,$F$154:$J$159),IF($B$10=VLOOKUP(BD12,$B$2:$G$4,6,TRUE),2,IF($B$10=VLOOKUP(BD12,$B$2:$G$4,6,TRUE),3,IF($D$10=VLOOKUP(BD12,$B$2:$G$4,6,TRUE),4,5))))/2,VLOOKUP(BH12,IF(BE12&lt;$J$152,$A$154:$E$159,$F$154:$J$159),IF($B$10=VLOOKUP(BD12,$B$2:$G$4,6,TRUE),2,IF($B$10=VLOOKUP(BD12,$B$2:$G$4,6,TRUE),3,IF($D$10=VLOOKUP(BD12,$B$2:$G$4,6,TRUE),4,5)))))*(DAY(BF12)-DAY(BE12)+1)/DAY(EOMONTH(BE12,0)),0)))))</f>
        <v/>
      </c>
      <c r="BT12" s="461">
        <f t="shared" si="69"/>
        <v>0</v>
      </c>
      <c r="BU12" s="464" t="str">
        <f>IF(BE12="","",IF(AND($AG$3=$AG$1,BE12&lt;=$AZ$1),0,IF(AND(Main!$F$22=Main!$CA$24,BE12&gt;$AZ$1),ROUND(SUM(BH12,BJ12)*10%,0),"")))</f>
        <v/>
      </c>
      <c r="BV12" s="464" t="str">
        <f>IF(BD12="","",IF(AND($AG$3=$AG$1,BE12&lt;=$AZ$1),0,IF(OR(Main!$H$10=Main!$BH$4,Main!$H$10=Main!$BH$5),0,LOOKUP(BT12*DAY(EOMONTH(BE12,0))/(DAY(BF12)-DAY(BE12)+1),$H$184:$I$189))))</f>
        <v/>
      </c>
      <c r="BW12" s="503">
        <f t="shared" si="70"/>
        <v>1</v>
      </c>
      <c r="BX12" s="457">
        <f t="shared" si="71"/>
        <v>0</v>
      </c>
      <c r="BY12" s="497"/>
      <c r="BZ12" s="613">
        <f>BZ7</f>
        <v>42795</v>
      </c>
      <c r="CA12" s="457">
        <v>0</v>
      </c>
      <c r="CB12" s="461"/>
      <c r="CC12" s="499" t="str">
        <f t="shared" si="57"/>
        <v/>
      </c>
      <c r="CD12" s="500" t="str">
        <f t="shared" si="86"/>
        <v/>
      </c>
      <c r="CE12" s="484" t="str">
        <f>IF(CD12="","",MIN(EOMONTH(CD12,0),VLOOKUP(CD12,'IN RPS-2015'!$O$164:$P$202,2,TRUE)-1,LOOKUP(CD12,$E$47:$F$53)-1,IF(CD12&lt;$B$2,$B$2-1,'IN RPS-2015'!$Q$9),IF(CD12&lt;$B$3,$B$3-1,'IN RPS-2015'!$Q$9),IF(CD12&lt;$B$4,$B$4-1,'IN RPS-2015'!$Q$9),LOOKUP(CD12,$H$47:$I$53)))</f>
        <v/>
      </c>
      <c r="CF12" s="490" t="str">
        <f>IF(CD12="","",VLOOKUP(CD12,'IN RPS-2015'!$T$207:$Y$222,5))</f>
        <v/>
      </c>
      <c r="CG12" s="461" t="str">
        <f t="shared" si="72"/>
        <v/>
      </c>
      <c r="CH12" s="461" t="str">
        <f>IF(CD12="","",IF(AND($CA$3=$CA$1,CD12&lt;=$CT$1),0,ROUND(IF(CV12=3,0,IF(CV12=2,IF(CF12=VLOOKUP(CF12,'IN RPS-2015'!$I$2:$J$5,1),0,Main!$H$9)/2,IF(CF12=VLOOKUP(CF12,'IN RPS-2015'!$I$2:$J$5,1),0,Main!$H$9)))*(DAY(CE12)-DAY(CD12)+1)/DAY(EOMONTH(CD12,0)),0)))</f>
        <v/>
      </c>
      <c r="CI12" s="461" t="str">
        <f>IF(CD12="","",IF(AND($CA$3=$CA$1,CD12&lt;=$CT$1),0,IF(CF12=VLOOKUP(CF12,'IN RPS-2015'!$I$2:$J$5,1),0,ROUND(CG12*VLOOKUP(CD12,$BZ$4:$CA$7,2)%,0))))</f>
        <v/>
      </c>
      <c r="CJ12" s="461" t="str">
        <f>IF(CD12="","",IF(AND($CA$3=$CA$1,CD12&lt;=$CT$1),0,IF(OR(CV12=3,CF12=VLOOKUP(CF12,'IN RPS-2015'!$I$2:$J$5,1)),0,ROUND(MIN(ROUND(CF12*VLOOKUP(CD12,$B$1:$G$4,2)%,0),VLOOKUP(CD12,$B$2:$I$4,IF($CA$3=$I$29,7,8),TRUE))*(DAY(CE12)-DAY(CD12)+1)/DAY(EOMONTH(CD12,0)),0))))</f>
        <v/>
      </c>
      <c r="CK12" s="491" t="str">
        <f>IF(CD12="","",IF(AND($CA$3=$CA$1,CD12&lt;=$CT$1),0,IF(Main!$C$26="UGC",0,IF(OR(CD12&lt;DATE(2010,4,1),$I$6=VLOOKUP(CD12,$B$2:$G$4,5,TRUE),CF12=VLOOKUP(CF12,'IN RPS-2015'!$I$2:$J$5,1)),0,ROUND(IF(CV12=3,0,IF(CV12=2,MIN(ROUND(CF12*$G$13%,0),IF(CD12&lt;$J$152,$G$14,$G$15))/2,MIN(ROUND(CF12*$G$13%,0),IF(CD12&lt;$J$152,$G$14,$G$15))))*(DAY(CE12)-DAY(CD12)+1)/DAY(EOMONTH(CD12,0)),0)))))</f>
        <v/>
      </c>
      <c r="CL12" s="461" t="str">
        <f>IF(CD12="","",IF(AND($CA$3=$CA$1,CD12&lt;=$CT$1),0,IF(Main!$C$26="UGC",0,IF(CF12=VLOOKUP(CF12,'IN RPS-2015'!$I$2:$J$5,1),0,ROUND(CG12*VLOOKUP(CD12,$BZ$11:$CA$12,2)%,0)))))</f>
        <v/>
      </c>
      <c r="CM12" s="461" t="str">
        <f>IF(CD12="","",IF(AND($CA$3=$CA$1,CD12&lt;=$CT$1),0,IF(Main!$C$26="UGC",0,IF(CD12&lt;DATE(2010,4,1),0,IF(OR(CV12=2,CV12=3,CF12=VLOOKUP(CF12,'IN RPS-2015'!$I$2:$J$5,1)),0,ROUND(IF(CD12&lt;$J$152,VLOOKUP(CD12,$B$1:$G$4,4),VLOOKUP(VLOOKUP(CD12,$B$1:$G$4,4),Main!$CE$2:$CF$5,2,FALSE))*(DAY(CE12)-DAY(CD12)+1)/DAY(EOMONTH(CD12,0)),0))))))</f>
        <v/>
      </c>
      <c r="CN12" s="461" t="str">
        <f>IF(CD12="","",IF(AND($CA$3=$CA$1,CD12&lt;=$CT$1),0,IF(OR(CV12=2,CV12=3,$D$31=$D$28,CF12=VLOOKUP(CF12,'IN RPS-2015'!$I$2:$J$5,1)),0,ROUND(MIN(VLOOKUP(CC12,$A$27:$C$29,2,TRUE),ROUND(CF12*VLOOKUP(CC12,$A$27:$C$29,3,TRUE)%,0))*IF(CC12=$A$36,$C$36,IF(CC12=$A$37,$C$37,IF(CC12=$A$38,$C$38,IF(CC12=$A$39,$C$39,IF(CC12=$A$40,$C$40,IF(CC12=$A$41,$C$41,1))))))*(DAY(CE12)-DAY(CD12)+1)/DAY(EOMONTH(CD12,0)),0))))</f>
        <v/>
      </c>
      <c r="CO12" s="461" t="str">
        <f>IF(CD12="","",IF(AND($CA$3=$CA$1,CD12&lt;=$CT$1),0,IF(Main!$C$26="UGC",0,IF(OR(CV12=3,CF12=VLOOKUP(CF12,'IN RPS-2015'!$I$2:$J$5,1)),0,ROUND(IF(CV12=2,VLOOKUP(CF12,IF($CA$3=$I$29,$A$20:$E$23,$F$144:$J$147),IF($B$19=VLOOKUP(CD12,$B$2:$G$4,3,TRUE),2,IF($C$19=VLOOKUP(CD12,$B$2:$G$4,3,TRUE),3,IF($D$19=VLOOKUP(CD12,$B$2:$G$4,3,TRUE),4,5))),TRUE),VLOOKUP(CF12,IF($CA$3=$I$29,$A$20:$E$23,$F$144:$J$147),IF($B$19=VLOOKUP(CD12,$B$2:$G$4,3,TRUE),2,IF($C$19=VLOOKUP(CD12,$B$2:$G$4,3,TRUE),3,IF($D$19=VLOOKUP(CD12,$B$2:$G$4,3,TRUE),4,5))),TRUE))*(DAY(CE12)-DAY(CD12)+1)/DAY(EOMONTH(CD12,0)),0)))))</f>
        <v/>
      </c>
      <c r="CP12" s="461" t="str">
        <f>IF(CD12="","",IF(AND($CA$3=$CA$1,CD12&lt;=$CT$1),0,IF(Main!$C$26="UGC",0,IF(OR(CC12&lt;DATE(2010,4,1),CV12=3,CF12=VLOOKUP(CF12,'IN RPS-2015'!$I$2:$J$5,1)),0,ROUND(IF(CV12=2,IF(CD12&lt;$J$152,Main!$L$9,Main!$CI$3)/2,IF(CD12&lt;$J$152,Main!$L$9,Main!$CI$3))*(DAY(CE12)-DAY(CD12)+1)/DAY(EOMONTH(CD12,0)),0)))))</f>
        <v/>
      </c>
      <c r="CQ12" s="461"/>
      <c r="CR12" s="461" t="str">
        <f>IF(CD12="","",IF(AND($CA$3=$CA$1,CD12&lt;=$CT$1),0,IF(Main!$C$26="UGC",0,IF(OR(CV12=3,CF12=VLOOKUP(CF12,'IN RPS-2015'!$I$2:$J$5,1)),0,ROUND(IF(CV12=2,VLOOKUP(CG12,IF(CD12&lt;$J$152,$A$154:$E$159,$F$154:$J$159),IF($B$10=VLOOKUP(CC12,$B$2:$G$4,6,TRUE),2,IF($B$10=VLOOKUP(CC12,$B$2:$G$4,6,TRUE),3,IF($D$10=VLOOKUP(CC12,$B$2:$G$4,6,TRUE),4,5))))/2,VLOOKUP(CG12,IF(CD12&lt;$J$152,$A$154:$E$159,$F$154:$J$159),IF($B$10=VLOOKUP(CC12,$B$2:$G$4,6,TRUE),2,IF($B$10=VLOOKUP(CC12,$B$2:$G$4,6,TRUE),3,IF($D$10=VLOOKUP(CC12,$B$2:$G$4,6,TRUE),4,5)))))*(DAY(CE12)-DAY(CD12)+1)/DAY(EOMONTH(CD12,0)),0)))))</f>
        <v/>
      </c>
      <c r="CS12" s="461">
        <f t="shared" si="73"/>
        <v>0</v>
      </c>
      <c r="CT12" s="464" t="str">
        <f>IF(CD12="","",IF(AND($CA$3=$CA$1,CD12&lt;=$CT$1),0,IF(AND(Main!$F$22=Main!$CA$24,CD12&gt;$CT$1),ROUND(SUM(CG12,CI12)*10%,0),"")))</f>
        <v/>
      </c>
      <c r="CU12" s="464" t="str">
        <f>IF(CC12="","",IF(CG12=0,0,IF(OR(Main!$H$10=Main!$BH$4,Main!$H$10=Main!$BH$5),0,LOOKUP(CS12*DAY(EOMONTH(CD12,0))/(DAY(CE12)-DAY(CD12)+1),$H$184:$I$189))))</f>
        <v/>
      </c>
      <c r="CV12" s="457">
        <f t="shared" si="74"/>
        <v>1</v>
      </c>
      <c r="CW12" s="464"/>
      <c r="CX12" s="501" t="str">
        <f t="shared" si="59"/>
        <v/>
      </c>
      <c r="CY12" s="502" t="str">
        <f t="shared" si="87"/>
        <v/>
      </c>
      <c r="CZ12" s="484" t="str">
        <f>IF(CY12="","",MIN(EOMONTH(CY12,0),VLOOKUP(CY12,'IN RPS-2015'!$O$164:$P$202,2,TRUE)-1,LOOKUP(CY12,$E$47:$F$53)-1,IF(CY12&lt;$B$2,$B$2-1,'IN RPS-2015'!$Q$9),IF(CY12&lt;$B$3,$B$3-1,'IN RPS-2015'!$Q$9),IF(CY12&lt;$B$4,$B$4-1,'IN RPS-2015'!$Q$9),LOOKUP(CY12,$H$47:$I$53)))</f>
        <v/>
      </c>
      <c r="DA12" s="493" t="str">
        <f>IF(CY12="","",VLOOKUP(CY12,'IN RPS-2015'!$T$207:$Y$222,6))</f>
        <v/>
      </c>
      <c r="DB12" s="461" t="str">
        <f t="shared" si="75"/>
        <v/>
      </c>
      <c r="DC12" s="461" t="str">
        <f>IF(CY12="","",IF(AND($CA$3=$CA$1,CY12&lt;=$CT$1),0,ROUND(IF(DQ12=3,0,IF(DQ12=2,IF(DA12=VLOOKUP(DA12,'IN RPS-2015'!$I$2:$J$5,1),0,Main!$H$9)/2,IF(DA12=VLOOKUP(DA12,'IN RPS-2015'!$I$2:$J$5,1),0,Main!$H$9)))*(DAY(CZ12)-DAY(CY12)+1)/DAY(EOMONTH(CY12,0)),0)))</f>
        <v/>
      </c>
      <c r="DD12" s="461" t="str">
        <f>IF(CY12="","",IF(AND($CA$3=$CA$1,CY12&lt;=$CT$1),0,IF(DA12=VLOOKUP(DA12,'IN RPS-2015'!$I$2:$J$5,1),0,ROUND(DB12*VLOOKUP(CY12,$BZ$4:$CA$7,2)%,0))))</f>
        <v/>
      </c>
      <c r="DE12" s="461" t="str">
        <f>IF(CY12="","",IF(AND($CA$3=$CA$1,CY12&lt;=$CT$1),0,IF(OR(DQ12=3,DA12=VLOOKUP(DA12,'IN RPS-2015'!$I$2:$J$5,1)),0,ROUND(MIN(ROUND(DA12*VLOOKUP(CY12,$B$1:$G$4,2)%,0),VLOOKUP(CY12,$B$2:$I$4,IF($CA$3=$I$29,7,8),TRUE))*(DAY(CZ12)-DAY(CY12)+1)/DAY(EOMONTH(CY12,0)),0))))</f>
        <v/>
      </c>
      <c r="DF12" s="491" t="str">
        <f>IF(CY12="","",IF(AND($CA$3=$CA$1,CY12&lt;=$CT$1),0,IF(Main!$C$26="UGC",0,IF(OR(CY12&lt;DATE(2010,4,1),$I$6=VLOOKUP(CY12,$B$2:$G$4,5,TRUE),DA12=VLOOKUP(DA12,'IN RPS-2015'!$I$2:$J$5,1)),0,ROUND(IF(DQ12=3,0,IF(DQ12=2,MIN(ROUND(DA12*$G$13%,0),IF(CY12&lt;$J$152,$G$14,$G$15))/2,MIN(ROUND(DA12*$G$13%,0),IF(CY12&lt;$J$152,$G$14,$G$15))))*(DAY(CZ12)-DAY(CY12)+1)/DAY(EOMONTH(CY12,0)),0)))))</f>
        <v/>
      </c>
      <c r="DG12" s="461" t="str">
        <f>IF(CY12="","",IF(AND($CA$3=$CA$1,CY12&lt;=$CT$1),0,IF(Main!$C$26="UGC",0,IF(DA12=VLOOKUP(DA12,'IN RPS-2015'!$I$2:$J$5,1),0,ROUND(DB12*VLOOKUP(CY12,$BZ$11:$CA$12,2)%,0)))))</f>
        <v/>
      </c>
      <c r="DH12" s="461" t="str">
        <f>IF(CY12="","",IF(AND($CA$3=$CA$1,CY12&lt;=$CT$1),0,IF(Main!$C$26="UGC",0,IF(CY12&lt;DATE(2010,4,1),0,IF(OR(DQ12=2,DQ12=3,DA12=VLOOKUP(DA12,'IN RPS-2015'!$I$2:$J$5,1)),0,ROUND(IF(CY12&lt;$J$152,VLOOKUP(CY12,$B$1:$G$4,4),VLOOKUP(VLOOKUP(CY12,$B$1:$G$4,4),Main!$CE$2:$CF$5,2,FALSE))*(DAY(CZ12)-DAY(CY12)+1)/DAY(EOMONTH(CY12,0)),0))))))</f>
        <v/>
      </c>
      <c r="DI12" s="461" t="str">
        <f>IF(CY12="","",IF(AND($CA$3=$CA$1,CY12&lt;=$CT$1),0,IF(OR(DQ12=2,DQ12=3,$D$31=$D$28,DA12=VLOOKUP(DA12,'IN RPS-2015'!$I$2:$J$5,1)),0,ROUND(MIN(VLOOKUP(CX12,$A$27:$C$29,2,TRUE),ROUND(DA12*VLOOKUP(CX12,$A$27:$C$29,3,TRUE)%,0))*IF(CX12=$A$36,$C$36,IF(CX12=$A$37,$C$37,IF(CX12=$A$38,$C$38,IF(CX12=$A$39,$C$39,IF(CX12=$A$40,$C$40,IF(CX12=$A$41,$C$41,1))))))*(DAY(CZ12)-DAY(CY12)+1)/DAY(EOMONTH(CY12,0)),0))))</f>
        <v/>
      </c>
      <c r="DJ12" s="461" t="str">
        <f>IF(CY12="","",IF(AND($CA$3=$CA$1,CY12&lt;=$CT$1),0,IF(Main!$C$26="UGC",0,IF(OR(DQ12=3,DA12=VLOOKUP(DA12,'IN RPS-2015'!$I$2:$J$5,1)),0,ROUND(IF(DQ12=2,VLOOKUP(DA12,IF($CA$3=$I$29,$A$20:$E$23,$F$144:$J$147),IF($B$19=VLOOKUP(CY12,$B$2:$G$4,3,TRUE),2,IF($C$19=VLOOKUP(CY12,$B$2:$G$4,3,TRUE),3,IF($D$19=VLOOKUP(CY12,$B$2:$G$4,3,TRUE),4,5))),TRUE),VLOOKUP(DA12,IF($CA$3=$I$29,$A$20:$E$23,$F$144:$J$147),IF($B$19=VLOOKUP(CY12,$B$2:$G$4,3,TRUE),2,IF($C$19=VLOOKUP(CY12,$B$2:$G$4,3,TRUE),3,IF($D$19=VLOOKUP(CY12,$B$2:$G$4,3,TRUE),4,5))),TRUE))*(DAY(CZ12)-DAY(CY12)+1)/DAY(EOMONTH(CY12,0)),0)))))</f>
        <v/>
      </c>
      <c r="DK12" s="461" t="str">
        <f>IF(CY12="","",IF(AND($CA$3=$CA$1,CY12&lt;=$CT$1),0,IF(Main!$C$26="UGC",0,IF(OR(CX12&lt;DATE(2010,4,1),DQ12=3,DA12=VLOOKUP(DA12,'IN RPS-2015'!$I$2:$J$5,1)),0,ROUND(IF(DQ12=2,IF(CY12&lt;$J$152,Main!$L$9,Main!$CI$3)/2,IF(CY12&lt;$J$152,Main!$L$9,Main!$CI$3))*(DAY(CZ12)-DAY(CY12)+1)/DAY(EOMONTH(CY12,0)),0)))))</f>
        <v/>
      </c>
      <c r="DL12" s="461"/>
      <c r="DM12" s="461" t="str">
        <f>IF(CY12="","",IF(AND($CA$3=$CA$1,CY12&lt;=$CT$1),0,IF(Main!$C$26="UGC",0,IF(OR(DQ12=3,DA12=VLOOKUP(DA12,'IN RPS-2015'!$I$2:$J$5,1)),0,ROUND(IF(DQ12=2,VLOOKUP(DB12,IF(CY12&lt;$J$152,$A$154:$E$159,$F$154:$J$159),IF($B$10=VLOOKUP(CX12,$B$2:$G$4,6,TRUE),2,IF($B$10=VLOOKUP(CX12,$B$2:$G$4,6,TRUE),3,IF($D$10=VLOOKUP(CX12,$B$2:$G$4,6,TRUE),4,5))))/2,VLOOKUP(DB12,IF(CY12&lt;$J$152,$A$154:$E$159,$F$154:$J$159),IF($B$10=VLOOKUP(CX12,$B$2:$G$4,6,TRUE),2,IF($B$10=VLOOKUP(CX12,$B$2:$G$4,6,TRUE),3,IF($D$10=VLOOKUP(CX12,$B$2:$G$4,6,TRUE),4,5)))))*(DAY(CZ12)-DAY(CY12)+1)/DAY(EOMONTH(CY12,0)),0)))))</f>
        <v/>
      </c>
      <c r="DN12" s="461">
        <f t="shared" si="76"/>
        <v>0</v>
      </c>
      <c r="DO12" s="464" t="str">
        <f>IF(CY12="","",IF(AND($CA$3=$CA$1,CY12&lt;=$CT$1),0,IF(AND(Main!$F$22=Main!$CA$24,CY12&gt;$CT$1),ROUND(SUM(DB12,DD12)*10%,0),"")))</f>
        <v/>
      </c>
      <c r="DP12" s="464" t="str">
        <f>IF(CX12="","",IF(AND($CA$3=$CA$1,CY12&lt;=$CT$1),0,IF(OR(Main!$H$10=Main!$BH$4,Main!$H$10=Main!$BH$5),0,LOOKUP(DN12*DAY(EOMONTH(CY12,0))/(DAY(CZ12)-DAY(CY12)+1),$H$184:$I$189))))</f>
        <v/>
      </c>
      <c r="DQ12" s="457">
        <f t="shared" si="60"/>
        <v>1</v>
      </c>
      <c r="DR12" s="457">
        <f t="shared" si="77"/>
        <v>0</v>
      </c>
      <c r="DS12" s="497"/>
      <c r="DT12" s="613">
        <f>DT7</f>
        <v>42795</v>
      </c>
      <c r="DU12" s="457">
        <v>0</v>
      </c>
      <c r="DV12" s="461"/>
      <c r="DW12" s="499" t="str">
        <f t="shared" si="61"/>
        <v/>
      </c>
      <c r="DX12" s="500" t="str">
        <f t="shared" si="88"/>
        <v/>
      </c>
      <c r="DY12" s="484" t="str">
        <f>IF(DX12="","",MIN(EOMONTH(DX12,0),VLOOKUP(DX12,'IN RPS-2015'!$O$164:$P$202,2,TRUE)-1,LOOKUP(DX12,$E$47:$F$53)-1,IF(DX12&lt;$B$2,$B$2-1,'IN RPS-2015'!$Q$9),IF(DX12&lt;$B$3,$B$3-1,'IN RPS-2015'!$Q$9),IF(DX12&lt;$B$4,$B$4-1,'IN RPS-2015'!$Q$9),LOOKUP(DX12,$H$47:$I$53)))</f>
        <v/>
      </c>
      <c r="DZ12" s="490" t="str">
        <f>IF(DX12="","",VLOOKUP(DX12,'IN RPS-2015'!$P$164:$AA$202,11))</f>
        <v/>
      </c>
      <c r="EA12" s="461" t="str">
        <f t="shared" si="78"/>
        <v/>
      </c>
      <c r="EB12" s="461" t="str">
        <f>IF(DX12="","",ROUND(IF(EP12=3,0,IF(EP12=2,IF(DZ12=VLOOKUP(DZ12,'IN RPS-2015'!$I$2:$J$5,1),0,Main!$H$9)/2,IF(DZ12=VLOOKUP(DZ12,'IN RPS-2015'!$I$2:$J$5,1),0,Main!$H$9)))*(DAY(DY12)-DAY(DX12)+1)/DAY(EOMONTH(DX12,0)),0))</f>
        <v/>
      </c>
      <c r="EC12" s="461" t="str">
        <f>IF(DX12="","",IF(DZ12=VLOOKUP(DZ12,'IN RPS-2015'!$I$2:$J$5,1),0,ROUND(EA12*VLOOKUP(DX12,$DT$4:$DU$7,2)%,0)))</f>
        <v/>
      </c>
      <c r="ED12" s="461" t="str">
        <f>IF(DX12="","",IF(OR(EP12=3,DZ12=VLOOKUP(DZ12,'IN RPS-2015'!$I$2:$J$5,1)),0,ROUND(MIN(ROUND(DZ12*VLOOKUP(DX12,$B$1:$G$4,2)%,0),VLOOKUP(DX12,$B$2:$I$4,IF($DU$3=$I$29,7,8),TRUE))*(DAY(DY12)-DAY(DX12)+1)/DAY(EOMONTH(DX12,0)),0)))</f>
        <v/>
      </c>
      <c r="EE12" s="491" t="str">
        <f>IF(DX12="","",IF(Main!$C$26="UGC",0,IF(OR(DX12&lt;DATE(2010,4,1),$I$6=VLOOKUP(DX12,$B$2:$G$4,5,TRUE),DZ12=VLOOKUP(DZ12,'IN RPS-2015'!$I$2:$J$5,1)),0,ROUND(IF(EP12=3,0,IF(EP12=2,MIN(ROUND(DZ12*$G$13%,0),IF(DX12&lt;$I$152,$G$14,$G$15))/2,MIN(ROUND(DZ12*$G$13%,0),IF(DX12&lt;$I$152,$G$14,$G$15))))*(DAY(DY12)-DAY(DX12)+1)/DAY(EOMONTH(DX12,0)),0))))</f>
        <v/>
      </c>
      <c r="EF12" s="461" t="str">
        <f>IF(DX12="","",IF(Main!$C$26="UGC",0,IF(DZ12=VLOOKUP(DZ12,'IN RPS-2015'!$I$2:$J$5,1),0,ROUND(EA12*VLOOKUP(DX12,$DT$11:$DU$12,2)%,0))))</f>
        <v/>
      </c>
      <c r="EG12" s="461" t="str">
        <f>IF(DX12="","",IF(Main!$C$26="UGC",0,IF(DX12&lt;DATE(2010,4,1),0,IF(OR(EP12=2,EP12=3,DZ12=VLOOKUP(DZ12,'IN RPS-2015'!$I$2:$J$5,1)),0,ROUND(IF(DX12&lt;$I$152,VLOOKUP(DX12,$B$1:$G$4,4),VLOOKUP(VLOOKUP(DX12,$B$1:$G$4,4),Main!$CE$2:$CF$5,2,FALSE))*(DAY(DY12)-DAY(DX12)+1)/DAY(EOMONTH(DX12,0)),0)))))</f>
        <v/>
      </c>
      <c r="EH12" s="461" t="str">
        <f>IF(DX12="","",IF(OR(EP12=2,EP12=3,$D$31=$D$28,DZ12=VLOOKUP(DZ12,'IN RPS-2015'!$I$2:$J$5,1)),0,ROUND(MIN(IF(DX12&lt;$I$152,900,1350),ROUND(DZ12*VLOOKUP(DW12,$A$27:$C$29,3,TRUE)%,0))*IF(DW12=$A$36,$C$36,IF(DW12=$A$37,$C$37,IF(DW12=$A$38,$C$38,IF(DW12=$A$39,$C$39,IF(DW12=$A$40,$C$40,IF(DW12=$A$41,$C$41,1))))))*(DAY(DY12)-DAY(DX12)+1)/DAY(EOMONTH(DX12,0)),0)))</f>
        <v/>
      </c>
      <c r="EI12" s="461" t="str">
        <f>IF(DX12="","",IF(Main!$C$26="UGC",0,IF(OR(EP12=3,DZ12=VLOOKUP(DZ12,'IN RPS-2015'!$I$2:$J$5,1)),0,ROUND(IF(EP12=2,VLOOKUP(DZ12,IF($DU$3=$I$29,$A$20:$E$23,$F$144:$J$147),IF($B$19=VLOOKUP(DX12,$B$2:$G$4,3,TRUE),2,IF($C$19=VLOOKUP(DX12,$B$2:$G$4,3,TRUE),3,IF($D$19=VLOOKUP(DX12,$B$2:$G$4,3,TRUE),4,5))),TRUE),VLOOKUP(DZ12,IF($DU$3=$I$29,$A$20:$E$23,$F$144:$J$147),IF($B$19=VLOOKUP(DX12,$B$2:$G$4,3,TRUE),2,IF($C$19=VLOOKUP(DX12,$B$2:$G$4,3,TRUE),3,IF($D$19=VLOOKUP(DX12,$B$2:$G$4,3,TRUE),4,5))),TRUE))*(DAY(DY12)-DAY(DX12)+1)/DAY(EOMONTH(DX12,0)),0))))</f>
        <v/>
      </c>
      <c r="EJ12" s="461" t="str">
        <f>IF(DX12="","",IF(Main!$C$26="UGC",0,IF(OR(DW12&lt;DATE(2010,4,1),EP12=3,DZ12=VLOOKUP(DZ12,'IN RPS-2015'!$I$2:$J$5,1)),0,ROUND(IF(EP12=2,IF(DX12&lt;$I$152,Main!$L$9,Main!$CI$3)/2,IF(DX12&lt;$I$152,Main!$L$9,Main!$CI$3))*(DAY(DY12)-DAY(DX12)+1)/DAY(EOMONTH(DX12,0)),0))))</f>
        <v/>
      </c>
      <c r="EK12" s="461"/>
      <c r="EL12" s="461" t="str">
        <f>IF(DX12="","",IF(Main!$C$26="UGC",0,IF(OR(EP12=3,DZ12=VLOOKUP(DZ12,'IN RPS-2015'!$I$2:$J$5,1)),0,ROUND(IF(EP12=2,VLOOKUP(EA12,IF(DX12&lt;$I$152,$A$154:$E$159,$F$154:$J$159),IF($B$10=VLOOKUP(DW12,$B$2:$G$4,6,TRUE),2,IF($B$10=VLOOKUP(DW12,$B$2:$G$4,6,TRUE),3,IF($D$10=VLOOKUP(DW12,$B$2:$G$4,6,TRUE),4,5))))/2,VLOOKUP(EA12,IF(DX12&lt;$I$152,$A$154:$E$159,$F$154:$J$159),IF($B$10=VLOOKUP(DW12,$B$2:$G$4,6,TRUE),2,IF($B$10=VLOOKUP(DW12,$B$2:$G$4,6,TRUE),3,IF($D$10=VLOOKUP(DW12,$B$2:$G$4,6,TRUE),4,5)))))*(DAY(DY12)-DAY(DX12)+1)/DAY(EOMONTH(DX12,0)),0))))</f>
        <v/>
      </c>
      <c r="EM12" s="461">
        <f t="shared" si="79"/>
        <v>0</v>
      </c>
      <c r="EN12" s="464" t="str">
        <f>IF(DX12="","",IF(AND(Main!$F$22=Main!$CA$24,DX12&gt;$EN$1),ROUND(SUM(EA12,EC12)*10%,0),""))</f>
        <v/>
      </c>
      <c r="EO12" s="464" t="str">
        <f>IF(DW12="","",IF(EA12=0,0,IF(OR(Main!$H$10=Main!$BH$4,Main!$H$10=Main!$BH$5),0,LOOKUP(EM12*DAY(EOMONTH(DX12,0))/(DAY(DY12)-DAY(DX12)+1),$H$184:$I$189))))</f>
        <v/>
      </c>
      <c r="EP12" s="457">
        <f t="shared" si="62"/>
        <v>1</v>
      </c>
      <c r="ER12" s="613">
        <f>ER7</f>
        <v>42795</v>
      </c>
      <c r="ES12" s="457">
        <v>0</v>
      </c>
      <c r="ET12" s="461"/>
      <c r="EU12" s="499" t="str">
        <f t="shared" si="63"/>
        <v/>
      </c>
      <c r="EV12" s="500" t="str">
        <f t="shared" si="89"/>
        <v/>
      </c>
      <c r="EW12" s="484" t="str">
        <f>IF(EV12="","",MIN(EOMONTH(EV12,0),VLOOKUP(EV12,'IN RPS-2015'!$O$164:$P$202,2,TRUE)-1,LOOKUP(EV12,$E$47:$F$53)-1,IF(EV12&lt;$B$2,$B$2-1,'IN RPS-2015'!$Q$9),IF(EV12&lt;$B$3,$B$3-1,'IN RPS-2015'!$Q$9),IF(EV12&lt;$B$4,$B$4-1,'IN RPS-2015'!$Q$9),LOOKUP(EV12,$H$47:$I$53)))</f>
        <v/>
      </c>
      <c r="EX12" s="490" t="str">
        <f>IF(EV12="","",VLOOKUP(EV12,'IN RPS-2015'!$P$164:$AA$202,12))</f>
        <v/>
      </c>
      <c r="EY12" s="461" t="str">
        <f t="shared" si="80"/>
        <v/>
      </c>
      <c r="EZ12" s="461" t="str">
        <f>IF(EV12="","",ROUND(IF(FN12=3,0,IF(FN12=2,IF(EX12=VLOOKUP(EX12,'IN RPS-2015'!$I$2:$J$5,1),0,Main!$H$9)/2,IF(EX12=VLOOKUP(EX12,'IN RPS-2015'!$I$2:$J$5,1),0,Main!$H$9)))*(DAY(EW12)-DAY(EV12)+1)/DAY(EOMONTH(EV12,0)),0))</f>
        <v/>
      </c>
      <c r="FA12" s="461" t="str">
        <f>IF(EV12="","",IF(EX12=VLOOKUP(EX12,'IN RPS-2015'!$I$2:$J$5,1),0,ROUND(EY12*VLOOKUP(EV12,$ER$4:$ES$7,2)%,0)))</f>
        <v/>
      </c>
      <c r="FB12" s="461" t="str">
        <f>IF(EV12="","",IF(OR(FN12=3,EX12=VLOOKUP(EX12,'IN RPS-2015'!$I$2:$J$5,1)),0,ROUND(MIN(ROUND(EX12*VLOOKUP(EV12,$B$1:$G$4,2)%,0),VLOOKUP(EV12,$B$2:$I$4,IF($ES$3=$I$29,7,8),TRUE))*(DAY(EW12)-DAY(EV12)+1)/DAY(EOMONTH(EV12,0)),0)))</f>
        <v/>
      </c>
      <c r="FC12" s="491" t="str">
        <f>IF(EV12="","",IF(Main!$C$26="UGC",0,IF(OR(EV12&lt;DATE(2010,4,1),$I$6=VLOOKUP(EV12,$B$2:$G$4,5,TRUE),EX12=VLOOKUP(EX12,'IN RPS-2015'!$I$2:$J$5,1)),0,ROUND(IF(FN12=3,0,IF(FN12=2,MIN(ROUND(EX12*$G$13%,0),IF(EV12&lt;$J$152,$G$14,$G$15))/2,MIN(ROUND(EX12*$G$13%,0),IF(EV12&lt;$J$152,$G$14,$G$15))))*(DAY(EW12)-DAY(EV12)+1)/DAY(EOMONTH(EV12,0)),0))))</f>
        <v/>
      </c>
      <c r="FD12" s="461" t="str">
        <f>IF(EV12="","",IF(Main!$C$26="UGC",0,IF(EX12=VLOOKUP(EX12,'IN RPS-2015'!$I$2:$J$5,1),0,ROUND(EY12*VLOOKUP(EV12,$ER$11:$ES$12,2)%,0))))</f>
        <v/>
      </c>
      <c r="FE12" s="461" t="str">
        <f>IF(EV12="","",IF(Main!$C$26="UGC",0,IF(EV12&lt;DATE(2010,4,1),0,IF(OR(FN12=2,FN12=3,EX12=VLOOKUP(EX12,'IN RPS-2015'!$I$2:$J$5,1)),0,ROUND(IF(EV12&lt;$J$152,VLOOKUP(EV12,$B$1:$G$4,4),VLOOKUP(VLOOKUP(EV12,$B$1:$G$4,4),Main!$CE$2:$CF$5,2,FALSE))*(DAY(EW12)-DAY(EV12)+1)/DAY(EOMONTH(EV12,0)),0)))))</f>
        <v/>
      </c>
      <c r="FF12" s="461" t="str">
        <f>IF(EV12="","",IF(OR(FN12=2,FN12=3,$D$31=$D$28,EX12=VLOOKUP(EX12,'IN RPS-2015'!$I$2:$J$5,1)),0,ROUND(MIN(VLOOKUP(EU12,$A$27:$C$29,2,TRUE),ROUND(EX12*VLOOKUP(EU12,$A$27:$C$29,3,TRUE)%,0))*IF(EU12=$A$36,$C$36,IF(EU12=$A$37,$C$37,IF(EU12=$A$38,$C$38,IF(EU12=$A$39,$C$39,IF(EU12=$A$40,$C$40,IF(EU12=$A$41,$C$41,1))))))*(DAY(EW12)-DAY(EV12)+1)/DAY(EOMONTH(EV12,0)),0)))</f>
        <v/>
      </c>
      <c r="FG12" s="461" t="str">
        <f>IF(EV12="","",IF(Main!$C$26="UGC",0,IF(OR(FN12=3,EX12=VLOOKUP(EX12,'IN RPS-2015'!$I$2:$J$5,1)),0,ROUND(IF(FN12=2,VLOOKUP(EX12,IF($ES$3=$I$29,$A$20:$E$23,$F$144:$J$147),IF($B$19=VLOOKUP(EV12,$B$2:$G$4,3,TRUE),2,IF($C$19=VLOOKUP(EV12,$B$2:$G$4,3,TRUE),3,IF($D$19=VLOOKUP(EV12,$B$2:$G$4,3,TRUE),4,5))),TRUE),VLOOKUP(EX12,IF($ES$3=$I$29,$A$20:$E$23,$F$144:$J$147),IF($B$19=VLOOKUP(EV12,$B$2:$G$4,3,TRUE),2,IF($C$19=VLOOKUP(EV12,$B$2:$G$4,3,TRUE),3,IF($D$19=VLOOKUP(EV12,$B$2:$G$4,3,TRUE),4,5))),TRUE))*(DAY(EW12)-DAY(EV12)+1)/DAY(EOMONTH(EV12,0)),0))))</f>
        <v/>
      </c>
      <c r="FH12" s="461" t="str">
        <f>IF(EV12="","",IF(Main!$C$26="UGC",0,IF(OR(EU12&lt;DATE(2010,4,1),FN12=3,EX12=VLOOKUP(EX12,'IN RPS-2015'!$I$2:$J$5,1)),0,ROUND(IF(FN12=2,IF(EV12&lt;$J$152,Main!$L$9,Main!$CI$3)/2,IF(EV12&lt;$J$152,Main!$L$9,Main!$CI$3))*(DAY(EW12)-DAY(EV12)+1)/DAY(EOMONTH(EV12,0)),0))))</f>
        <v/>
      </c>
      <c r="FI12" s="461"/>
      <c r="FJ12" s="461" t="str">
        <f>IF(EV12="","",IF(Main!$C$26="UGC",0,IF(OR(FN12=3,EX12=VLOOKUP(EX12,'IN RPS-2015'!$I$2:$J$5,1)),0,ROUND(IF(FN12=2,VLOOKUP(EY12,IF(EV12&lt;$J$152,$A$154:$E$159,$F$154:$J$159),IF($B$10=VLOOKUP(EU12,$B$2:$G$4,6,TRUE),2,IF($B$10=VLOOKUP(EU12,$B$2:$G$4,6,TRUE),3,IF($D$10=VLOOKUP(EU12,$B$2:$G$4,6,TRUE),4,5))))/2,VLOOKUP(EY12,IF(EV12&lt;$J$152,$A$154:$E$159,$F$154:$J$159),IF($B$10=VLOOKUP(EU12,$B$2:$G$4,6,TRUE),2,IF($B$10=VLOOKUP(EU12,$B$2:$G$4,6,TRUE),3,IF($D$10=VLOOKUP(EU12,$B$2:$G$4,6,TRUE),4,5)))))*(DAY(EW12)-DAY(EV12)+1)/DAY(EOMONTH(EV12,0)),0))))</f>
        <v/>
      </c>
      <c r="FK12" s="461">
        <f t="shared" si="81"/>
        <v>0</v>
      </c>
      <c r="FL12" s="464" t="str">
        <f>IF(EV12="","",IF(AND(Main!$F$22=Main!$CA$24,EV12&gt;$FL$1),ROUND(SUM(EY12,FA12)*10%,0),""))</f>
        <v/>
      </c>
      <c r="FM12" s="464" t="str">
        <f>IF(EU12="","",IF(EY12=0,0,IF(OR(Main!$H$10=Main!$BH$4,Main!$H$10=Main!$BH$5),0,LOOKUP(FK12*DAY(EOMONTH(EV12,0))/(DAY(EW12)-DAY(EV12)+1),$H$184:$I$189))))</f>
        <v/>
      </c>
      <c r="FN12" s="457">
        <f t="shared" si="64"/>
        <v>1</v>
      </c>
    </row>
    <row r="13" spans="1:170">
      <c r="A13" s="13">
        <v>13661</v>
      </c>
      <c r="B13" s="13">
        <v>475</v>
      </c>
      <c r="C13" s="13">
        <v>575</v>
      </c>
      <c r="D13" s="13">
        <v>625</v>
      </c>
      <c r="E13" s="38">
        <v>0</v>
      </c>
      <c r="F13" s="159">
        <f>IF(D13=30,12000,8000)</f>
        <v>8000</v>
      </c>
      <c r="G13" s="13">
        <v>8</v>
      </c>
      <c r="H13" s="459"/>
      <c r="K13" s="494">
        <f t="shared" si="65"/>
        <v>42370</v>
      </c>
      <c r="L13" s="495">
        <f t="shared" si="82"/>
        <v>42370</v>
      </c>
      <c r="M13" s="484">
        <f>IF(L13="","",MIN(EOMONTH(L13,0),VLOOKUP(L13,'IN RPS-2015'!$O$164:$P$202,2,TRUE)-1,LOOKUP(L13,$E$47:$F$53)-1,IF(L13&lt;$B$2,$B$2-1,'IN RPS-2015'!$Q$9),IF(L13&lt;$B$3,$B$3-1,'IN RPS-2015'!$Q$9),IF(L13&lt;$B$4,$B$4-1,'IN RPS-2015'!$Q$9),LOOKUP(L13,$H$47:$I$53)))</f>
        <v>42400</v>
      </c>
      <c r="N13" s="496">
        <f>IF(L13="","",VLOOKUP(L13,'Advance Tax'!$A$3:$C$14,3))</f>
        <v>55410</v>
      </c>
      <c r="O13" s="497">
        <f t="shared" si="52"/>
        <v>55410</v>
      </c>
      <c r="P13" s="497">
        <f>IF(L13="","",ROUND(IF(AD13=3,0,IF(AD13=2,IF(N13=VLOOKUP(N13,'IN RPS-2015'!$I$2:$J$5,1),0,Main!$H$9)/2,IF(N13=VLOOKUP(N13,'IN RPS-2015'!$I$2:$J$5,1),0,Main!$H$9)))*(DAY(M13)-DAY(L13)+1)/DAY(EOMONTH(L13,0)),0))</f>
        <v>105</v>
      </c>
      <c r="Q13" s="457">
        <f>IF(L13="","",IF(N13=VLOOKUP(N13,'IN RPS-2015'!$I$2:$J$5,1),0,ROUND(O13*IF(L13&lt;Main!$C$27,VLOOKUP(L13,$H$9:$J$12,3),VLOOKUP(L13,$H$9:$J$12,2))%,0)))</f>
        <v>4936</v>
      </c>
      <c r="R13" s="457">
        <f>IF(L13="","",IF(OR(AD13=3,N13=VLOOKUP(N13,'IN RPS-2015'!$I$2:$J$5,1)),0,ROUND(MIN(ROUND(N13*VLOOKUP(L13,$B$1:$G$4,2)%,0),VLOOKUP(L13,$B$2:$I$4,IF(L13&lt;$G$7,7,8),TRUE))*(DAY(M13)-DAY(L13)+1)/DAY(EOMONTH(L13,0)),0)))</f>
        <v>11082</v>
      </c>
      <c r="S13" s="486">
        <f>IF(L13="","",IF(Main!$C$26="UGC",0,IF(OR(L13&lt;DATE(2010,4,1),$I$6=VLOOKUP(L13,$B$2:$G$4,5,TRUE),N13=VLOOKUP(N13,'IN RPS-2015'!$I$2:$J$5,1)),0,ROUND(IF(AD13=3,0,IF(AD13=2,MIN(ROUND(N13*$G$13%,0),IF(L13&lt;$J$152,$G$14,$G$15))/2,MIN(ROUND(N13*$G$13%,0),IF(L13&lt;$J$152,$G$14,$G$15))))*(DAY(M13)-DAY(L13)+1)/DAY(EOMONTH(L13,0)),0))))</f>
        <v>0</v>
      </c>
      <c r="T13" s="457">
        <f>IF(L13="","",IF(Main!$C$26="UGC",0,IF(N13=VLOOKUP(N13,'IN RPS-2015'!$I$2:$J$5,1),0,ROUND(O13*VLOOKUP(L13,$H$205:$I$206,2)%,0))))</f>
        <v>0</v>
      </c>
      <c r="U13" s="457">
        <f>IF(L13="","",IF(Main!$C$26="UGC",0,IF(L13&lt;DATE(2010,4,1),0,IF(OR(AD13=2,AD13=3,N13=VLOOKUP(N13,'IN RPS-2015'!$I$2:$J$5,1)),0,ROUND(IF(L13&lt;$J$152,VLOOKUP(L13,$B$1:$G$4,4),VLOOKUP(VLOOKUP(L13,$B$1:$G$4,4),Main!$CE$2:$CF$5,2,FALSE))*(DAY(M13)-DAY(L13)+1)/DAY(EOMONTH(L13,0)),0)))))</f>
        <v>0</v>
      </c>
      <c r="V13" s="457">
        <f>IF(L13="","",IF(OR(AD13=2,AD13=3,$D$31=$D$28,N13=VLOOKUP(N13,'IN RPS-2015'!$I$2:$J$5,1)),0,ROUND(MIN(VLOOKUP(K13,$A$27:$C$29,2,TRUE),ROUND(N13*VLOOKUP(K13,$A$27:$C$29,3,TRUE)%,0))*IF(K13=$A$36,$C$36,IF(K13=$A$37,$C$37,IF(K13=$A$38,$C$38,IF(K13=$A$39,$C$39,IF(K13=$A$40,$C$40,IF(K13=$A$41,$C$41,1))))))*(DAY(M13)-DAY(L13)+1)/DAY(EOMONTH(L13,0)),0)))</f>
        <v>1350</v>
      </c>
      <c r="W13" s="457">
        <f>IF(L13="","",IF(Main!$C$26="UGC",0,IF(OR(AD13=3,N13=VLOOKUP(N13,'IN RPS-2015'!$I$2:$J$5,1)),0,ROUND(IF(AD13=2,VLOOKUP(N13,IF(L13&lt;$G$7,$A$20:$E$23,$F$144:$J$147),IF($B$19=VLOOKUP(L13,$B$2:$G$4,3,TRUE),2,IF($C$19=VLOOKUP(L13,$B$2:$G$4,3,TRUE),3,IF($D$19=VLOOKUP(L13,$B$2:$G$4,3,TRUE),4,5))),TRUE),VLOOKUP(N13,IF(L13&lt;$G$7,$A$20:$E$23,$F$144:$J$147),IF($B$19=VLOOKUP(L13,$B$2:$G$4,3,TRUE),2,IF($C$19=VLOOKUP(L13,$B$2:$G$4,3,TRUE),3,IF($D$19=VLOOKUP(L13,$B$2:$G$4,3,TRUE),4,5))),TRUE))*(DAY(M13)-DAY(L13)+1)/DAY(EOMONTH(L13,0)),0))))</f>
        <v>500</v>
      </c>
      <c r="X13" s="457">
        <f>IF(L13="","",IF(Main!$C$26="UGC",0,IF(OR(K13&lt;DATE(2010,4,1),AD13=3,N13=VLOOKUP(N13,'IN RPS-2015'!$I$2:$J$5,1)),0,ROUND(IF(AD13=2,IF(L13&lt;$J$152,Main!$L$9,Main!$CI$3)/2,IF(L13&lt;$J$152,Main!$L$9,Main!$CI$3))*(DAY(M13)-DAY(L13)+1)/DAY(EOMONTH(L13,0)),0))))</f>
        <v>0</v>
      </c>
      <c r="Y13" s="497"/>
      <c r="Z13" s="457">
        <f>IF(L13="","",IF(Main!$C$26="UGC",0,IF(OR(AD13=3,N13=VLOOKUP(N13,'IN RPS-2015'!$I$2:$J$5,1)),0,ROUND(IF(AD13=2,VLOOKUP(O13,IF(L13&lt;$J$152,$A$154:$E$159,$F$154:$J$159),IF($B$10=VLOOKUP(K13,$B$2:$G$4,6,TRUE),2,IF($B$10=VLOOKUP(K13,$B$2:$G$4,6,TRUE),3,IF($D$10=VLOOKUP(K13,$B$2:$G$4,6,TRUE),4,5))))/2,VLOOKUP(O13,IF(L13&lt;$J$152,$A$154:$E$159,$F$154:$J$159),IF($B$10=VLOOKUP(K13,$B$2:$G$4,6,TRUE),2,IF($B$10=VLOOKUP(K13,$B$2:$G$4,6,TRUE),3,IF($D$10=VLOOKUP(K13,$B$2:$G$4,6,TRUE),4,5)))))*(DAY(M13)-DAY(L13)+1)/DAY(EOMONTH(L13,0)),0))))</f>
        <v>0</v>
      </c>
      <c r="AA13" s="497">
        <f t="shared" si="83"/>
        <v>73383</v>
      </c>
      <c r="AB13" s="497"/>
      <c r="AC13" s="497"/>
      <c r="AD13" s="497">
        <f t="shared" si="53"/>
        <v>1</v>
      </c>
      <c r="AE13" s="497"/>
      <c r="AF13" s="497"/>
      <c r="AH13" s="461"/>
      <c r="AI13" s="499" t="str">
        <f t="shared" si="54"/>
        <v/>
      </c>
      <c r="AJ13" s="500" t="str">
        <f t="shared" si="84"/>
        <v/>
      </c>
      <c r="AK13" s="484" t="str">
        <f>IF(AJ13="","",MIN(EOMONTH(AJ13,0),VLOOKUP(AJ13,'IN RPS-2015'!$O$164:$P$202,2,TRUE)-1,LOOKUP(AJ13,$E$47:$F$53)-1,IF(AJ13&lt;$B$2,$B$2-1,'IN RPS-2015'!$Q$9),IF(AJ13&lt;$B$3,$B$3-1,'IN RPS-2015'!$Q$9),IF(AJ13&lt;$B$4,$B$4-1,'IN RPS-2015'!$Q$9),LOOKUP(AJ13,$H$47:$I$53)))</f>
        <v/>
      </c>
      <c r="AL13" s="490" t="str">
        <f>IF(AJ13="","",VLOOKUP(AJ13,'IN RPS-2015'!$P$164:$AA$202,9))</f>
        <v/>
      </c>
      <c r="AM13" s="461" t="str">
        <f t="shared" si="66"/>
        <v/>
      </c>
      <c r="AN13" s="461" t="str">
        <f>IF(AJ13="","",IF(AND($AG$3=$AG$1,AJ13&lt;=$AZ$1),0,ROUND(IF(BB13=3,0,IF(BB13=2,IF(AL13=VLOOKUP(AL13,'IN RPS-2015'!$I$2:$J$5,1),0,Main!$H$9)/2,IF(AL13=VLOOKUP(AL13,'IN RPS-2015'!$I$2:$J$5,1),0,Main!$H$9)))*(DAY(AK13)-DAY(AJ13)+1)/DAY(EOMONTH(AJ13,0)),0)))</f>
        <v/>
      </c>
      <c r="AO13" s="461" t="str">
        <f>IF(AJ13="","",IF(AND($AG$3=$AG$1,AJ13&lt;=$AZ$1),0,IF(AL13=VLOOKUP(AL13,'IN RPS-2015'!$I$2:$J$5,1),0,ROUND(AM13*VLOOKUP(AJ13,$AF$4:$AG$7,2)%,0))))</f>
        <v/>
      </c>
      <c r="AP13" s="461" t="str">
        <f>IF(AJ13="","",IF(AND($AG$3=$AG$1,AJ13&lt;=$AZ$1),0,IF(OR(BB13=3,AL13=VLOOKUP(AL13,'IN RPS-2015'!$I$2:$J$5,1)),0,ROUND(MIN(ROUND(AL13*VLOOKUP(AJ13,$B$1:$G$4,2)%,0),VLOOKUP(AJ13,$B$2:$I$4,IF($AG$3=$I$29,7,8),TRUE))*(DAY(AK13)-DAY(AJ13)+1)/DAY(EOMONTH(AJ13,0)),0))))</f>
        <v/>
      </c>
      <c r="AQ13" s="491" t="str">
        <f>IF(AJ13="","",IF(AND($AG$3=$AG$1,AJ13&lt;=$AZ$1),0,IF(Main!$C$26="UGC",0,IF(OR(AJ13&lt;DATE(2010,4,1),$I$6=VLOOKUP(AJ13,$B$2:$G$4,5,TRUE),AL13=VLOOKUP(AL13,'IN RPS-2015'!$I$2:$J$5,1)),0,ROUND(IF(BB13=3,0,IF(BB13=2,MIN(ROUND(AL13*$G$13%,0),IF(AJ13&lt;$J$152,$G$14,$G$15))/2,MIN(ROUND(AL13*$G$13%,0),IF(AJ13&lt;$J$152,$G$14,$G$15))))*(DAY(AK13)-DAY(AJ13)+1)/DAY(EOMONTH(AJ13,0)),0)))))</f>
        <v/>
      </c>
      <c r="AR13" s="461" t="str">
        <f>IF(AJ13="","",IF(AND($AG$3=$AG$1,AJ13&lt;=$AZ$1),0,IF(Main!$C$26="UGC",0,IF(AL13=VLOOKUP(AL13,'IN RPS-2015'!$I$2:$J$5,1),0,ROUND(AM13*VLOOKUP(AJ13,$AF$11:$AG$12,2)%,0)))))</f>
        <v/>
      </c>
      <c r="AS13" s="461" t="str">
        <f>IF(AJ13="","",IF(AND($AG$3=$AG$1,AJ13&lt;=$AZ$1),0,IF(Main!$C$26="UGC",0,IF(AJ13&lt;DATE(2010,4,1),0,IF(OR(BB13=2,BB13=3,AL13=VLOOKUP(AL13,'IN RPS-2015'!$I$2:$J$5,1)),0,ROUND(IF(AJ13&lt;$J$152,VLOOKUP(AJ13,$B$1:$G$4,4),VLOOKUP(VLOOKUP(AJ13,$B$1:$G$4,4),Main!$CE$2:$CF$5,2,FALSE))*(DAY(AK13)-DAY(AJ13)+1)/DAY(EOMONTH(AJ13,0)),0))))))</f>
        <v/>
      </c>
      <c r="AT13" s="461" t="str">
        <f>IF(AJ13="","",IF(AND($AG$3=$AG$1,AJ13&lt;=$AZ$1),0,IF(OR(BB13=2,BB13=3,$D$31=$D$28,AL13=VLOOKUP(AL13,'IN RPS-2015'!$I$2:$J$5,1)),0,ROUND(MIN(VLOOKUP(AI13,$A$27:$C$29,2,TRUE),ROUND(AL13*VLOOKUP(AI13,$A$27:$C$29,3,TRUE)%,0))*IF(AI13=$A$36,$C$36,IF(AI13=$A$37,$C$37,IF(AI13=$A$38,$C$38,IF(AI13=$A$39,$C$39,IF(AI13=$A$40,$C$40,IF(AI13=$A$41,$C$41,1))))))*(DAY(AK13)-DAY(AJ13)+1)/DAY(EOMONTH(AJ13,0)),0))))</f>
        <v/>
      </c>
      <c r="AU13" s="461" t="str">
        <f>IF(AJ13="","",IF(AND($AG$3=$AG$1,AJ13&lt;=$AZ$1),0,IF(Main!$C$26="UGC",0,IF(OR(BB13=3,AL13=VLOOKUP(AL13,'IN RPS-2015'!$I$2:$J$5,1)),0,ROUND(IF(BB13=2,VLOOKUP(AL13,IF($AG$3=$I$29,$A$20:$E$23,$F$144:$J$147),IF($B$19=VLOOKUP(AJ13,$B$2:$G$4,3,TRUE),2,IF($C$19=VLOOKUP(AJ13,$B$2:$G$4,3,TRUE),3,IF($D$19=VLOOKUP(AJ13,$B$2:$G$4,3,TRUE),4,5))),TRUE),VLOOKUP(AL13,IF($AG$3=$I$29,$A$20:$E$23,$F$144:$J$147),IF($B$19=VLOOKUP(AJ13,$B$2:$G$4,3,TRUE),2,IF($C$19=VLOOKUP(AJ13,$B$2:$G$4,3,TRUE),3,IF($D$19=VLOOKUP(AJ13,$B$2:$G$4,3,TRUE),4,5))),TRUE))*(DAY(AK13)-DAY(AJ13)+1)/DAY(EOMONTH(AJ13,0)),0)))))</f>
        <v/>
      </c>
      <c r="AV13" s="461" t="str">
        <f>IF(AJ13="","",IF(AND($AG$3=$AG$1,AJ13&lt;=$AZ$1),0,IF(Main!$C$26="UGC",0,IF(OR(AI13&lt;DATE(2010,4,1),BB13=3,AL13=VLOOKUP(AL13,'IN RPS-2015'!$I$2:$J$5,1)),0,ROUND(IF(BB13=2,IF(AJ13&lt;$J$152,Main!$L$9,Main!$CI$3)/2,IF(AJ13&lt;$J$152,Main!$L$9,Main!$CI$3))*(DAY(AK13)-DAY(AJ13)+1)/DAY(EOMONTH(AJ13,0)),0)))))</f>
        <v/>
      </c>
      <c r="AW13" s="461"/>
      <c r="AX13" s="461" t="str">
        <f>IF(AJ13="","",IF(AND($AG$3=$AG$1,AJ13&lt;=$AZ$1),0,IF(Main!$C$26="UGC",0,IF(OR(BB13=3,AL13=VLOOKUP(AL13,'IN RPS-2015'!$I$2:$J$5,1)),0,ROUND(IF(BB13=2,VLOOKUP(AM13,IF(AJ13&lt;$J$152,$A$154:$E$159,$F$154:$J$159),IF($B$10=VLOOKUP(AI13,$B$2:$G$4,6,TRUE),2,IF($B$10=VLOOKUP(AI13,$B$2:$G$4,6,TRUE),3,IF($D$10=VLOOKUP(AI13,$B$2:$G$4,6,TRUE),4,5))))/2,VLOOKUP(AM13,IF(AJ13&lt;$J$152,$A$154:$E$159,$F$154:$J$159),IF($B$10=VLOOKUP(AI13,$B$2:$G$4,6,TRUE),2,IF($B$10=VLOOKUP(AI13,$B$2:$G$4,6,TRUE),3,IF($D$10=VLOOKUP(AI13,$B$2:$G$4,6,TRUE),4,5)))))*(DAY(AK13)-DAY(AJ13)+1)/DAY(EOMONTH(AJ13,0)),0)))))</f>
        <v/>
      </c>
      <c r="AY13" s="461">
        <f t="shared" si="67"/>
        <v>0</v>
      </c>
      <c r="AZ13" s="464" t="str">
        <f>IF(AJ13="","",IF(AND($AG$3=$AG$1,AJ13&lt;=$AZ$1),0,IF(AND(Main!$F$22=Main!$CA$24,AJ13&gt;$AZ$1),ROUND(SUM(AM13,AO13)*10%,0),"")))</f>
        <v/>
      </c>
      <c r="BA13" s="464" t="str">
        <f>IF(AI13="","",IF(AND($AG$3=$AG$1,AJ13&lt;=$AZ$1),0,IF(OR(Main!$H$10=Main!$BH$4,Main!$H$10=Main!$BH$5),0,LOOKUP(AY13*DAY(EOMONTH(AJ13,0))/(DAY(AK13)-DAY(AJ13)+1),$H$184:$I$189))))</f>
        <v/>
      </c>
      <c r="BB13" s="497">
        <f t="shared" si="55"/>
        <v>1</v>
      </c>
      <c r="BC13" s="464"/>
      <c r="BD13" s="501" t="str">
        <f t="shared" si="56"/>
        <v/>
      </c>
      <c r="BE13" s="502" t="str">
        <f t="shared" si="85"/>
        <v/>
      </c>
      <c r="BF13" s="484" t="str">
        <f>IF(BE13="","",MIN(EOMONTH(BE13,0),VLOOKUP(BE13,'IN RPS-2015'!$O$164:$P$202,2,TRUE)-1,LOOKUP(BE13,$E$47:$F$53)-1,IF(BE13&lt;$B$2,$B$2-1,'IN RPS-2015'!$Q$9),IF(BE13&lt;$B$3,$B$3-1,'IN RPS-2015'!$Q$9),IF(BE13&lt;$B$4,$B$4-1,'IN RPS-2015'!$Q$9),LOOKUP(BE13,$H$47:$I$53)))</f>
        <v/>
      </c>
      <c r="BG13" s="493" t="str">
        <f>IF(BE13="","",VLOOKUP(BE13,'IN RPS-2015'!$P$164:$AA$202,10))</f>
        <v/>
      </c>
      <c r="BH13" s="461" t="str">
        <f t="shared" si="68"/>
        <v/>
      </c>
      <c r="BI13" s="461" t="str">
        <f>IF(BE13="","",IF(AND($AG$3=$AG$1,BE13&lt;=$AZ$1),0,ROUND(IF(BW13=3,0,IF(BW13=2,IF(BG13=VLOOKUP(BG13,'IN RPS-2015'!$I$2:$J$5,1),0,Main!$H$9)/2,IF(BG13=VLOOKUP(BG13,'IN RPS-2015'!$I$2:$J$5,1),0,Main!$H$9)))*(DAY(BF13)-DAY(BE13)+1)/DAY(EOMONTH(BE13,0)),0)))</f>
        <v/>
      </c>
      <c r="BJ13" s="461" t="str">
        <f>IF(BE13="","",IF(AND($AG$3=$AG$1,BE13&lt;=$AZ$1),0,IF(BG13=VLOOKUP(BG13,'IN RPS-2015'!$I$2:$J$5,1),0,ROUND(BH13*VLOOKUP(BE13,$AF$4:$AG$7,2)%,0))))</f>
        <v/>
      </c>
      <c r="BK13" s="461" t="str">
        <f>IF(BE13="","",IF(AND($AG$3=$AG$1,BE13&lt;=$AZ$1),0,IF(OR(BW13=3,BG13=VLOOKUP(BG13,'IN RPS-2015'!$I$2:$J$5,1)),0,ROUND(MIN(ROUND(BG13*VLOOKUP(BE13,$B$1:$G$4,2)%,0),VLOOKUP(BE13,$B$2:$I$4,IF($AG$3=$I$29,7,8),TRUE))*(DAY(BF13)-DAY(BE13)+1)/DAY(EOMONTH(BE13,0)),0))))</f>
        <v/>
      </c>
      <c r="BL13" s="491" t="str">
        <f>IF(BE13="","",IF(AND($AG$3=$AG$1,BE13&lt;=$AZ$1),0,IF(Main!$C$26="UGC",0,IF(OR(BE13&lt;DATE(2010,4,1),$I$6=VLOOKUP(BE13,$B$2:$G$4,5,TRUE),BG13=VLOOKUP(BG13,'IN RPS-2015'!$I$2:$J$5,1)),0,ROUND(IF(BW13=3,0,IF(BW13=2,MIN(ROUND(BG13*$G$13%,0),IF(BE13&lt;$J$152,$G$14,$G$15))/2,MIN(ROUND(BG13*$G$13%,0),IF(BE13&lt;$J$152,$G$14,$G$15))))*(DAY(BF13)-DAY(BE13)+1)/DAY(EOMONTH(BE13,0)),0)))))</f>
        <v/>
      </c>
      <c r="BM13" s="461" t="str">
        <f>IF(BE13="","",IF(AND($AG$3=$AG$1,BE13&lt;=$AZ$1),0,IF(Main!$C$26="UGC",0,IF(BG13=VLOOKUP(BG13,'IN RPS-2015'!$I$2:$J$5,1),0,ROUND(BH13*VLOOKUP(BE13,$AF$11:$AG$12,2)%,0)))))</f>
        <v/>
      </c>
      <c r="BN13" s="461" t="str">
        <f>IF(BE13="","",IF(AND($AG$3=$AG$1,BE13&lt;=$AZ$1),0,IF(Main!$C$26="UGC",0,IF(BE13&lt;DATE(2010,4,1),0,IF(OR(BW13=2,BW13=3,BG13=VLOOKUP(BG13,'IN RPS-2015'!$I$2:$J$5,1)),0,ROUND(IF(BE13&lt;$J$152,VLOOKUP(BE13,$B$1:$G$4,4),VLOOKUP(VLOOKUP(BE13,$B$1:$G$4,4),Main!$CE$2:$CF$5,2,FALSE))*(DAY(BF13)-DAY(BE13)+1)/DAY(EOMONTH(BE13,0)),0))))))</f>
        <v/>
      </c>
      <c r="BO13" s="461" t="str">
        <f>IF(BE13="","",IF(AND($AG$3=$AG$1,BE13&lt;=$AZ$1),0,IF(OR(BW13=2,BW13=3,$D$31=$D$28,BG13=VLOOKUP(BG13,'IN RPS-2015'!$I$2:$J$5,1)),0,ROUND(MIN(VLOOKUP(BD13,$A$27:$C$29,2,TRUE),ROUND(BG13*VLOOKUP(BD13,$A$27:$C$29,3,TRUE)%,0))*IF(BD13=$A$36,$C$36,IF(BD13=$A$37,$C$37,IF(BD13=$A$38,$C$38,IF(BD13=$A$39,$C$39,IF(BD13=$A$40,$C$40,IF(BD13=$A$41,$C$41,1))))))*(DAY(BF13)-DAY(BE13)+1)/DAY(EOMONTH(BE13,0)),0))))</f>
        <v/>
      </c>
      <c r="BP13" s="461" t="str">
        <f>IF(BE13="","",IF(AND($AG$3=$AG$1,BE13&lt;=$AZ$1),0,IF(Main!$C$26="UGC",0,IF(OR(BW13=3,BG13=VLOOKUP(BG13,'IN RPS-2015'!$I$2:$J$5,1)),0,ROUND(IF(BW13=2,VLOOKUP(BG13,IF($AG$3=$I$29,$A$20:$E$23,$F$144:$J$147),IF($B$19=VLOOKUP(BE13,$B$2:$G$4,3,TRUE),2,IF($C$19=VLOOKUP(BE13,$B$2:$G$4,3,TRUE),3,IF($D$19=VLOOKUP(BE13,$B$2:$G$4,3,TRUE),4,5))),TRUE),VLOOKUP(BG13,IF($AG$3=$I$29,$A$20:$E$23,$F$144:$J$147),IF($B$19=VLOOKUP(BE13,$B$2:$G$4,3,TRUE),2,IF($C$19=VLOOKUP(BE13,$B$2:$G$4,3,TRUE),3,IF($D$19=VLOOKUP(BE13,$B$2:$G$4,3,TRUE),4,5))),TRUE))*(DAY(BF13)-DAY(BE13)+1)/DAY(EOMONTH(BE13,0)),0)))))</f>
        <v/>
      </c>
      <c r="BQ13" s="461" t="str">
        <f>IF(BE13="","",IF(AND($AG$3=$AG$1,BE13&lt;=$AZ$1),0,IF(Main!$C$26="UGC",0,IF(OR(BD13&lt;DATE(2010,4,1),BW13=3,BG13=VLOOKUP(BG13,'IN RPS-2015'!$I$2:$J$5,1)),0,ROUND(IF(BW13=2,IF(BE13&lt;$J$152,Main!$L$9,Main!$CI$3)/2,IF(BE13&lt;$J$152,Main!$L$9,Main!$CI$3))*(DAY(BF13)-DAY(BE13)+1)/DAY(EOMONTH(BE13,0)),0)))))</f>
        <v/>
      </c>
      <c r="BR13" s="461"/>
      <c r="BS13" s="461" t="str">
        <f>IF(BE13="","",IF(AND($AG$3=$AG$1,BE13&lt;=$AZ$1),0,IF(Main!$C$26="UGC",0,IF(OR(BW13=3,BG13=VLOOKUP(BG13,'IN RPS-2015'!$I$2:$J$5,1)),0,ROUND(IF(BW13=2,VLOOKUP(BH13,IF(BE13&lt;$J$152,$A$154:$E$159,$F$154:$J$159),IF($B$10=VLOOKUP(BD13,$B$2:$G$4,6,TRUE),2,IF($B$10=VLOOKUP(BD13,$B$2:$G$4,6,TRUE),3,IF($D$10=VLOOKUP(BD13,$B$2:$G$4,6,TRUE),4,5))))/2,VLOOKUP(BH13,IF(BE13&lt;$J$152,$A$154:$E$159,$F$154:$J$159),IF($B$10=VLOOKUP(BD13,$B$2:$G$4,6,TRUE),2,IF($B$10=VLOOKUP(BD13,$B$2:$G$4,6,TRUE),3,IF($D$10=VLOOKUP(BD13,$B$2:$G$4,6,TRUE),4,5)))))*(DAY(BF13)-DAY(BE13)+1)/DAY(EOMONTH(BE13,0)),0)))))</f>
        <v/>
      </c>
      <c r="BT13" s="461">
        <f t="shared" si="69"/>
        <v>0</v>
      </c>
      <c r="BU13" s="464" t="str">
        <f>IF(BE13="","",IF(AND($AG$3=$AG$1,BE13&lt;=$AZ$1),0,IF(AND(Main!$F$22=Main!$CA$24,BE13&gt;$AZ$1),ROUND(SUM(BH13,BJ13)*10%,0),"")))</f>
        <v/>
      </c>
      <c r="BV13" s="464" t="str">
        <f>IF(BD13="","",IF(AND($AG$3=$AG$1,BE13&lt;=$AZ$1),0,IF(OR(Main!$H$10=Main!$BH$4,Main!$H$10=Main!$BH$5),0,LOOKUP(BT13*DAY(EOMONTH(BE13,0))/(DAY(BF13)-DAY(BE13)+1),$H$184:$I$189))))</f>
        <v/>
      </c>
      <c r="BW13" s="503">
        <f t="shared" si="70"/>
        <v>1</v>
      </c>
      <c r="BX13" s="457">
        <f t="shared" si="71"/>
        <v>0</v>
      </c>
      <c r="BY13" s="497"/>
      <c r="BZ13" s="497"/>
      <c r="CA13" s="457"/>
      <c r="CB13" s="461"/>
      <c r="CC13" s="499" t="str">
        <f t="shared" si="57"/>
        <v/>
      </c>
      <c r="CD13" s="500" t="str">
        <f t="shared" si="86"/>
        <v/>
      </c>
      <c r="CE13" s="484" t="str">
        <f>IF(CD13="","",MIN(EOMONTH(CD13,0),VLOOKUP(CD13,'IN RPS-2015'!$O$164:$P$202,2,TRUE)-1,LOOKUP(CD13,$E$47:$F$53)-1,IF(CD13&lt;$B$2,$B$2-1,'IN RPS-2015'!$Q$9),IF(CD13&lt;$B$3,$B$3-1,'IN RPS-2015'!$Q$9),IF(CD13&lt;$B$4,$B$4-1,'IN RPS-2015'!$Q$9),LOOKUP(CD13,$H$47:$I$53)))</f>
        <v/>
      </c>
      <c r="CF13" s="490" t="str">
        <f>IF(CD13="","",VLOOKUP(CD13,'IN RPS-2015'!$T$207:$Y$222,5))</f>
        <v/>
      </c>
      <c r="CG13" s="461" t="str">
        <f t="shared" si="72"/>
        <v/>
      </c>
      <c r="CH13" s="461" t="str">
        <f>IF(CD13="","",IF(AND($CA$3=$CA$1,CD13&lt;=$CT$1),0,ROUND(IF(CV13=3,0,IF(CV13=2,IF(CF13=VLOOKUP(CF13,'IN RPS-2015'!$I$2:$J$5,1),0,Main!$H$9)/2,IF(CF13=VLOOKUP(CF13,'IN RPS-2015'!$I$2:$J$5,1),0,Main!$H$9)))*(DAY(CE13)-DAY(CD13)+1)/DAY(EOMONTH(CD13,0)),0)))</f>
        <v/>
      </c>
      <c r="CI13" s="461" t="str">
        <f>IF(CD13="","",IF(AND($CA$3=$CA$1,CD13&lt;=$CT$1),0,IF(CF13=VLOOKUP(CF13,'IN RPS-2015'!$I$2:$J$5,1),0,ROUND(CG13*VLOOKUP(CD13,$BZ$4:$CA$7,2)%,0))))</f>
        <v/>
      </c>
      <c r="CJ13" s="461" t="str">
        <f>IF(CD13="","",IF(AND($CA$3=$CA$1,CD13&lt;=$CT$1),0,IF(OR(CV13=3,CF13=VLOOKUP(CF13,'IN RPS-2015'!$I$2:$J$5,1)),0,ROUND(MIN(ROUND(CF13*VLOOKUP(CD13,$B$1:$G$4,2)%,0),VLOOKUP(CD13,$B$2:$I$4,IF($CA$3=$I$29,7,8),TRUE))*(DAY(CE13)-DAY(CD13)+1)/DAY(EOMONTH(CD13,0)),0))))</f>
        <v/>
      </c>
      <c r="CK13" s="491" t="str">
        <f>IF(CD13="","",IF(AND($CA$3=$CA$1,CD13&lt;=$CT$1),0,IF(Main!$C$26="UGC",0,IF(OR(CD13&lt;DATE(2010,4,1),$I$6=VLOOKUP(CD13,$B$2:$G$4,5,TRUE),CF13=VLOOKUP(CF13,'IN RPS-2015'!$I$2:$J$5,1)),0,ROUND(IF(CV13=3,0,IF(CV13=2,MIN(ROUND(CF13*$G$13%,0),IF(CD13&lt;$J$152,$G$14,$G$15))/2,MIN(ROUND(CF13*$G$13%,0),IF(CD13&lt;$J$152,$G$14,$G$15))))*(DAY(CE13)-DAY(CD13)+1)/DAY(EOMONTH(CD13,0)),0)))))</f>
        <v/>
      </c>
      <c r="CL13" s="461" t="str">
        <f>IF(CD13="","",IF(AND($CA$3=$CA$1,CD13&lt;=$CT$1),0,IF(Main!$C$26="UGC",0,IF(CF13=VLOOKUP(CF13,'IN RPS-2015'!$I$2:$J$5,1),0,ROUND(CG13*VLOOKUP(CD13,$BZ$11:$CA$12,2)%,0)))))</f>
        <v/>
      </c>
      <c r="CM13" s="461" t="str">
        <f>IF(CD13="","",IF(AND($CA$3=$CA$1,CD13&lt;=$CT$1),0,IF(Main!$C$26="UGC",0,IF(CD13&lt;DATE(2010,4,1),0,IF(OR(CV13=2,CV13=3,CF13=VLOOKUP(CF13,'IN RPS-2015'!$I$2:$J$5,1)),0,ROUND(IF(CD13&lt;$J$152,VLOOKUP(CD13,$B$1:$G$4,4),VLOOKUP(VLOOKUP(CD13,$B$1:$G$4,4),Main!$CE$2:$CF$5,2,FALSE))*(DAY(CE13)-DAY(CD13)+1)/DAY(EOMONTH(CD13,0)),0))))))</f>
        <v/>
      </c>
      <c r="CN13" s="461" t="str">
        <f>IF(CD13="","",IF(AND($CA$3=$CA$1,CD13&lt;=$CT$1),0,IF(OR(CV13=2,CV13=3,$D$31=$D$28,CF13=VLOOKUP(CF13,'IN RPS-2015'!$I$2:$J$5,1)),0,ROUND(MIN(VLOOKUP(CC13,$A$27:$C$29,2,TRUE),ROUND(CF13*VLOOKUP(CC13,$A$27:$C$29,3,TRUE)%,0))*IF(CC13=$A$36,$C$36,IF(CC13=$A$37,$C$37,IF(CC13=$A$38,$C$38,IF(CC13=$A$39,$C$39,IF(CC13=$A$40,$C$40,IF(CC13=$A$41,$C$41,1))))))*(DAY(CE13)-DAY(CD13)+1)/DAY(EOMONTH(CD13,0)),0))))</f>
        <v/>
      </c>
      <c r="CO13" s="461" t="str">
        <f>IF(CD13="","",IF(AND($CA$3=$CA$1,CD13&lt;=$CT$1),0,IF(Main!$C$26="UGC",0,IF(OR(CV13=3,CF13=VLOOKUP(CF13,'IN RPS-2015'!$I$2:$J$5,1)),0,ROUND(IF(CV13=2,VLOOKUP(CF13,IF($CA$3=$I$29,$A$20:$E$23,$F$144:$J$147),IF($B$19=VLOOKUP(CD13,$B$2:$G$4,3,TRUE),2,IF($C$19=VLOOKUP(CD13,$B$2:$G$4,3,TRUE),3,IF($D$19=VLOOKUP(CD13,$B$2:$G$4,3,TRUE),4,5))),TRUE),VLOOKUP(CF13,IF($CA$3=$I$29,$A$20:$E$23,$F$144:$J$147),IF($B$19=VLOOKUP(CD13,$B$2:$G$4,3,TRUE),2,IF($C$19=VLOOKUP(CD13,$B$2:$G$4,3,TRUE),3,IF($D$19=VLOOKUP(CD13,$B$2:$G$4,3,TRUE),4,5))),TRUE))*(DAY(CE13)-DAY(CD13)+1)/DAY(EOMONTH(CD13,0)),0)))))</f>
        <v/>
      </c>
      <c r="CP13" s="461" t="str">
        <f>IF(CD13="","",IF(AND($CA$3=$CA$1,CD13&lt;=$CT$1),0,IF(Main!$C$26="UGC",0,IF(OR(CC13&lt;DATE(2010,4,1),CV13=3,CF13=VLOOKUP(CF13,'IN RPS-2015'!$I$2:$J$5,1)),0,ROUND(IF(CV13=2,IF(CD13&lt;$J$152,Main!$L$9,Main!$CI$3)/2,IF(CD13&lt;$J$152,Main!$L$9,Main!$CI$3))*(DAY(CE13)-DAY(CD13)+1)/DAY(EOMONTH(CD13,0)),0)))))</f>
        <v/>
      </c>
      <c r="CQ13" s="461"/>
      <c r="CR13" s="461" t="str">
        <f>IF(CD13="","",IF(AND($CA$3=$CA$1,CD13&lt;=$CT$1),0,IF(Main!$C$26="UGC",0,IF(OR(CV13=3,CF13=VLOOKUP(CF13,'IN RPS-2015'!$I$2:$J$5,1)),0,ROUND(IF(CV13=2,VLOOKUP(CG13,IF(CD13&lt;$J$152,$A$154:$E$159,$F$154:$J$159),IF($B$10=VLOOKUP(CC13,$B$2:$G$4,6,TRUE),2,IF($B$10=VLOOKUP(CC13,$B$2:$G$4,6,TRUE),3,IF($D$10=VLOOKUP(CC13,$B$2:$G$4,6,TRUE),4,5))))/2,VLOOKUP(CG13,IF(CD13&lt;$J$152,$A$154:$E$159,$F$154:$J$159),IF($B$10=VLOOKUP(CC13,$B$2:$G$4,6,TRUE),2,IF($B$10=VLOOKUP(CC13,$B$2:$G$4,6,TRUE),3,IF($D$10=VLOOKUP(CC13,$B$2:$G$4,6,TRUE),4,5)))))*(DAY(CE13)-DAY(CD13)+1)/DAY(EOMONTH(CD13,0)),0)))))</f>
        <v/>
      </c>
      <c r="CS13" s="461">
        <f t="shared" si="73"/>
        <v>0</v>
      </c>
      <c r="CT13" s="464" t="str">
        <f>IF(CD13="","",IF(AND($CA$3=$CA$1,CD13&lt;=$CT$1),0,IF(AND(Main!$F$22=Main!$CA$24,CD13&gt;$CT$1),ROUND(SUM(CG13,CI13)*10%,0),"")))</f>
        <v/>
      </c>
      <c r="CU13" s="464" t="str">
        <f>IF(CC13="","",IF(CG13=0,0,IF(OR(Main!$H$10=Main!$BH$4,Main!$H$10=Main!$BH$5),0,LOOKUP(CS13*DAY(EOMONTH(CD13,0))/(DAY(CE13)-DAY(CD13)+1),$H$184:$I$189))))</f>
        <v/>
      </c>
      <c r="CV13" s="457">
        <f t="shared" si="74"/>
        <v>1</v>
      </c>
      <c r="CW13" s="464"/>
      <c r="CX13" s="501" t="str">
        <f t="shared" si="59"/>
        <v/>
      </c>
      <c r="CY13" s="502" t="str">
        <f t="shared" si="87"/>
        <v/>
      </c>
      <c r="CZ13" s="484" t="str">
        <f>IF(CY13="","",MIN(EOMONTH(CY13,0),VLOOKUP(CY13,'IN RPS-2015'!$O$164:$P$202,2,TRUE)-1,LOOKUP(CY13,$E$47:$F$53)-1,IF(CY13&lt;$B$2,$B$2-1,'IN RPS-2015'!$Q$9),IF(CY13&lt;$B$3,$B$3-1,'IN RPS-2015'!$Q$9),IF(CY13&lt;$B$4,$B$4-1,'IN RPS-2015'!$Q$9),LOOKUP(CY13,$H$47:$I$53)))</f>
        <v/>
      </c>
      <c r="DA13" s="493" t="str">
        <f>IF(CY13="","",VLOOKUP(CY13,'IN RPS-2015'!$T$207:$Y$222,6))</f>
        <v/>
      </c>
      <c r="DB13" s="461" t="str">
        <f t="shared" si="75"/>
        <v/>
      </c>
      <c r="DC13" s="461" t="str">
        <f>IF(CY13="","",IF(AND($CA$3=$CA$1,CY13&lt;=$CT$1),0,ROUND(IF(DQ13=3,0,IF(DQ13=2,IF(DA13=VLOOKUP(DA13,'IN RPS-2015'!$I$2:$J$5,1),0,Main!$H$9)/2,IF(DA13=VLOOKUP(DA13,'IN RPS-2015'!$I$2:$J$5,1),0,Main!$H$9)))*(DAY(CZ13)-DAY(CY13)+1)/DAY(EOMONTH(CY13,0)),0)))</f>
        <v/>
      </c>
      <c r="DD13" s="461" t="str">
        <f>IF(CY13="","",IF(AND($CA$3=$CA$1,CY13&lt;=$CT$1),0,IF(DA13=VLOOKUP(DA13,'IN RPS-2015'!$I$2:$J$5,1),0,ROUND(DB13*VLOOKUP(CY13,$BZ$4:$CA$7,2)%,0))))</f>
        <v/>
      </c>
      <c r="DE13" s="461" t="str">
        <f>IF(CY13="","",IF(AND($CA$3=$CA$1,CY13&lt;=$CT$1),0,IF(OR(DQ13=3,DA13=VLOOKUP(DA13,'IN RPS-2015'!$I$2:$J$5,1)),0,ROUND(MIN(ROUND(DA13*VLOOKUP(CY13,$B$1:$G$4,2)%,0),VLOOKUP(CY13,$B$2:$I$4,IF($CA$3=$I$29,7,8),TRUE))*(DAY(CZ13)-DAY(CY13)+1)/DAY(EOMONTH(CY13,0)),0))))</f>
        <v/>
      </c>
      <c r="DF13" s="491" t="str">
        <f>IF(CY13="","",IF(AND($CA$3=$CA$1,CY13&lt;=$CT$1),0,IF(Main!$C$26="UGC",0,IF(OR(CY13&lt;DATE(2010,4,1),$I$6=VLOOKUP(CY13,$B$2:$G$4,5,TRUE),DA13=VLOOKUP(DA13,'IN RPS-2015'!$I$2:$J$5,1)),0,ROUND(IF(DQ13=3,0,IF(DQ13=2,MIN(ROUND(DA13*$G$13%,0),IF(CY13&lt;$J$152,$G$14,$G$15))/2,MIN(ROUND(DA13*$G$13%,0),IF(CY13&lt;$J$152,$G$14,$G$15))))*(DAY(CZ13)-DAY(CY13)+1)/DAY(EOMONTH(CY13,0)),0)))))</f>
        <v/>
      </c>
      <c r="DG13" s="461" t="str">
        <f>IF(CY13="","",IF(AND($CA$3=$CA$1,CY13&lt;=$CT$1),0,IF(Main!$C$26="UGC",0,IF(DA13=VLOOKUP(DA13,'IN RPS-2015'!$I$2:$J$5,1),0,ROUND(DB13*VLOOKUP(CY13,$BZ$11:$CA$12,2)%,0)))))</f>
        <v/>
      </c>
      <c r="DH13" s="461" t="str">
        <f>IF(CY13="","",IF(AND($CA$3=$CA$1,CY13&lt;=$CT$1),0,IF(Main!$C$26="UGC",0,IF(CY13&lt;DATE(2010,4,1),0,IF(OR(DQ13=2,DQ13=3,DA13=VLOOKUP(DA13,'IN RPS-2015'!$I$2:$J$5,1)),0,ROUND(IF(CY13&lt;$J$152,VLOOKUP(CY13,$B$1:$G$4,4),VLOOKUP(VLOOKUP(CY13,$B$1:$G$4,4),Main!$CE$2:$CF$5,2,FALSE))*(DAY(CZ13)-DAY(CY13)+1)/DAY(EOMONTH(CY13,0)),0))))))</f>
        <v/>
      </c>
      <c r="DI13" s="461" t="str">
        <f>IF(CY13="","",IF(AND($CA$3=$CA$1,CY13&lt;=$CT$1),0,IF(OR(DQ13=2,DQ13=3,$D$31=$D$28,DA13=VLOOKUP(DA13,'IN RPS-2015'!$I$2:$J$5,1)),0,ROUND(MIN(VLOOKUP(CX13,$A$27:$C$29,2,TRUE),ROUND(DA13*VLOOKUP(CX13,$A$27:$C$29,3,TRUE)%,0))*IF(CX13=$A$36,$C$36,IF(CX13=$A$37,$C$37,IF(CX13=$A$38,$C$38,IF(CX13=$A$39,$C$39,IF(CX13=$A$40,$C$40,IF(CX13=$A$41,$C$41,1))))))*(DAY(CZ13)-DAY(CY13)+1)/DAY(EOMONTH(CY13,0)),0))))</f>
        <v/>
      </c>
      <c r="DJ13" s="461" t="str">
        <f>IF(CY13="","",IF(AND($CA$3=$CA$1,CY13&lt;=$CT$1),0,IF(Main!$C$26="UGC",0,IF(OR(DQ13=3,DA13=VLOOKUP(DA13,'IN RPS-2015'!$I$2:$J$5,1)),0,ROUND(IF(DQ13=2,VLOOKUP(DA13,IF($CA$3=$I$29,$A$20:$E$23,$F$144:$J$147),IF($B$19=VLOOKUP(CY13,$B$2:$G$4,3,TRUE),2,IF($C$19=VLOOKUP(CY13,$B$2:$G$4,3,TRUE),3,IF($D$19=VLOOKUP(CY13,$B$2:$G$4,3,TRUE),4,5))),TRUE),VLOOKUP(DA13,IF($CA$3=$I$29,$A$20:$E$23,$F$144:$J$147),IF($B$19=VLOOKUP(CY13,$B$2:$G$4,3,TRUE),2,IF($C$19=VLOOKUP(CY13,$B$2:$G$4,3,TRUE),3,IF($D$19=VLOOKUP(CY13,$B$2:$G$4,3,TRUE),4,5))),TRUE))*(DAY(CZ13)-DAY(CY13)+1)/DAY(EOMONTH(CY13,0)),0)))))</f>
        <v/>
      </c>
      <c r="DK13" s="461" t="str">
        <f>IF(CY13="","",IF(AND($CA$3=$CA$1,CY13&lt;=$CT$1),0,IF(Main!$C$26="UGC",0,IF(OR(CX13&lt;DATE(2010,4,1),DQ13=3,DA13=VLOOKUP(DA13,'IN RPS-2015'!$I$2:$J$5,1)),0,ROUND(IF(DQ13=2,IF(CY13&lt;$J$152,Main!$L$9,Main!$CI$3)/2,IF(CY13&lt;$J$152,Main!$L$9,Main!$CI$3))*(DAY(CZ13)-DAY(CY13)+1)/DAY(EOMONTH(CY13,0)),0)))))</f>
        <v/>
      </c>
      <c r="DL13" s="461"/>
      <c r="DM13" s="461" t="str">
        <f>IF(CY13="","",IF(AND($CA$3=$CA$1,CY13&lt;=$CT$1),0,IF(Main!$C$26="UGC",0,IF(OR(DQ13=3,DA13=VLOOKUP(DA13,'IN RPS-2015'!$I$2:$J$5,1)),0,ROUND(IF(DQ13=2,VLOOKUP(DB13,IF(CY13&lt;$J$152,$A$154:$E$159,$F$154:$J$159),IF($B$10=VLOOKUP(CX13,$B$2:$G$4,6,TRUE),2,IF($B$10=VLOOKUP(CX13,$B$2:$G$4,6,TRUE),3,IF($D$10=VLOOKUP(CX13,$B$2:$G$4,6,TRUE),4,5))))/2,VLOOKUP(DB13,IF(CY13&lt;$J$152,$A$154:$E$159,$F$154:$J$159),IF($B$10=VLOOKUP(CX13,$B$2:$G$4,6,TRUE),2,IF($B$10=VLOOKUP(CX13,$B$2:$G$4,6,TRUE),3,IF($D$10=VLOOKUP(CX13,$B$2:$G$4,6,TRUE),4,5)))))*(DAY(CZ13)-DAY(CY13)+1)/DAY(EOMONTH(CY13,0)),0)))))</f>
        <v/>
      </c>
      <c r="DN13" s="461">
        <f t="shared" si="76"/>
        <v>0</v>
      </c>
      <c r="DO13" s="464" t="str">
        <f>IF(CY13="","",IF(AND($CA$3=$CA$1,CY13&lt;=$CT$1),0,IF(AND(Main!$F$22=Main!$CA$24,CY13&gt;$CT$1),ROUND(SUM(DB13,DD13)*10%,0),"")))</f>
        <v/>
      </c>
      <c r="DP13" s="464" t="str">
        <f>IF(CX13="","",IF(AND($CA$3=$CA$1,CY13&lt;=$CT$1),0,IF(OR(Main!$H$10=Main!$BH$4,Main!$H$10=Main!$BH$5),0,LOOKUP(DN13*DAY(EOMONTH(CY13,0))/(DAY(CZ13)-DAY(CY13)+1),$H$184:$I$189))))</f>
        <v/>
      </c>
      <c r="DQ13" s="457">
        <f t="shared" si="60"/>
        <v>1</v>
      </c>
      <c r="DR13" s="457">
        <f t="shared" si="77"/>
        <v>0</v>
      </c>
      <c r="DS13" s="497"/>
      <c r="DT13" s="497"/>
      <c r="DU13" s="457"/>
      <c r="DV13" s="461"/>
      <c r="DW13" s="499" t="str">
        <f t="shared" si="61"/>
        <v/>
      </c>
      <c r="DX13" s="500" t="str">
        <f t="shared" si="88"/>
        <v/>
      </c>
      <c r="DY13" s="484" t="str">
        <f>IF(DX13="","",MIN(EOMONTH(DX13,0),VLOOKUP(DX13,'IN RPS-2015'!$O$164:$P$202,2,TRUE)-1,LOOKUP(DX13,$E$47:$F$53)-1,IF(DX13&lt;$B$2,$B$2-1,'IN RPS-2015'!$Q$9),IF(DX13&lt;$B$3,$B$3-1,'IN RPS-2015'!$Q$9),IF(DX13&lt;$B$4,$B$4-1,'IN RPS-2015'!$Q$9),LOOKUP(DX13,$H$47:$I$53)))</f>
        <v/>
      </c>
      <c r="DZ13" s="490" t="str">
        <f>IF(DX13="","",VLOOKUP(DX13,'IN RPS-2015'!$P$164:$AA$202,11))</f>
        <v/>
      </c>
      <c r="EA13" s="461" t="str">
        <f t="shared" si="78"/>
        <v/>
      </c>
      <c r="EB13" s="461" t="str">
        <f>IF(DX13="","",ROUND(IF(EP13=3,0,IF(EP13=2,IF(DZ13=VLOOKUP(DZ13,'IN RPS-2015'!$I$2:$J$5,1),0,Main!$H$9)/2,IF(DZ13=VLOOKUP(DZ13,'IN RPS-2015'!$I$2:$J$5,1),0,Main!$H$9)))*(DAY(DY13)-DAY(DX13)+1)/DAY(EOMONTH(DX13,0)),0))</f>
        <v/>
      </c>
      <c r="EC13" s="461" t="str">
        <f>IF(DX13="","",IF(DZ13=VLOOKUP(DZ13,'IN RPS-2015'!$I$2:$J$5,1),0,ROUND(EA13*VLOOKUP(DX13,$DT$4:$DU$7,2)%,0)))</f>
        <v/>
      </c>
      <c r="ED13" s="461" t="str">
        <f>IF(DX13="","",IF(OR(EP13=3,DZ13=VLOOKUP(DZ13,'IN RPS-2015'!$I$2:$J$5,1)),0,ROUND(MIN(ROUND(DZ13*VLOOKUP(DX13,$B$1:$G$4,2)%,0),VLOOKUP(DX13,$B$2:$I$4,IF($DU$3=$I$29,7,8),TRUE))*(DAY(DY13)-DAY(DX13)+1)/DAY(EOMONTH(DX13,0)),0)))</f>
        <v/>
      </c>
      <c r="EE13" s="491" t="str">
        <f>IF(DX13="","",IF(Main!$C$26="UGC",0,IF(OR(DX13&lt;DATE(2010,4,1),$I$6=VLOOKUP(DX13,$B$2:$G$4,5,TRUE),DZ13=VLOOKUP(DZ13,'IN RPS-2015'!$I$2:$J$5,1)),0,ROUND(IF(EP13=3,0,IF(EP13=2,MIN(ROUND(DZ13*$G$13%,0),IF(DX13&lt;$I$152,$G$14,$G$15))/2,MIN(ROUND(DZ13*$G$13%,0),IF(DX13&lt;$I$152,$G$14,$G$15))))*(DAY(DY13)-DAY(DX13)+1)/DAY(EOMONTH(DX13,0)),0))))</f>
        <v/>
      </c>
      <c r="EF13" s="461" t="str">
        <f>IF(DX13="","",IF(Main!$C$26="UGC",0,IF(DZ13=VLOOKUP(DZ13,'IN RPS-2015'!$I$2:$J$5,1),0,ROUND(EA13*VLOOKUP(DX13,$DT$11:$DU$12,2)%,0))))</f>
        <v/>
      </c>
      <c r="EG13" s="461" t="str">
        <f>IF(DX13="","",IF(Main!$C$26="UGC",0,IF(DX13&lt;DATE(2010,4,1),0,IF(OR(EP13=2,EP13=3,DZ13=VLOOKUP(DZ13,'IN RPS-2015'!$I$2:$J$5,1)),0,ROUND(IF(DX13&lt;$I$152,VLOOKUP(DX13,$B$1:$G$4,4),VLOOKUP(VLOOKUP(DX13,$B$1:$G$4,4),Main!$CE$2:$CF$5,2,FALSE))*(DAY(DY13)-DAY(DX13)+1)/DAY(EOMONTH(DX13,0)),0)))))</f>
        <v/>
      </c>
      <c r="EH13" s="461" t="str">
        <f>IF(DX13="","",IF(OR(EP13=2,EP13=3,$D$31=$D$28,DZ13=VLOOKUP(DZ13,'IN RPS-2015'!$I$2:$J$5,1)),0,ROUND(MIN(IF(DX13&lt;$I$152,900,1350),ROUND(DZ13*VLOOKUP(DW13,$A$27:$C$29,3,TRUE)%,0))*IF(DW13=$A$36,$C$36,IF(DW13=$A$37,$C$37,IF(DW13=$A$38,$C$38,IF(DW13=$A$39,$C$39,IF(DW13=$A$40,$C$40,IF(DW13=$A$41,$C$41,1))))))*(DAY(DY13)-DAY(DX13)+1)/DAY(EOMONTH(DX13,0)),0)))</f>
        <v/>
      </c>
      <c r="EI13" s="461" t="str">
        <f>IF(DX13="","",IF(Main!$C$26="UGC",0,IF(OR(EP13=3,DZ13=VLOOKUP(DZ13,'IN RPS-2015'!$I$2:$J$5,1)),0,ROUND(IF(EP13=2,VLOOKUP(DZ13,IF($DU$3=$I$29,$A$20:$E$23,$F$144:$J$147),IF($B$19=VLOOKUP(DX13,$B$2:$G$4,3,TRUE),2,IF($C$19=VLOOKUP(DX13,$B$2:$G$4,3,TRUE),3,IF($D$19=VLOOKUP(DX13,$B$2:$G$4,3,TRUE),4,5))),TRUE),VLOOKUP(DZ13,IF($DU$3=$I$29,$A$20:$E$23,$F$144:$J$147),IF($B$19=VLOOKUP(DX13,$B$2:$G$4,3,TRUE),2,IF($C$19=VLOOKUP(DX13,$B$2:$G$4,3,TRUE),3,IF($D$19=VLOOKUP(DX13,$B$2:$G$4,3,TRUE),4,5))),TRUE))*(DAY(DY13)-DAY(DX13)+1)/DAY(EOMONTH(DX13,0)),0))))</f>
        <v/>
      </c>
      <c r="EJ13" s="461" t="str">
        <f>IF(DX13="","",IF(Main!$C$26="UGC",0,IF(OR(DW13&lt;DATE(2010,4,1),EP13=3,DZ13=VLOOKUP(DZ13,'IN RPS-2015'!$I$2:$J$5,1)),0,ROUND(IF(EP13=2,IF(DX13&lt;$I$152,Main!$L$9,Main!$CI$3)/2,IF(DX13&lt;$I$152,Main!$L$9,Main!$CI$3))*(DAY(DY13)-DAY(DX13)+1)/DAY(EOMONTH(DX13,0)),0))))</f>
        <v/>
      </c>
      <c r="EK13" s="461"/>
      <c r="EL13" s="461" t="str">
        <f>IF(DX13="","",IF(Main!$C$26="UGC",0,IF(OR(EP13=3,DZ13=VLOOKUP(DZ13,'IN RPS-2015'!$I$2:$J$5,1)),0,ROUND(IF(EP13=2,VLOOKUP(EA13,IF(DX13&lt;$I$152,$A$154:$E$159,$F$154:$J$159),IF($B$10=VLOOKUP(DW13,$B$2:$G$4,6,TRUE),2,IF($B$10=VLOOKUP(DW13,$B$2:$G$4,6,TRUE),3,IF($D$10=VLOOKUP(DW13,$B$2:$G$4,6,TRUE),4,5))))/2,VLOOKUP(EA13,IF(DX13&lt;$I$152,$A$154:$E$159,$F$154:$J$159),IF($B$10=VLOOKUP(DW13,$B$2:$G$4,6,TRUE),2,IF($B$10=VLOOKUP(DW13,$B$2:$G$4,6,TRUE),3,IF($D$10=VLOOKUP(DW13,$B$2:$G$4,6,TRUE),4,5)))))*(DAY(DY13)-DAY(DX13)+1)/DAY(EOMONTH(DX13,0)),0))))</f>
        <v/>
      </c>
      <c r="EM13" s="461">
        <f t="shared" si="79"/>
        <v>0</v>
      </c>
      <c r="EN13" s="464" t="str">
        <f>IF(DX13="","",IF(AND(Main!$F$22=Main!$CA$24,DX13&gt;$EN$1),ROUND(SUM(EA13,EC13)*10%,0),""))</f>
        <v/>
      </c>
      <c r="EO13" s="464" t="str">
        <f>IF(DW13="","",IF(EA13=0,0,IF(OR(Main!$H$10=Main!$BH$4,Main!$H$10=Main!$BH$5),0,LOOKUP(EM13*DAY(EOMONTH(DX13,0))/(DAY(DY13)-DAY(DX13)+1),$H$184:$I$189))))</f>
        <v/>
      </c>
      <c r="EP13" s="457">
        <f t="shared" si="62"/>
        <v>1</v>
      </c>
      <c r="ER13" s="497"/>
      <c r="ET13" s="461"/>
      <c r="EU13" s="499" t="str">
        <f t="shared" si="63"/>
        <v/>
      </c>
      <c r="EV13" s="500" t="str">
        <f t="shared" si="89"/>
        <v/>
      </c>
      <c r="EW13" s="484" t="str">
        <f>IF(EV13="","",MIN(EOMONTH(EV13,0),VLOOKUP(EV13,'IN RPS-2015'!$O$164:$P$202,2,TRUE)-1,LOOKUP(EV13,$E$47:$F$53)-1,IF(EV13&lt;$B$2,$B$2-1,'IN RPS-2015'!$Q$9),IF(EV13&lt;$B$3,$B$3-1,'IN RPS-2015'!$Q$9),IF(EV13&lt;$B$4,$B$4-1,'IN RPS-2015'!$Q$9),LOOKUP(EV13,$H$47:$I$53)))</f>
        <v/>
      </c>
      <c r="EX13" s="490" t="str">
        <f>IF(EV13="","",VLOOKUP(EV13,'IN RPS-2015'!$P$164:$AA$202,12))</f>
        <v/>
      </c>
      <c r="EY13" s="461" t="str">
        <f t="shared" si="80"/>
        <v/>
      </c>
      <c r="EZ13" s="461" t="str">
        <f>IF(EV13="","",ROUND(IF(FN13=3,0,IF(FN13=2,IF(EX13=VLOOKUP(EX13,'IN RPS-2015'!$I$2:$J$5,1),0,Main!$H$9)/2,IF(EX13=VLOOKUP(EX13,'IN RPS-2015'!$I$2:$J$5,1),0,Main!$H$9)))*(DAY(EW13)-DAY(EV13)+1)/DAY(EOMONTH(EV13,0)),0))</f>
        <v/>
      </c>
      <c r="FA13" s="461" t="str">
        <f>IF(EV13="","",IF(EX13=VLOOKUP(EX13,'IN RPS-2015'!$I$2:$J$5,1),0,ROUND(EY13*VLOOKUP(EV13,$ER$4:$ES$7,2)%,0)))</f>
        <v/>
      </c>
      <c r="FB13" s="461" t="str">
        <f>IF(EV13="","",IF(OR(FN13=3,EX13=VLOOKUP(EX13,'IN RPS-2015'!$I$2:$J$5,1)),0,ROUND(MIN(ROUND(EX13*VLOOKUP(EV13,$B$1:$G$4,2)%,0),VLOOKUP(EV13,$B$2:$I$4,IF($ES$3=$I$29,7,8),TRUE))*(DAY(EW13)-DAY(EV13)+1)/DAY(EOMONTH(EV13,0)),0)))</f>
        <v/>
      </c>
      <c r="FC13" s="491" t="str">
        <f>IF(EV13="","",IF(Main!$C$26="UGC",0,IF(OR(EV13&lt;DATE(2010,4,1),$I$6=VLOOKUP(EV13,$B$2:$G$4,5,TRUE),EX13=VLOOKUP(EX13,'IN RPS-2015'!$I$2:$J$5,1)),0,ROUND(IF(FN13=3,0,IF(FN13=2,MIN(ROUND(EX13*$G$13%,0),IF(EV13&lt;$J$152,$G$14,$G$15))/2,MIN(ROUND(EX13*$G$13%,0),IF(EV13&lt;$J$152,$G$14,$G$15))))*(DAY(EW13)-DAY(EV13)+1)/DAY(EOMONTH(EV13,0)),0))))</f>
        <v/>
      </c>
      <c r="FD13" s="461" t="str">
        <f>IF(EV13="","",IF(Main!$C$26="UGC",0,IF(EX13=VLOOKUP(EX13,'IN RPS-2015'!$I$2:$J$5,1),0,ROUND(EY13*VLOOKUP(EV13,$ER$11:$ES$12,2)%,0))))</f>
        <v/>
      </c>
      <c r="FE13" s="461" t="str">
        <f>IF(EV13="","",IF(Main!$C$26="UGC",0,IF(EV13&lt;DATE(2010,4,1),0,IF(OR(FN13=2,FN13=3,EX13=VLOOKUP(EX13,'IN RPS-2015'!$I$2:$J$5,1)),0,ROUND(IF(EV13&lt;$J$152,VLOOKUP(EV13,$B$1:$G$4,4),VLOOKUP(VLOOKUP(EV13,$B$1:$G$4,4),Main!$CE$2:$CF$5,2,FALSE))*(DAY(EW13)-DAY(EV13)+1)/DAY(EOMONTH(EV13,0)),0)))))</f>
        <v/>
      </c>
      <c r="FF13" s="461" t="str">
        <f>IF(EV13="","",IF(OR(FN13=2,FN13=3,$D$31=$D$28,EX13=VLOOKUP(EX13,'IN RPS-2015'!$I$2:$J$5,1)),0,ROUND(MIN(VLOOKUP(EU13,$A$27:$C$29,2,TRUE),ROUND(EX13*VLOOKUP(EU13,$A$27:$C$29,3,TRUE)%,0))*IF(EU13=$A$36,$C$36,IF(EU13=$A$37,$C$37,IF(EU13=$A$38,$C$38,IF(EU13=$A$39,$C$39,IF(EU13=$A$40,$C$40,IF(EU13=$A$41,$C$41,1))))))*(DAY(EW13)-DAY(EV13)+1)/DAY(EOMONTH(EV13,0)),0)))</f>
        <v/>
      </c>
      <c r="FG13" s="461" t="str">
        <f>IF(EV13="","",IF(Main!$C$26="UGC",0,IF(OR(FN13=3,EX13=VLOOKUP(EX13,'IN RPS-2015'!$I$2:$J$5,1)),0,ROUND(IF(FN13=2,VLOOKUP(EX13,IF($ES$3=$I$29,$A$20:$E$23,$F$144:$J$147),IF($B$19=VLOOKUP(EV13,$B$2:$G$4,3,TRUE),2,IF($C$19=VLOOKUP(EV13,$B$2:$G$4,3,TRUE),3,IF($D$19=VLOOKUP(EV13,$B$2:$G$4,3,TRUE),4,5))),TRUE),VLOOKUP(EX13,IF($ES$3=$I$29,$A$20:$E$23,$F$144:$J$147),IF($B$19=VLOOKUP(EV13,$B$2:$G$4,3,TRUE),2,IF($C$19=VLOOKUP(EV13,$B$2:$G$4,3,TRUE),3,IF($D$19=VLOOKUP(EV13,$B$2:$G$4,3,TRUE),4,5))),TRUE))*(DAY(EW13)-DAY(EV13)+1)/DAY(EOMONTH(EV13,0)),0))))</f>
        <v/>
      </c>
      <c r="FH13" s="461" t="str">
        <f>IF(EV13="","",IF(Main!$C$26="UGC",0,IF(OR(EU13&lt;DATE(2010,4,1),FN13=3,EX13=VLOOKUP(EX13,'IN RPS-2015'!$I$2:$J$5,1)),0,ROUND(IF(FN13=2,IF(EV13&lt;$J$152,Main!$L$9,Main!$CI$3)/2,IF(EV13&lt;$J$152,Main!$L$9,Main!$CI$3))*(DAY(EW13)-DAY(EV13)+1)/DAY(EOMONTH(EV13,0)),0))))</f>
        <v/>
      </c>
      <c r="FI13" s="461"/>
      <c r="FJ13" s="461" t="str">
        <f>IF(EV13="","",IF(Main!$C$26="UGC",0,IF(OR(FN13=3,EX13=VLOOKUP(EX13,'IN RPS-2015'!$I$2:$J$5,1)),0,ROUND(IF(FN13=2,VLOOKUP(EY13,IF(EV13&lt;$J$152,$A$154:$E$159,$F$154:$J$159),IF($B$10=VLOOKUP(EU13,$B$2:$G$4,6,TRUE),2,IF($B$10=VLOOKUP(EU13,$B$2:$G$4,6,TRUE),3,IF($D$10=VLOOKUP(EU13,$B$2:$G$4,6,TRUE),4,5))))/2,VLOOKUP(EY13,IF(EV13&lt;$J$152,$A$154:$E$159,$F$154:$J$159),IF($B$10=VLOOKUP(EU13,$B$2:$G$4,6,TRUE),2,IF($B$10=VLOOKUP(EU13,$B$2:$G$4,6,TRUE),3,IF($D$10=VLOOKUP(EU13,$B$2:$G$4,6,TRUE),4,5)))))*(DAY(EW13)-DAY(EV13)+1)/DAY(EOMONTH(EV13,0)),0))))</f>
        <v/>
      </c>
      <c r="FK13" s="461">
        <f t="shared" si="81"/>
        <v>0</v>
      </c>
      <c r="FL13" s="464" t="str">
        <f>IF(EV13="","",IF(AND(Main!$F$22=Main!$CA$24,EV13&gt;$FL$1),ROUND(SUM(EY13,FA13)*10%,0),""))</f>
        <v/>
      </c>
      <c r="FM13" s="464" t="str">
        <f>IF(EU13="","",IF(EY13=0,0,IF(OR(Main!$H$10=Main!$BH$4,Main!$H$10=Main!$BH$5),0,LOOKUP(FK13*DAY(EOMONTH(EV13,0))/(DAY(EW13)-DAY(EV13)+1),$H$184:$I$189))))</f>
        <v/>
      </c>
      <c r="FN13" s="457">
        <f t="shared" si="64"/>
        <v>1</v>
      </c>
    </row>
    <row r="14" spans="1:170">
      <c r="A14" s="13">
        <v>17051</v>
      </c>
      <c r="B14" s="13">
        <v>575</v>
      </c>
      <c r="C14" s="13">
        <v>625</v>
      </c>
      <c r="D14" s="13">
        <v>700</v>
      </c>
      <c r="E14" s="38">
        <v>0</v>
      </c>
      <c r="F14" s="159">
        <f>IF(D14=30,12000,8000)</f>
        <v>8000</v>
      </c>
      <c r="G14" s="13">
        <v>1000</v>
      </c>
      <c r="K14" s="494">
        <f t="shared" si="65"/>
        <v>42401</v>
      </c>
      <c r="L14" s="495">
        <f t="shared" si="82"/>
        <v>42401</v>
      </c>
      <c r="M14" s="484">
        <f>IF(L14="","",MIN(EOMONTH(L14,0),VLOOKUP(L14,'IN RPS-2015'!$O$164:$P$202,2,TRUE)-1,LOOKUP(L14,$E$47:$F$53)-1,IF(L14&lt;$B$2,$B$2-1,'IN RPS-2015'!$Q$9),IF(L14&lt;$B$3,$B$3-1,'IN RPS-2015'!$Q$9),IF(L14&lt;$B$4,$B$4-1,'IN RPS-2015'!$Q$9),LOOKUP(L14,$H$47:$I$53)))</f>
        <v>42429</v>
      </c>
      <c r="N14" s="496">
        <f>IF(L14="","",VLOOKUP(L14,'Advance Tax'!$A$3:$C$14,3))</f>
        <v>55410</v>
      </c>
      <c r="O14" s="497">
        <f t="shared" si="52"/>
        <v>55410</v>
      </c>
      <c r="P14" s="497">
        <f>IF(L14="","",ROUND(IF(AD14=3,0,IF(AD14=2,IF(N14=VLOOKUP(N14,'IN RPS-2015'!$I$2:$J$5,1),0,Main!$H$9)/2,IF(N14=VLOOKUP(N14,'IN RPS-2015'!$I$2:$J$5,1),0,Main!$H$9)))*(DAY(M14)-DAY(L14)+1)/DAY(EOMONTH(L14,0)),0))</f>
        <v>105</v>
      </c>
      <c r="Q14" s="457">
        <f>IF(L14="","",IF(N14=VLOOKUP(N14,'IN RPS-2015'!$I$2:$J$5,1),0,ROUND(O14*IF(L14&lt;Main!$C$27,VLOOKUP(L14,$H$9:$J$12,3),VLOOKUP(L14,$H$9:$J$12,2))%,0)))</f>
        <v>4936</v>
      </c>
      <c r="R14" s="457">
        <f>IF(L14="","",IF(OR(AD14=3,N14=VLOOKUP(N14,'IN RPS-2015'!$I$2:$J$5,1)),0,ROUND(MIN(ROUND(N14*VLOOKUP(L14,$B$1:$G$4,2)%,0),VLOOKUP(L14,$B$2:$I$4,IF(L14&lt;$G$7,7,8),TRUE))*(DAY(M14)-DAY(L14)+1)/DAY(EOMONTH(L14,0)),0)))</f>
        <v>11082</v>
      </c>
      <c r="S14" s="486">
        <f>IF(L14="","",IF(Main!$C$26="UGC",0,IF(OR(L14&lt;DATE(2010,4,1),$I$6=VLOOKUP(L14,$B$2:$G$4,5,TRUE),N14=VLOOKUP(N14,'IN RPS-2015'!$I$2:$J$5,1)),0,ROUND(IF(AD14=3,0,IF(AD14=2,MIN(ROUND(N14*$G$13%,0),IF(L14&lt;$J$152,$G$14,$G$15))/2,MIN(ROUND(N14*$G$13%,0),IF(L14&lt;$J$152,$G$14,$G$15))))*(DAY(M14)-DAY(L14)+1)/DAY(EOMONTH(L14,0)),0))))</f>
        <v>0</v>
      </c>
      <c r="T14" s="457">
        <f>IF(L14="","",IF(Main!$C$26="UGC",0,IF(N14=VLOOKUP(N14,'IN RPS-2015'!$I$2:$J$5,1),0,ROUND(O14*VLOOKUP(L14,$H$205:$I$206,2)%,0))))</f>
        <v>0</v>
      </c>
      <c r="U14" s="457">
        <f>IF(L14="","",IF(Main!$C$26="UGC",0,IF(L14&lt;DATE(2010,4,1),0,IF(OR(AD14=2,AD14=3,N14=VLOOKUP(N14,'IN RPS-2015'!$I$2:$J$5,1)),0,ROUND(IF(L14&lt;$J$152,VLOOKUP(L14,$B$1:$G$4,4),VLOOKUP(VLOOKUP(L14,$B$1:$G$4,4),Main!$CE$2:$CF$5,2,FALSE))*(DAY(M14)-DAY(L14)+1)/DAY(EOMONTH(L14,0)),0)))))</f>
        <v>0</v>
      </c>
      <c r="V14" s="457">
        <f>IF(L14="","",IF(OR(AD14=2,AD14=3,$D$31=$D$28,N14=VLOOKUP(N14,'IN RPS-2015'!$I$2:$J$5,1)),0,ROUND(MIN(VLOOKUP(K14,$A$27:$C$29,2,TRUE),ROUND(N14*VLOOKUP(K14,$A$27:$C$29,3,TRUE)%,0))*IF(K14=$A$36,$C$36,IF(K14=$A$37,$C$37,IF(K14=$A$38,$C$38,IF(K14=$A$39,$C$39,IF(K14=$A$40,$C$40,IF(K14=$A$41,$C$41,1))))))*(DAY(M14)-DAY(L14)+1)/DAY(EOMONTH(L14,0)),0)))</f>
        <v>1350</v>
      </c>
      <c r="W14" s="457">
        <f>IF(L14="","",IF(Main!$C$26="UGC",0,IF(OR(AD14=3,N14=VLOOKUP(N14,'IN RPS-2015'!$I$2:$J$5,1)),0,ROUND(IF(AD14=2,VLOOKUP(N14,IF(L14&lt;$G$7,$A$20:$E$23,$F$144:$J$147),IF($B$19=VLOOKUP(L14,$B$2:$G$4,3,TRUE),2,IF($C$19=VLOOKUP(L14,$B$2:$G$4,3,TRUE),3,IF($D$19=VLOOKUP(L14,$B$2:$G$4,3,TRUE),4,5))),TRUE),VLOOKUP(N14,IF(L14&lt;$G$7,$A$20:$E$23,$F$144:$J$147),IF($B$19=VLOOKUP(L14,$B$2:$G$4,3,TRUE),2,IF($C$19=VLOOKUP(L14,$B$2:$G$4,3,TRUE),3,IF($D$19=VLOOKUP(L14,$B$2:$G$4,3,TRUE),4,5))),TRUE))*(DAY(M14)-DAY(L14)+1)/DAY(EOMONTH(L14,0)),0))))</f>
        <v>500</v>
      </c>
      <c r="X14" s="457">
        <f>IF(L14="","",IF(Main!$C$26="UGC",0,IF(OR(K14&lt;DATE(2010,4,1),AD14=3,N14=VLOOKUP(N14,'IN RPS-2015'!$I$2:$J$5,1)),0,ROUND(IF(AD14=2,IF(L14&lt;$J$152,Main!$L$9,Main!$CI$3)/2,IF(L14&lt;$J$152,Main!$L$9,Main!$CI$3))*(DAY(M14)-DAY(L14)+1)/DAY(EOMONTH(L14,0)),0))))</f>
        <v>0</v>
      </c>
      <c r="Y14" s="497"/>
      <c r="Z14" s="457">
        <f>IF(L14="","",IF(Main!$C$26="UGC",0,IF(OR(AD14=3,N14=VLOOKUP(N14,'IN RPS-2015'!$I$2:$J$5,1)),0,ROUND(IF(AD14=2,VLOOKUP(O14,IF(L14&lt;$J$152,$A$154:$E$159,$F$154:$J$159),IF($B$10=VLOOKUP(K14,$B$2:$G$4,6,TRUE),2,IF($B$10=VLOOKUP(K14,$B$2:$G$4,6,TRUE),3,IF($D$10=VLOOKUP(K14,$B$2:$G$4,6,TRUE),4,5))))/2,VLOOKUP(O14,IF(L14&lt;$J$152,$A$154:$E$159,$F$154:$J$159),IF($B$10=VLOOKUP(K14,$B$2:$G$4,6,TRUE),2,IF($B$10=VLOOKUP(K14,$B$2:$G$4,6,TRUE),3,IF($D$10=VLOOKUP(K14,$B$2:$G$4,6,TRUE),4,5)))))*(DAY(M14)-DAY(L14)+1)/DAY(EOMONTH(L14,0)),0))))</f>
        <v>0</v>
      </c>
      <c r="AA14" s="497">
        <f t="shared" si="83"/>
        <v>73383</v>
      </c>
      <c r="AB14" s="497"/>
      <c r="AC14" s="497"/>
      <c r="AD14" s="497">
        <f t="shared" si="53"/>
        <v>1</v>
      </c>
      <c r="AE14" s="497"/>
      <c r="AF14" s="497"/>
      <c r="AH14" s="461"/>
      <c r="AI14" s="499" t="str">
        <f t="shared" si="54"/>
        <v/>
      </c>
      <c r="AJ14" s="500" t="str">
        <f t="shared" si="84"/>
        <v/>
      </c>
      <c r="AK14" s="484" t="str">
        <f>IF(AJ14="","",MIN(EOMONTH(AJ14,0),VLOOKUP(AJ14,'IN RPS-2015'!$O$164:$P$202,2,TRUE)-1,LOOKUP(AJ14,$E$47:$F$53)-1,IF(AJ14&lt;$B$2,$B$2-1,'IN RPS-2015'!$Q$9),IF(AJ14&lt;$B$3,$B$3-1,'IN RPS-2015'!$Q$9),IF(AJ14&lt;$B$4,$B$4-1,'IN RPS-2015'!$Q$9),LOOKUP(AJ14,$H$47:$I$53)))</f>
        <v/>
      </c>
      <c r="AL14" s="490" t="str">
        <f>IF(AJ14="","",VLOOKUP(AJ14,'IN RPS-2015'!$P$164:$AA$202,9))</f>
        <v/>
      </c>
      <c r="AM14" s="461" t="str">
        <f t="shared" si="66"/>
        <v/>
      </c>
      <c r="AN14" s="461" t="str">
        <f>IF(AJ14="","",IF(AND($AG$3=$AG$1,AJ14&lt;=$AZ$1),0,ROUND(IF(BB14=3,0,IF(BB14=2,IF(AL14=VLOOKUP(AL14,'IN RPS-2015'!$I$2:$J$5,1),0,Main!$H$9)/2,IF(AL14=VLOOKUP(AL14,'IN RPS-2015'!$I$2:$J$5,1),0,Main!$H$9)))*(DAY(AK14)-DAY(AJ14)+1)/DAY(EOMONTH(AJ14,0)),0)))</f>
        <v/>
      </c>
      <c r="AO14" s="461" t="str">
        <f>IF(AJ14="","",IF(AND($AG$3=$AG$1,AJ14&lt;=$AZ$1),0,IF(AL14=VLOOKUP(AL14,'IN RPS-2015'!$I$2:$J$5,1),0,ROUND(AM14*VLOOKUP(AJ14,$AF$4:$AG$7,2)%,0))))</f>
        <v/>
      </c>
      <c r="AP14" s="461" t="str">
        <f>IF(AJ14="","",IF(AND($AG$3=$AG$1,AJ14&lt;=$AZ$1),0,IF(OR(BB14=3,AL14=VLOOKUP(AL14,'IN RPS-2015'!$I$2:$J$5,1)),0,ROUND(MIN(ROUND(AL14*VLOOKUP(AJ14,$B$1:$G$4,2)%,0),VLOOKUP(AJ14,$B$2:$I$4,IF($AG$3=$I$29,7,8),TRUE))*(DAY(AK14)-DAY(AJ14)+1)/DAY(EOMONTH(AJ14,0)),0))))</f>
        <v/>
      </c>
      <c r="AQ14" s="491" t="str">
        <f>IF(AJ14="","",IF(AND($AG$3=$AG$1,AJ14&lt;=$AZ$1),0,IF(Main!$C$26="UGC",0,IF(OR(AJ14&lt;DATE(2010,4,1),$I$6=VLOOKUP(AJ14,$B$2:$G$4,5,TRUE),AL14=VLOOKUP(AL14,'IN RPS-2015'!$I$2:$J$5,1)),0,ROUND(IF(BB14=3,0,IF(BB14=2,MIN(ROUND(AL14*$G$13%,0),IF(AJ14&lt;$J$152,$G$14,$G$15))/2,MIN(ROUND(AL14*$G$13%,0),IF(AJ14&lt;$J$152,$G$14,$G$15))))*(DAY(AK14)-DAY(AJ14)+1)/DAY(EOMONTH(AJ14,0)),0)))))</f>
        <v/>
      </c>
      <c r="AR14" s="461" t="str">
        <f>IF(AJ14="","",IF(AND($AG$3=$AG$1,AJ14&lt;=$AZ$1),0,IF(Main!$C$26="UGC",0,IF(AL14=VLOOKUP(AL14,'IN RPS-2015'!$I$2:$J$5,1),0,ROUND(AM14*VLOOKUP(AJ14,$AF$11:$AG$12,2)%,0)))))</f>
        <v/>
      </c>
      <c r="AS14" s="461" t="str">
        <f>IF(AJ14="","",IF(AND($AG$3=$AG$1,AJ14&lt;=$AZ$1),0,IF(Main!$C$26="UGC",0,IF(AJ14&lt;DATE(2010,4,1),0,IF(OR(BB14=2,BB14=3,AL14=VLOOKUP(AL14,'IN RPS-2015'!$I$2:$J$5,1)),0,ROUND(IF(AJ14&lt;$J$152,VLOOKUP(AJ14,$B$1:$G$4,4),VLOOKUP(VLOOKUP(AJ14,$B$1:$G$4,4),Main!$CE$2:$CF$5,2,FALSE))*(DAY(AK14)-DAY(AJ14)+1)/DAY(EOMONTH(AJ14,0)),0))))))</f>
        <v/>
      </c>
      <c r="AT14" s="461" t="str">
        <f>IF(AJ14="","",IF(AND($AG$3=$AG$1,AJ14&lt;=$AZ$1),0,IF(OR(BB14=2,BB14=3,$D$31=$D$28,AL14=VLOOKUP(AL14,'IN RPS-2015'!$I$2:$J$5,1)),0,ROUND(MIN(VLOOKUP(AI14,$A$27:$C$29,2,TRUE),ROUND(AL14*VLOOKUP(AI14,$A$27:$C$29,3,TRUE)%,0))*IF(AI14=$A$36,$C$36,IF(AI14=$A$37,$C$37,IF(AI14=$A$38,$C$38,IF(AI14=$A$39,$C$39,IF(AI14=$A$40,$C$40,IF(AI14=$A$41,$C$41,1))))))*(DAY(AK14)-DAY(AJ14)+1)/DAY(EOMONTH(AJ14,0)),0))))</f>
        <v/>
      </c>
      <c r="AU14" s="461" t="str">
        <f>IF(AJ14="","",IF(AND($AG$3=$AG$1,AJ14&lt;=$AZ$1),0,IF(Main!$C$26="UGC",0,IF(OR(BB14=3,AL14=VLOOKUP(AL14,'IN RPS-2015'!$I$2:$J$5,1)),0,ROUND(IF(BB14=2,VLOOKUP(AL14,IF($AG$3=$I$29,$A$20:$E$23,$F$144:$J$147),IF($B$19=VLOOKUP(AJ14,$B$2:$G$4,3,TRUE),2,IF($C$19=VLOOKUP(AJ14,$B$2:$G$4,3,TRUE),3,IF($D$19=VLOOKUP(AJ14,$B$2:$G$4,3,TRUE),4,5))),TRUE),VLOOKUP(AL14,IF($AG$3=$I$29,$A$20:$E$23,$F$144:$J$147),IF($B$19=VLOOKUP(AJ14,$B$2:$G$4,3,TRUE),2,IF($C$19=VLOOKUP(AJ14,$B$2:$G$4,3,TRUE),3,IF($D$19=VLOOKUP(AJ14,$B$2:$G$4,3,TRUE),4,5))),TRUE))*(DAY(AK14)-DAY(AJ14)+1)/DAY(EOMONTH(AJ14,0)),0)))))</f>
        <v/>
      </c>
      <c r="AV14" s="461" t="str">
        <f>IF(AJ14="","",IF(AND($AG$3=$AG$1,AJ14&lt;=$AZ$1),0,IF(Main!$C$26="UGC",0,IF(OR(AI14&lt;DATE(2010,4,1),BB14=3,AL14=VLOOKUP(AL14,'IN RPS-2015'!$I$2:$J$5,1)),0,ROUND(IF(BB14=2,IF(AJ14&lt;$J$152,Main!$L$9,Main!$CI$3)/2,IF(AJ14&lt;$J$152,Main!$L$9,Main!$CI$3))*(DAY(AK14)-DAY(AJ14)+1)/DAY(EOMONTH(AJ14,0)),0)))))</f>
        <v/>
      </c>
      <c r="AW14" s="461"/>
      <c r="AX14" s="461" t="str">
        <f>IF(AJ14="","",IF(AND($AG$3=$AG$1,AJ14&lt;=$AZ$1),0,IF(Main!$C$26="UGC",0,IF(OR(BB14=3,AL14=VLOOKUP(AL14,'IN RPS-2015'!$I$2:$J$5,1)),0,ROUND(IF(BB14=2,VLOOKUP(AM14,IF(AJ14&lt;$J$152,$A$154:$E$159,$F$154:$J$159),IF($B$10=VLOOKUP(AI14,$B$2:$G$4,6,TRUE),2,IF($B$10=VLOOKUP(AI14,$B$2:$G$4,6,TRUE),3,IF($D$10=VLOOKUP(AI14,$B$2:$G$4,6,TRUE),4,5))))/2,VLOOKUP(AM14,IF(AJ14&lt;$J$152,$A$154:$E$159,$F$154:$J$159),IF($B$10=VLOOKUP(AI14,$B$2:$G$4,6,TRUE),2,IF($B$10=VLOOKUP(AI14,$B$2:$G$4,6,TRUE),3,IF($D$10=VLOOKUP(AI14,$B$2:$G$4,6,TRUE),4,5)))))*(DAY(AK14)-DAY(AJ14)+1)/DAY(EOMONTH(AJ14,0)),0)))))</f>
        <v/>
      </c>
      <c r="AY14" s="461">
        <f t="shared" si="67"/>
        <v>0</v>
      </c>
      <c r="AZ14" s="464" t="str">
        <f>IF(AJ14="","",IF(AND($AG$3=$AG$1,AJ14&lt;=$AZ$1),0,IF(AND(Main!$F$22=Main!$CA$24,AJ14&gt;$AZ$1),ROUND(SUM(AM14,AO14)*10%,0),"")))</f>
        <v/>
      </c>
      <c r="BA14" s="464" t="str">
        <f>IF(AI14="","",IF(AND($AG$3=$AG$1,AJ14&lt;=$AZ$1),0,IF(OR(Main!$H$10=Main!$BH$4,Main!$H$10=Main!$BH$5),0,LOOKUP(AY14*DAY(EOMONTH(AJ14,0))/(DAY(AK14)-DAY(AJ14)+1),$H$184:$I$189))))</f>
        <v/>
      </c>
      <c r="BB14" s="497">
        <f t="shared" si="55"/>
        <v>1</v>
      </c>
      <c r="BC14" s="464"/>
      <c r="BD14" s="501" t="str">
        <f t="shared" si="56"/>
        <v/>
      </c>
      <c r="BE14" s="502" t="str">
        <f t="shared" si="85"/>
        <v/>
      </c>
      <c r="BF14" s="484" t="str">
        <f>IF(BE14="","",MIN(EOMONTH(BE14,0),VLOOKUP(BE14,'IN RPS-2015'!$O$164:$P$202,2,TRUE)-1,LOOKUP(BE14,$E$47:$F$53)-1,IF(BE14&lt;$B$2,$B$2-1,'IN RPS-2015'!$Q$9),IF(BE14&lt;$B$3,$B$3-1,'IN RPS-2015'!$Q$9),IF(BE14&lt;$B$4,$B$4-1,'IN RPS-2015'!$Q$9),LOOKUP(BE14,$H$47:$I$53)))</f>
        <v/>
      </c>
      <c r="BG14" s="493" t="str">
        <f>IF(BE14="","",VLOOKUP(BE14,'IN RPS-2015'!$P$164:$AA$202,10))</f>
        <v/>
      </c>
      <c r="BH14" s="461" t="str">
        <f t="shared" si="68"/>
        <v/>
      </c>
      <c r="BI14" s="461" t="str">
        <f>IF(BE14="","",IF(AND($AG$3=$AG$1,BE14&lt;=$AZ$1),0,ROUND(IF(BW14=3,0,IF(BW14=2,IF(BG14=VLOOKUP(BG14,'IN RPS-2015'!$I$2:$J$5,1),0,Main!$H$9)/2,IF(BG14=VLOOKUP(BG14,'IN RPS-2015'!$I$2:$J$5,1),0,Main!$H$9)))*(DAY(BF14)-DAY(BE14)+1)/DAY(EOMONTH(BE14,0)),0)))</f>
        <v/>
      </c>
      <c r="BJ14" s="461" t="str">
        <f>IF(BE14="","",IF(AND($AG$3=$AG$1,BE14&lt;=$AZ$1),0,IF(BG14=VLOOKUP(BG14,'IN RPS-2015'!$I$2:$J$5,1),0,ROUND(BH14*VLOOKUP(BE14,$AF$4:$AG$7,2)%,0))))</f>
        <v/>
      </c>
      <c r="BK14" s="461" t="str">
        <f>IF(BE14="","",IF(AND($AG$3=$AG$1,BE14&lt;=$AZ$1),0,IF(OR(BW14=3,BG14=VLOOKUP(BG14,'IN RPS-2015'!$I$2:$J$5,1)),0,ROUND(MIN(ROUND(BG14*VLOOKUP(BE14,$B$1:$G$4,2)%,0),VLOOKUP(BE14,$B$2:$I$4,IF($AG$3=$I$29,7,8),TRUE))*(DAY(BF14)-DAY(BE14)+1)/DAY(EOMONTH(BE14,0)),0))))</f>
        <v/>
      </c>
      <c r="BL14" s="491" t="str">
        <f>IF(BE14="","",IF(AND($AG$3=$AG$1,BE14&lt;=$AZ$1),0,IF(Main!$C$26="UGC",0,IF(OR(BE14&lt;DATE(2010,4,1),$I$6=VLOOKUP(BE14,$B$2:$G$4,5,TRUE),BG14=VLOOKUP(BG14,'IN RPS-2015'!$I$2:$J$5,1)),0,ROUND(IF(BW14=3,0,IF(BW14=2,MIN(ROUND(BG14*$G$13%,0),IF(BE14&lt;$J$152,$G$14,$G$15))/2,MIN(ROUND(BG14*$G$13%,0),IF(BE14&lt;$J$152,$G$14,$G$15))))*(DAY(BF14)-DAY(BE14)+1)/DAY(EOMONTH(BE14,0)),0)))))</f>
        <v/>
      </c>
      <c r="BM14" s="461" t="str">
        <f>IF(BE14="","",IF(AND($AG$3=$AG$1,BE14&lt;=$AZ$1),0,IF(Main!$C$26="UGC",0,IF(BG14=VLOOKUP(BG14,'IN RPS-2015'!$I$2:$J$5,1),0,ROUND(BH14*VLOOKUP(BE14,$AF$11:$AG$12,2)%,0)))))</f>
        <v/>
      </c>
      <c r="BN14" s="461" t="str">
        <f>IF(BE14="","",IF(AND($AG$3=$AG$1,BE14&lt;=$AZ$1),0,IF(Main!$C$26="UGC",0,IF(BE14&lt;DATE(2010,4,1),0,IF(OR(BW14=2,BW14=3,BG14=VLOOKUP(BG14,'IN RPS-2015'!$I$2:$J$5,1)),0,ROUND(IF(BE14&lt;$J$152,VLOOKUP(BE14,$B$1:$G$4,4),VLOOKUP(VLOOKUP(BE14,$B$1:$G$4,4),Main!$CE$2:$CF$5,2,FALSE))*(DAY(BF14)-DAY(BE14)+1)/DAY(EOMONTH(BE14,0)),0))))))</f>
        <v/>
      </c>
      <c r="BO14" s="461" t="str">
        <f>IF(BE14="","",IF(AND($AG$3=$AG$1,BE14&lt;=$AZ$1),0,IF(OR(BW14=2,BW14=3,$D$31=$D$28,BG14=VLOOKUP(BG14,'IN RPS-2015'!$I$2:$J$5,1)),0,ROUND(MIN(VLOOKUP(BD14,$A$27:$C$29,2,TRUE),ROUND(BG14*VLOOKUP(BD14,$A$27:$C$29,3,TRUE)%,0))*IF(BD14=$A$36,$C$36,IF(BD14=$A$37,$C$37,IF(BD14=$A$38,$C$38,IF(BD14=$A$39,$C$39,IF(BD14=$A$40,$C$40,IF(BD14=$A$41,$C$41,1))))))*(DAY(BF14)-DAY(BE14)+1)/DAY(EOMONTH(BE14,0)),0))))</f>
        <v/>
      </c>
      <c r="BP14" s="461" t="str">
        <f>IF(BE14="","",IF(AND($AG$3=$AG$1,BE14&lt;=$AZ$1),0,IF(Main!$C$26="UGC",0,IF(OR(BW14=3,BG14=VLOOKUP(BG14,'IN RPS-2015'!$I$2:$J$5,1)),0,ROUND(IF(BW14=2,VLOOKUP(BG14,IF($AG$3=$I$29,$A$20:$E$23,$F$144:$J$147),IF($B$19=VLOOKUP(BE14,$B$2:$G$4,3,TRUE),2,IF($C$19=VLOOKUP(BE14,$B$2:$G$4,3,TRUE),3,IF($D$19=VLOOKUP(BE14,$B$2:$G$4,3,TRUE),4,5))),TRUE),VLOOKUP(BG14,IF($AG$3=$I$29,$A$20:$E$23,$F$144:$J$147),IF($B$19=VLOOKUP(BE14,$B$2:$G$4,3,TRUE),2,IF($C$19=VLOOKUP(BE14,$B$2:$G$4,3,TRUE),3,IF($D$19=VLOOKUP(BE14,$B$2:$G$4,3,TRUE),4,5))),TRUE))*(DAY(BF14)-DAY(BE14)+1)/DAY(EOMONTH(BE14,0)),0)))))</f>
        <v/>
      </c>
      <c r="BQ14" s="461" t="str">
        <f>IF(BE14="","",IF(AND($AG$3=$AG$1,BE14&lt;=$AZ$1),0,IF(Main!$C$26="UGC",0,IF(OR(BD14&lt;DATE(2010,4,1),BW14=3,BG14=VLOOKUP(BG14,'IN RPS-2015'!$I$2:$J$5,1)),0,ROUND(IF(BW14=2,IF(BE14&lt;$J$152,Main!$L$9,Main!$CI$3)/2,IF(BE14&lt;$J$152,Main!$L$9,Main!$CI$3))*(DAY(BF14)-DAY(BE14)+1)/DAY(EOMONTH(BE14,0)),0)))))</f>
        <v/>
      </c>
      <c r="BR14" s="461"/>
      <c r="BS14" s="461" t="str">
        <f>IF(BE14="","",IF(AND($AG$3=$AG$1,BE14&lt;=$AZ$1),0,IF(Main!$C$26="UGC",0,IF(OR(BW14=3,BG14=VLOOKUP(BG14,'IN RPS-2015'!$I$2:$J$5,1)),0,ROUND(IF(BW14=2,VLOOKUP(BH14,IF(BE14&lt;$J$152,$A$154:$E$159,$F$154:$J$159),IF($B$10=VLOOKUP(BD14,$B$2:$G$4,6,TRUE),2,IF($B$10=VLOOKUP(BD14,$B$2:$G$4,6,TRUE),3,IF($D$10=VLOOKUP(BD14,$B$2:$G$4,6,TRUE),4,5))))/2,VLOOKUP(BH14,IF(BE14&lt;$J$152,$A$154:$E$159,$F$154:$J$159),IF($B$10=VLOOKUP(BD14,$B$2:$G$4,6,TRUE),2,IF($B$10=VLOOKUP(BD14,$B$2:$G$4,6,TRUE),3,IF($D$10=VLOOKUP(BD14,$B$2:$G$4,6,TRUE),4,5)))))*(DAY(BF14)-DAY(BE14)+1)/DAY(EOMONTH(BE14,0)),0)))))</f>
        <v/>
      </c>
      <c r="BT14" s="461">
        <f t="shared" si="69"/>
        <v>0</v>
      </c>
      <c r="BU14" s="464" t="str">
        <f>IF(BE14="","",IF(AND($AG$3=$AG$1,BE14&lt;=$AZ$1),0,IF(AND(Main!$F$22=Main!$CA$24,BE14&gt;$AZ$1),ROUND(SUM(BH14,BJ14)*10%,0),"")))</f>
        <v/>
      </c>
      <c r="BV14" s="464" t="str">
        <f>IF(BD14="","",IF(AND($AG$3=$AG$1,BE14&lt;=$AZ$1),0,IF(OR(Main!$H$10=Main!$BH$4,Main!$H$10=Main!$BH$5),0,LOOKUP(BT14*DAY(EOMONTH(BE14,0))/(DAY(BF14)-DAY(BE14)+1),$H$184:$I$189))))</f>
        <v/>
      </c>
      <c r="BW14" s="503">
        <f t="shared" si="70"/>
        <v>1</v>
      </c>
      <c r="BX14" s="457">
        <f t="shared" si="71"/>
        <v>0</v>
      </c>
      <c r="BY14" s="497"/>
      <c r="BZ14" s="497"/>
      <c r="CA14" s="457"/>
      <c r="CB14" s="461"/>
      <c r="CC14" s="499" t="str">
        <f t="shared" si="57"/>
        <v/>
      </c>
      <c r="CD14" s="500" t="str">
        <f t="shared" si="86"/>
        <v/>
      </c>
      <c r="CE14" s="484" t="str">
        <f>IF(CD14="","",MIN(EOMONTH(CD14,0),VLOOKUP(CD14,'IN RPS-2015'!$O$164:$P$202,2,TRUE)-1,LOOKUP(CD14,$E$47:$F$53)-1,IF(CD14&lt;$B$2,$B$2-1,'IN RPS-2015'!$Q$9),IF(CD14&lt;$B$3,$B$3-1,'IN RPS-2015'!$Q$9),IF(CD14&lt;$B$4,$B$4-1,'IN RPS-2015'!$Q$9),LOOKUP(CD14,$H$47:$I$53)))</f>
        <v/>
      </c>
      <c r="CF14" s="490" t="str">
        <f>IF(CD14="","",VLOOKUP(CD14,'IN RPS-2015'!$T$207:$Y$222,5))</f>
        <v/>
      </c>
      <c r="CG14" s="461" t="str">
        <f t="shared" si="72"/>
        <v/>
      </c>
      <c r="CH14" s="461" t="str">
        <f>IF(CD14="","",IF(AND($CA$3=$CA$1,CD14&lt;=$CT$1),0,ROUND(IF(CV14=3,0,IF(CV14=2,IF(CF14=VLOOKUP(CF14,'IN RPS-2015'!$I$2:$J$5,1),0,Main!$H$9)/2,IF(CF14=VLOOKUP(CF14,'IN RPS-2015'!$I$2:$J$5,1),0,Main!$H$9)))*(DAY(CE14)-DAY(CD14)+1)/DAY(EOMONTH(CD14,0)),0)))</f>
        <v/>
      </c>
      <c r="CI14" s="461" t="str">
        <f>IF(CD14="","",IF(AND($CA$3=$CA$1,CD14&lt;=$CT$1),0,IF(CF14=VLOOKUP(CF14,'IN RPS-2015'!$I$2:$J$5,1),0,ROUND(CG14*VLOOKUP(CD14,$BZ$4:$CA$7,2)%,0))))</f>
        <v/>
      </c>
      <c r="CJ14" s="461" t="str">
        <f>IF(CD14="","",IF(AND($CA$3=$CA$1,CD14&lt;=$CT$1),0,IF(OR(CV14=3,CF14=VLOOKUP(CF14,'IN RPS-2015'!$I$2:$J$5,1)),0,ROUND(MIN(ROUND(CF14*VLOOKUP(CD14,$B$1:$G$4,2)%,0),VLOOKUP(CD14,$B$2:$I$4,IF($CA$3=$I$29,7,8),TRUE))*(DAY(CE14)-DAY(CD14)+1)/DAY(EOMONTH(CD14,0)),0))))</f>
        <v/>
      </c>
      <c r="CK14" s="491" t="str">
        <f>IF(CD14="","",IF(AND($CA$3=$CA$1,CD14&lt;=$CT$1),0,IF(Main!$C$26="UGC",0,IF(OR(CD14&lt;DATE(2010,4,1),$I$6=VLOOKUP(CD14,$B$2:$G$4,5,TRUE),CF14=VLOOKUP(CF14,'IN RPS-2015'!$I$2:$J$5,1)),0,ROUND(IF(CV14=3,0,IF(CV14=2,MIN(ROUND(CF14*$G$13%,0),IF(CD14&lt;$J$152,$G$14,$G$15))/2,MIN(ROUND(CF14*$G$13%,0),IF(CD14&lt;$J$152,$G$14,$G$15))))*(DAY(CE14)-DAY(CD14)+1)/DAY(EOMONTH(CD14,0)),0)))))</f>
        <v/>
      </c>
      <c r="CL14" s="461" t="str">
        <f>IF(CD14="","",IF(AND($CA$3=$CA$1,CD14&lt;=$CT$1),0,IF(Main!$C$26="UGC",0,IF(CF14=VLOOKUP(CF14,'IN RPS-2015'!$I$2:$J$5,1),0,ROUND(CG14*VLOOKUP(CD14,$BZ$11:$CA$12,2)%,0)))))</f>
        <v/>
      </c>
      <c r="CM14" s="461" t="str">
        <f>IF(CD14="","",IF(AND($CA$3=$CA$1,CD14&lt;=$CT$1),0,IF(Main!$C$26="UGC",0,IF(CD14&lt;DATE(2010,4,1),0,IF(OR(CV14=2,CV14=3,CF14=VLOOKUP(CF14,'IN RPS-2015'!$I$2:$J$5,1)),0,ROUND(IF(CD14&lt;$J$152,VLOOKUP(CD14,$B$1:$G$4,4),VLOOKUP(VLOOKUP(CD14,$B$1:$G$4,4),Main!$CE$2:$CF$5,2,FALSE))*(DAY(CE14)-DAY(CD14)+1)/DAY(EOMONTH(CD14,0)),0))))))</f>
        <v/>
      </c>
      <c r="CN14" s="461" t="str">
        <f>IF(CD14="","",IF(AND($CA$3=$CA$1,CD14&lt;=$CT$1),0,IF(OR(CV14=2,CV14=3,$D$31=$D$28,CF14=VLOOKUP(CF14,'IN RPS-2015'!$I$2:$J$5,1)),0,ROUND(MIN(VLOOKUP(CC14,$A$27:$C$29,2,TRUE),ROUND(CF14*VLOOKUP(CC14,$A$27:$C$29,3,TRUE)%,0))*IF(CC14=$A$36,$C$36,IF(CC14=$A$37,$C$37,IF(CC14=$A$38,$C$38,IF(CC14=$A$39,$C$39,IF(CC14=$A$40,$C$40,IF(CC14=$A$41,$C$41,1))))))*(DAY(CE14)-DAY(CD14)+1)/DAY(EOMONTH(CD14,0)),0))))</f>
        <v/>
      </c>
      <c r="CO14" s="461" t="str">
        <f>IF(CD14="","",IF(AND($CA$3=$CA$1,CD14&lt;=$CT$1),0,IF(Main!$C$26="UGC",0,IF(OR(CV14=3,CF14=VLOOKUP(CF14,'IN RPS-2015'!$I$2:$J$5,1)),0,ROUND(IF(CV14=2,VLOOKUP(CF14,IF($CA$3=$I$29,$A$20:$E$23,$F$144:$J$147),IF($B$19=VLOOKUP(CD14,$B$2:$G$4,3,TRUE),2,IF($C$19=VLOOKUP(CD14,$B$2:$G$4,3,TRUE),3,IF($D$19=VLOOKUP(CD14,$B$2:$G$4,3,TRUE),4,5))),TRUE),VLOOKUP(CF14,IF($CA$3=$I$29,$A$20:$E$23,$F$144:$J$147),IF($B$19=VLOOKUP(CD14,$B$2:$G$4,3,TRUE),2,IF($C$19=VLOOKUP(CD14,$B$2:$G$4,3,TRUE),3,IF($D$19=VLOOKUP(CD14,$B$2:$G$4,3,TRUE),4,5))),TRUE))*(DAY(CE14)-DAY(CD14)+1)/DAY(EOMONTH(CD14,0)),0)))))</f>
        <v/>
      </c>
      <c r="CP14" s="461" t="str">
        <f>IF(CD14="","",IF(AND($CA$3=$CA$1,CD14&lt;=$CT$1),0,IF(Main!$C$26="UGC",0,IF(OR(CC14&lt;DATE(2010,4,1),CV14=3,CF14=VLOOKUP(CF14,'IN RPS-2015'!$I$2:$J$5,1)),0,ROUND(IF(CV14=2,IF(CD14&lt;$J$152,Main!$L$9,Main!$CI$3)/2,IF(CD14&lt;$J$152,Main!$L$9,Main!$CI$3))*(DAY(CE14)-DAY(CD14)+1)/DAY(EOMONTH(CD14,0)),0)))))</f>
        <v/>
      </c>
      <c r="CQ14" s="461"/>
      <c r="CR14" s="461" t="str">
        <f>IF(CD14="","",IF(AND($CA$3=$CA$1,CD14&lt;=$CT$1),0,IF(Main!$C$26="UGC",0,IF(OR(CV14=3,CF14=VLOOKUP(CF14,'IN RPS-2015'!$I$2:$J$5,1)),0,ROUND(IF(CV14=2,VLOOKUP(CG14,IF(CD14&lt;$J$152,$A$154:$E$159,$F$154:$J$159),IF($B$10=VLOOKUP(CC14,$B$2:$G$4,6,TRUE),2,IF($B$10=VLOOKUP(CC14,$B$2:$G$4,6,TRUE),3,IF($D$10=VLOOKUP(CC14,$B$2:$G$4,6,TRUE),4,5))))/2,VLOOKUP(CG14,IF(CD14&lt;$J$152,$A$154:$E$159,$F$154:$J$159),IF($B$10=VLOOKUP(CC14,$B$2:$G$4,6,TRUE),2,IF($B$10=VLOOKUP(CC14,$B$2:$G$4,6,TRUE),3,IF($D$10=VLOOKUP(CC14,$B$2:$G$4,6,TRUE),4,5)))))*(DAY(CE14)-DAY(CD14)+1)/DAY(EOMONTH(CD14,0)),0)))))</f>
        <v/>
      </c>
      <c r="CS14" s="461">
        <f t="shared" si="73"/>
        <v>0</v>
      </c>
      <c r="CT14" s="464" t="str">
        <f>IF(CD14="","",IF(AND($CA$3=$CA$1,CD14&lt;=$CT$1),0,IF(AND(Main!$F$22=Main!$CA$24,CD14&gt;$CT$1),ROUND(SUM(CG14,CI14)*10%,0),"")))</f>
        <v/>
      </c>
      <c r="CU14" s="464" t="str">
        <f>IF(CC14="","",IF(CG14=0,0,IF(OR(Main!$H$10=Main!$BH$4,Main!$H$10=Main!$BH$5),0,LOOKUP(CS14*DAY(EOMONTH(CD14,0))/(DAY(CE14)-DAY(CD14)+1),$H$184:$I$189))))</f>
        <v/>
      </c>
      <c r="CV14" s="457">
        <f t="shared" si="74"/>
        <v>1</v>
      </c>
      <c r="CW14" s="464"/>
      <c r="CX14" s="501" t="str">
        <f t="shared" si="59"/>
        <v/>
      </c>
      <c r="CY14" s="502" t="str">
        <f t="shared" si="87"/>
        <v/>
      </c>
      <c r="CZ14" s="484" t="str">
        <f>IF(CY14="","",MIN(EOMONTH(CY14,0),VLOOKUP(CY14,'IN RPS-2015'!$O$164:$P$202,2,TRUE)-1,LOOKUP(CY14,$E$47:$F$53)-1,IF(CY14&lt;$B$2,$B$2-1,'IN RPS-2015'!$Q$9),IF(CY14&lt;$B$3,$B$3-1,'IN RPS-2015'!$Q$9),IF(CY14&lt;$B$4,$B$4-1,'IN RPS-2015'!$Q$9),LOOKUP(CY14,$H$47:$I$53)))</f>
        <v/>
      </c>
      <c r="DA14" s="493" t="str">
        <f>IF(CY14="","",VLOOKUP(CY14,'IN RPS-2015'!$T$207:$Y$222,6))</f>
        <v/>
      </c>
      <c r="DB14" s="461" t="str">
        <f t="shared" si="75"/>
        <v/>
      </c>
      <c r="DC14" s="461" t="str">
        <f>IF(CY14="","",IF(AND($CA$3=$CA$1,CY14&lt;=$CT$1),0,ROUND(IF(DQ14=3,0,IF(DQ14=2,IF(DA14=VLOOKUP(DA14,'IN RPS-2015'!$I$2:$J$5,1),0,Main!$H$9)/2,IF(DA14=VLOOKUP(DA14,'IN RPS-2015'!$I$2:$J$5,1),0,Main!$H$9)))*(DAY(CZ14)-DAY(CY14)+1)/DAY(EOMONTH(CY14,0)),0)))</f>
        <v/>
      </c>
      <c r="DD14" s="461" t="str">
        <f>IF(CY14="","",IF(AND($CA$3=$CA$1,CY14&lt;=$CT$1),0,IF(DA14=VLOOKUP(DA14,'IN RPS-2015'!$I$2:$J$5,1),0,ROUND(DB14*VLOOKUP(CY14,$BZ$4:$CA$7,2)%,0))))</f>
        <v/>
      </c>
      <c r="DE14" s="461" t="str">
        <f>IF(CY14="","",IF(AND($CA$3=$CA$1,CY14&lt;=$CT$1),0,IF(OR(DQ14=3,DA14=VLOOKUP(DA14,'IN RPS-2015'!$I$2:$J$5,1)),0,ROUND(MIN(ROUND(DA14*VLOOKUP(CY14,$B$1:$G$4,2)%,0),VLOOKUP(CY14,$B$2:$I$4,IF($CA$3=$I$29,7,8),TRUE))*(DAY(CZ14)-DAY(CY14)+1)/DAY(EOMONTH(CY14,0)),0))))</f>
        <v/>
      </c>
      <c r="DF14" s="491" t="str">
        <f>IF(CY14="","",IF(AND($CA$3=$CA$1,CY14&lt;=$CT$1),0,IF(Main!$C$26="UGC",0,IF(OR(CY14&lt;DATE(2010,4,1),$I$6=VLOOKUP(CY14,$B$2:$G$4,5,TRUE),DA14=VLOOKUP(DA14,'IN RPS-2015'!$I$2:$J$5,1)),0,ROUND(IF(DQ14=3,0,IF(DQ14=2,MIN(ROUND(DA14*$G$13%,0),IF(CY14&lt;$J$152,$G$14,$G$15))/2,MIN(ROUND(DA14*$G$13%,0),IF(CY14&lt;$J$152,$G$14,$G$15))))*(DAY(CZ14)-DAY(CY14)+1)/DAY(EOMONTH(CY14,0)),0)))))</f>
        <v/>
      </c>
      <c r="DG14" s="461" t="str">
        <f>IF(CY14="","",IF(AND($CA$3=$CA$1,CY14&lt;=$CT$1),0,IF(Main!$C$26="UGC",0,IF(DA14=VLOOKUP(DA14,'IN RPS-2015'!$I$2:$J$5,1),0,ROUND(DB14*VLOOKUP(CY14,$BZ$11:$CA$12,2)%,0)))))</f>
        <v/>
      </c>
      <c r="DH14" s="461" t="str">
        <f>IF(CY14="","",IF(AND($CA$3=$CA$1,CY14&lt;=$CT$1),0,IF(Main!$C$26="UGC",0,IF(CY14&lt;DATE(2010,4,1),0,IF(OR(DQ14=2,DQ14=3,DA14=VLOOKUP(DA14,'IN RPS-2015'!$I$2:$J$5,1)),0,ROUND(IF(CY14&lt;$J$152,VLOOKUP(CY14,$B$1:$G$4,4),VLOOKUP(VLOOKUP(CY14,$B$1:$G$4,4),Main!$CE$2:$CF$5,2,FALSE))*(DAY(CZ14)-DAY(CY14)+1)/DAY(EOMONTH(CY14,0)),0))))))</f>
        <v/>
      </c>
      <c r="DI14" s="461" t="str">
        <f>IF(CY14="","",IF(AND($CA$3=$CA$1,CY14&lt;=$CT$1),0,IF(OR(DQ14=2,DQ14=3,$D$31=$D$28,DA14=VLOOKUP(DA14,'IN RPS-2015'!$I$2:$J$5,1)),0,ROUND(MIN(VLOOKUP(CX14,$A$27:$C$29,2,TRUE),ROUND(DA14*VLOOKUP(CX14,$A$27:$C$29,3,TRUE)%,0))*IF(CX14=$A$36,$C$36,IF(CX14=$A$37,$C$37,IF(CX14=$A$38,$C$38,IF(CX14=$A$39,$C$39,IF(CX14=$A$40,$C$40,IF(CX14=$A$41,$C$41,1))))))*(DAY(CZ14)-DAY(CY14)+1)/DAY(EOMONTH(CY14,0)),0))))</f>
        <v/>
      </c>
      <c r="DJ14" s="461" t="str">
        <f>IF(CY14="","",IF(AND($CA$3=$CA$1,CY14&lt;=$CT$1),0,IF(Main!$C$26="UGC",0,IF(OR(DQ14=3,DA14=VLOOKUP(DA14,'IN RPS-2015'!$I$2:$J$5,1)),0,ROUND(IF(DQ14=2,VLOOKUP(DA14,IF($CA$3=$I$29,$A$20:$E$23,$F$144:$J$147),IF($B$19=VLOOKUP(CY14,$B$2:$G$4,3,TRUE),2,IF($C$19=VLOOKUP(CY14,$B$2:$G$4,3,TRUE),3,IF($D$19=VLOOKUP(CY14,$B$2:$G$4,3,TRUE),4,5))),TRUE),VLOOKUP(DA14,IF($CA$3=$I$29,$A$20:$E$23,$F$144:$J$147),IF($B$19=VLOOKUP(CY14,$B$2:$G$4,3,TRUE),2,IF($C$19=VLOOKUP(CY14,$B$2:$G$4,3,TRUE),3,IF($D$19=VLOOKUP(CY14,$B$2:$G$4,3,TRUE),4,5))),TRUE))*(DAY(CZ14)-DAY(CY14)+1)/DAY(EOMONTH(CY14,0)),0)))))</f>
        <v/>
      </c>
      <c r="DK14" s="461" t="str">
        <f>IF(CY14="","",IF(AND($CA$3=$CA$1,CY14&lt;=$CT$1),0,IF(Main!$C$26="UGC",0,IF(OR(CX14&lt;DATE(2010,4,1),DQ14=3,DA14=VLOOKUP(DA14,'IN RPS-2015'!$I$2:$J$5,1)),0,ROUND(IF(DQ14=2,IF(CY14&lt;$J$152,Main!$L$9,Main!$CI$3)/2,IF(CY14&lt;$J$152,Main!$L$9,Main!$CI$3))*(DAY(CZ14)-DAY(CY14)+1)/DAY(EOMONTH(CY14,0)),0)))))</f>
        <v/>
      </c>
      <c r="DL14" s="461"/>
      <c r="DM14" s="461" t="str">
        <f>IF(CY14="","",IF(AND($CA$3=$CA$1,CY14&lt;=$CT$1),0,IF(Main!$C$26="UGC",0,IF(OR(DQ14=3,DA14=VLOOKUP(DA14,'IN RPS-2015'!$I$2:$J$5,1)),0,ROUND(IF(DQ14=2,VLOOKUP(DB14,IF(CY14&lt;$J$152,$A$154:$E$159,$F$154:$J$159),IF($B$10=VLOOKUP(CX14,$B$2:$G$4,6,TRUE),2,IF($B$10=VLOOKUP(CX14,$B$2:$G$4,6,TRUE),3,IF($D$10=VLOOKUP(CX14,$B$2:$G$4,6,TRUE),4,5))))/2,VLOOKUP(DB14,IF(CY14&lt;$J$152,$A$154:$E$159,$F$154:$J$159),IF($B$10=VLOOKUP(CX14,$B$2:$G$4,6,TRUE),2,IF($B$10=VLOOKUP(CX14,$B$2:$G$4,6,TRUE),3,IF($D$10=VLOOKUP(CX14,$B$2:$G$4,6,TRUE),4,5)))))*(DAY(CZ14)-DAY(CY14)+1)/DAY(EOMONTH(CY14,0)),0)))))</f>
        <v/>
      </c>
      <c r="DN14" s="461">
        <f t="shared" si="76"/>
        <v>0</v>
      </c>
      <c r="DO14" s="464" t="str">
        <f>IF(CY14="","",IF(AND($CA$3=$CA$1,CY14&lt;=$CT$1),0,IF(AND(Main!$F$22=Main!$CA$24,CY14&gt;$CT$1),ROUND(SUM(DB14,DD14)*10%,0),"")))</f>
        <v/>
      </c>
      <c r="DP14" s="464" t="str">
        <f>IF(CX14="","",IF(AND($CA$3=$CA$1,CY14&lt;=$CT$1),0,IF(OR(Main!$H$10=Main!$BH$4,Main!$H$10=Main!$BH$5),0,LOOKUP(DN14*DAY(EOMONTH(CY14,0))/(DAY(CZ14)-DAY(CY14)+1),$H$184:$I$189))))</f>
        <v/>
      </c>
      <c r="DQ14" s="457">
        <f t="shared" si="60"/>
        <v>1</v>
      </c>
      <c r="DR14" s="457">
        <f t="shared" si="77"/>
        <v>0</v>
      </c>
      <c r="DS14" s="497"/>
      <c r="DT14" s="497"/>
      <c r="DU14" s="457"/>
      <c r="DV14" s="461"/>
      <c r="DW14" s="499" t="str">
        <f t="shared" si="61"/>
        <v/>
      </c>
      <c r="DX14" s="500" t="str">
        <f t="shared" si="88"/>
        <v/>
      </c>
      <c r="DY14" s="484" t="str">
        <f>IF(DX14="","",MIN(EOMONTH(DX14,0),VLOOKUP(DX14,'IN RPS-2015'!$O$164:$P$202,2,TRUE)-1,LOOKUP(DX14,$E$47:$F$53)-1,IF(DX14&lt;$B$2,$B$2-1,'IN RPS-2015'!$Q$9),IF(DX14&lt;$B$3,$B$3-1,'IN RPS-2015'!$Q$9),IF(DX14&lt;$B$4,$B$4-1,'IN RPS-2015'!$Q$9),LOOKUP(DX14,$H$47:$I$53)))</f>
        <v/>
      </c>
      <c r="DZ14" s="490" t="str">
        <f>IF(DX14="","",VLOOKUP(DX14,'IN RPS-2015'!$P$164:$AA$202,11))</f>
        <v/>
      </c>
      <c r="EA14" s="461" t="str">
        <f t="shared" si="78"/>
        <v/>
      </c>
      <c r="EB14" s="461" t="str">
        <f>IF(DX14="","",ROUND(IF(EP14=3,0,IF(EP14=2,IF(DZ14=VLOOKUP(DZ14,'IN RPS-2015'!$I$2:$J$5,1),0,Main!$H$9)/2,IF(DZ14=VLOOKUP(DZ14,'IN RPS-2015'!$I$2:$J$5,1),0,Main!$H$9)))*(DAY(DY14)-DAY(DX14)+1)/DAY(EOMONTH(DX14,0)),0))</f>
        <v/>
      </c>
      <c r="EC14" s="461" t="str">
        <f>IF(DX14="","",IF(DZ14=VLOOKUP(DZ14,'IN RPS-2015'!$I$2:$J$5,1),0,ROUND(EA14*VLOOKUP(DX14,$DT$4:$DU$7,2)%,0)))</f>
        <v/>
      </c>
      <c r="ED14" s="461" t="str">
        <f>IF(DX14="","",IF(OR(EP14=3,DZ14=VLOOKUP(DZ14,'IN RPS-2015'!$I$2:$J$5,1)),0,ROUND(MIN(ROUND(DZ14*VLOOKUP(DX14,$B$1:$G$4,2)%,0),VLOOKUP(DX14,$B$2:$I$4,IF($DU$3=$I$29,7,8),TRUE))*(DAY(DY14)-DAY(DX14)+1)/DAY(EOMONTH(DX14,0)),0)))</f>
        <v/>
      </c>
      <c r="EE14" s="491" t="str">
        <f>IF(DX14="","",IF(Main!$C$26="UGC",0,IF(OR(DX14&lt;DATE(2010,4,1),$I$6=VLOOKUP(DX14,$B$2:$G$4,5,TRUE),DZ14=VLOOKUP(DZ14,'IN RPS-2015'!$I$2:$J$5,1)),0,ROUND(IF(EP14=3,0,IF(EP14=2,MIN(ROUND(DZ14*$G$13%,0),IF(DX14&lt;$I$152,$G$14,$G$15))/2,MIN(ROUND(DZ14*$G$13%,0),IF(DX14&lt;$I$152,$G$14,$G$15))))*(DAY(DY14)-DAY(DX14)+1)/DAY(EOMONTH(DX14,0)),0))))</f>
        <v/>
      </c>
      <c r="EF14" s="461" t="str">
        <f>IF(DX14="","",IF(Main!$C$26="UGC",0,IF(DZ14=VLOOKUP(DZ14,'IN RPS-2015'!$I$2:$J$5,1),0,ROUND(EA14*VLOOKUP(DX14,$DT$11:$DU$12,2)%,0))))</f>
        <v/>
      </c>
      <c r="EG14" s="461" t="str">
        <f>IF(DX14="","",IF(Main!$C$26="UGC",0,IF(DX14&lt;DATE(2010,4,1),0,IF(OR(EP14=2,EP14=3,DZ14=VLOOKUP(DZ14,'IN RPS-2015'!$I$2:$J$5,1)),0,ROUND(IF(DX14&lt;$I$152,VLOOKUP(DX14,$B$1:$G$4,4),VLOOKUP(VLOOKUP(DX14,$B$1:$G$4,4),Main!$CE$2:$CF$5,2,FALSE))*(DAY(DY14)-DAY(DX14)+1)/DAY(EOMONTH(DX14,0)),0)))))</f>
        <v/>
      </c>
      <c r="EH14" s="461" t="str">
        <f>IF(DX14="","",IF(OR(EP14=2,EP14=3,$D$31=$D$28,DZ14=VLOOKUP(DZ14,'IN RPS-2015'!$I$2:$J$5,1)),0,ROUND(MIN(IF(DX14&lt;$I$152,900,1350),ROUND(DZ14*VLOOKUP(DW14,$A$27:$C$29,3,TRUE)%,0))*IF(DW14=$A$36,$C$36,IF(DW14=$A$37,$C$37,IF(DW14=$A$38,$C$38,IF(DW14=$A$39,$C$39,IF(DW14=$A$40,$C$40,IF(DW14=$A$41,$C$41,1))))))*(DAY(DY14)-DAY(DX14)+1)/DAY(EOMONTH(DX14,0)),0)))</f>
        <v/>
      </c>
      <c r="EI14" s="461" t="str">
        <f>IF(DX14="","",IF(Main!$C$26="UGC",0,IF(OR(EP14=3,DZ14=VLOOKUP(DZ14,'IN RPS-2015'!$I$2:$J$5,1)),0,ROUND(IF(EP14=2,VLOOKUP(DZ14,IF($DU$3=$I$29,$A$20:$E$23,$F$144:$J$147),IF($B$19=VLOOKUP(DX14,$B$2:$G$4,3,TRUE),2,IF($C$19=VLOOKUP(DX14,$B$2:$G$4,3,TRUE),3,IF($D$19=VLOOKUP(DX14,$B$2:$G$4,3,TRUE),4,5))),TRUE),VLOOKUP(DZ14,IF($DU$3=$I$29,$A$20:$E$23,$F$144:$J$147),IF($B$19=VLOOKUP(DX14,$B$2:$G$4,3,TRUE),2,IF($C$19=VLOOKUP(DX14,$B$2:$G$4,3,TRUE),3,IF($D$19=VLOOKUP(DX14,$B$2:$G$4,3,TRUE),4,5))),TRUE))*(DAY(DY14)-DAY(DX14)+1)/DAY(EOMONTH(DX14,0)),0))))</f>
        <v/>
      </c>
      <c r="EJ14" s="461" t="str">
        <f>IF(DX14="","",IF(Main!$C$26="UGC",0,IF(OR(DW14&lt;DATE(2010,4,1),EP14=3,DZ14=VLOOKUP(DZ14,'IN RPS-2015'!$I$2:$J$5,1)),0,ROUND(IF(EP14=2,IF(DX14&lt;$I$152,Main!$L$9,Main!$CI$3)/2,IF(DX14&lt;$I$152,Main!$L$9,Main!$CI$3))*(DAY(DY14)-DAY(DX14)+1)/DAY(EOMONTH(DX14,0)),0))))</f>
        <v/>
      </c>
      <c r="EK14" s="461"/>
      <c r="EL14" s="461" t="str">
        <f>IF(DX14="","",IF(Main!$C$26="UGC",0,IF(OR(EP14=3,DZ14=VLOOKUP(DZ14,'IN RPS-2015'!$I$2:$J$5,1)),0,ROUND(IF(EP14=2,VLOOKUP(EA14,IF(DX14&lt;$I$152,$A$154:$E$159,$F$154:$J$159),IF($B$10=VLOOKUP(DW14,$B$2:$G$4,6,TRUE),2,IF($B$10=VLOOKUP(DW14,$B$2:$G$4,6,TRUE),3,IF($D$10=VLOOKUP(DW14,$B$2:$G$4,6,TRUE),4,5))))/2,VLOOKUP(EA14,IF(DX14&lt;$I$152,$A$154:$E$159,$F$154:$J$159),IF($B$10=VLOOKUP(DW14,$B$2:$G$4,6,TRUE),2,IF($B$10=VLOOKUP(DW14,$B$2:$G$4,6,TRUE),3,IF($D$10=VLOOKUP(DW14,$B$2:$G$4,6,TRUE),4,5)))))*(DAY(DY14)-DAY(DX14)+1)/DAY(EOMONTH(DX14,0)),0))))</f>
        <v/>
      </c>
      <c r="EM14" s="461">
        <f t="shared" si="79"/>
        <v>0</v>
      </c>
      <c r="EN14" s="464" t="str">
        <f>IF(DX14="","",IF(AND(Main!$F$22=Main!$CA$24,DX14&gt;$EN$1),ROUND(SUM(EA14,EC14)*10%,0),""))</f>
        <v/>
      </c>
      <c r="EO14" s="464" t="str">
        <f>IF(DW14="","",IF(EA14=0,0,IF(OR(Main!$H$10=Main!$BH$4,Main!$H$10=Main!$BH$5),0,LOOKUP(EM14*DAY(EOMONTH(DX14,0))/(DAY(DY14)-DAY(DX14)+1),$H$184:$I$189))))</f>
        <v/>
      </c>
      <c r="EP14" s="457">
        <f t="shared" si="62"/>
        <v>1</v>
      </c>
      <c r="ER14" s="497"/>
      <c r="ET14" s="461"/>
      <c r="EU14" s="499" t="str">
        <f t="shared" si="63"/>
        <v/>
      </c>
      <c r="EV14" s="500" t="str">
        <f t="shared" si="89"/>
        <v/>
      </c>
      <c r="EW14" s="484" t="str">
        <f>IF(EV14="","",MIN(EOMONTH(EV14,0),VLOOKUP(EV14,'IN RPS-2015'!$O$164:$P$202,2,TRUE)-1,LOOKUP(EV14,$E$47:$F$53)-1,IF(EV14&lt;$B$2,$B$2-1,'IN RPS-2015'!$Q$9),IF(EV14&lt;$B$3,$B$3-1,'IN RPS-2015'!$Q$9),IF(EV14&lt;$B$4,$B$4-1,'IN RPS-2015'!$Q$9),LOOKUP(EV14,$H$47:$I$53)))</f>
        <v/>
      </c>
      <c r="EX14" s="490" t="str">
        <f>IF(EV14="","",VLOOKUP(EV14,'IN RPS-2015'!$P$164:$AA$202,12))</f>
        <v/>
      </c>
      <c r="EY14" s="461" t="str">
        <f t="shared" si="80"/>
        <v/>
      </c>
      <c r="EZ14" s="461" t="str">
        <f>IF(EV14="","",ROUND(IF(FN14=3,0,IF(FN14=2,IF(EX14=VLOOKUP(EX14,'IN RPS-2015'!$I$2:$J$5,1),0,Main!$H$9)/2,IF(EX14=VLOOKUP(EX14,'IN RPS-2015'!$I$2:$J$5,1),0,Main!$H$9)))*(DAY(EW14)-DAY(EV14)+1)/DAY(EOMONTH(EV14,0)),0))</f>
        <v/>
      </c>
      <c r="FA14" s="461" t="str">
        <f>IF(EV14="","",IF(EX14=VLOOKUP(EX14,'IN RPS-2015'!$I$2:$J$5,1),0,ROUND(EY14*VLOOKUP(EV14,$ER$4:$ES$7,2)%,0)))</f>
        <v/>
      </c>
      <c r="FB14" s="461" t="str">
        <f>IF(EV14="","",IF(OR(FN14=3,EX14=VLOOKUP(EX14,'IN RPS-2015'!$I$2:$J$5,1)),0,ROUND(MIN(ROUND(EX14*VLOOKUP(EV14,$B$1:$G$4,2)%,0),VLOOKUP(EV14,$B$2:$I$4,IF($ES$3=$I$29,7,8),TRUE))*(DAY(EW14)-DAY(EV14)+1)/DAY(EOMONTH(EV14,0)),0)))</f>
        <v/>
      </c>
      <c r="FC14" s="491" t="str">
        <f>IF(EV14="","",IF(Main!$C$26="UGC",0,IF(OR(EV14&lt;DATE(2010,4,1),$I$6=VLOOKUP(EV14,$B$2:$G$4,5,TRUE),EX14=VLOOKUP(EX14,'IN RPS-2015'!$I$2:$J$5,1)),0,ROUND(IF(FN14=3,0,IF(FN14=2,MIN(ROUND(EX14*$G$13%,0),IF(EV14&lt;$J$152,$G$14,$G$15))/2,MIN(ROUND(EX14*$G$13%,0),IF(EV14&lt;$J$152,$G$14,$G$15))))*(DAY(EW14)-DAY(EV14)+1)/DAY(EOMONTH(EV14,0)),0))))</f>
        <v/>
      </c>
      <c r="FD14" s="461" t="str">
        <f>IF(EV14="","",IF(Main!$C$26="UGC",0,IF(EX14=VLOOKUP(EX14,'IN RPS-2015'!$I$2:$J$5,1),0,ROUND(EY14*VLOOKUP(EV14,$ER$11:$ES$12,2)%,0))))</f>
        <v/>
      </c>
      <c r="FE14" s="461" t="str">
        <f>IF(EV14="","",IF(Main!$C$26="UGC",0,IF(EV14&lt;DATE(2010,4,1),0,IF(OR(FN14=2,FN14=3,EX14=VLOOKUP(EX14,'IN RPS-2015'!$I$2:$J$5,1)),0,ROUND(IF(EV14&lt;$J$152,VLOOKUP(EV14,$B$1:$G$4,4),VLOOKUP(VLOOKUP(EV14,$B$1:$G$4,4),Main!$CE$2:$CF$5,2,FALSE))*(DAY(EW14)-DAY(EV14)+1)/DAY(EOMONTH(EV14,0)),0)))))</f>
        <v/>
      </c>
      <c r="FF14" s="461" t="str">
        <f>IF(EV14="","",IF(OR(FN14=2,FN14=3,$D$31=$D$28,EX14=VLOOKUP(EX14,'IN RPS-2015'!$I$2:$J$5,1)),0,ROUND(MIN(VLOOKUP(EU14,$A$27:$C$29,2,TRUE),ROUND(EX14*VLOOKUP(EU14,$A$27:$C$29,3,TRUE)%,0))*IF(EU14=$A$36,$C$36,IF(EU14=$A$37,$C$37,IF(EU14=$A$38,$C$38,IF(EU14=$A$39,$C$39,IF(EU14=$A$40,$C$40,IF(EU14=$A$41,$C$41,1))))))*(DAY(EW14)-DAY(EV14)+1)/DAY(EOMONTH(EV14,0)),0)))</f>
        <v/>
      </c>
      <c r="FG14" s="461" t="str">
        <f>IF(EV14="","",IF(Main!$C$26="UGC",0,IF(OR(FN14=3,EX14=VLOOKUP(EX14,'IN RPS-2015'!$I$2:$J$5,1)),0,ROUND(IF(FN14=2,VLOOKUP(EX14,IF($ES$3=$I$29,$A$20:$E$23,$F$144:$J$147),IF($B$19=VLOOKUP(EV14,$B$2:$G$4,3,TRUE),2,IF($C$19=VLOOKUP(EV14,$B$2:$G$4,3,TRUE),3,IF($D$19=VLOOKUP(EV14,$B$2:$G$4,3,TRUE),4,5))),TRUE),VLOOKUP(EX14,IF($ES$3=$I$29,$A$20:$E$23,$F$144:$J$147),IF($B$19=VLOOKUP(EV14,$B$2:$G$4,3,TRUE),2,IF($C$19=VLOOKUP(EV14,$B$2:$G$4,3,TRUE),3,IF($D$19=VLOOKUP(EV14,$B$2:$G$4,3,TRUE),4,5))),TRUE))*(DAY(EW14)-DAY(EV14)+1)/DAY(EOMONTH(EV14,0)),0))))</f>
        <v/>
      </c>
      <c r="FH14" s="461" t="str">
        <f>IF(EV14="","",IF(Main!$C$26="UGC",0,IF(OR(EU14&lt;DATE(2010,4,1),FN14=3,EX14=VLOOKUP(EX14,'IN RPS-2015'!$I$2:$J$5,1)),0,ROUND(IF(FN14=2,IF(EV14&lt;$J$152,Main!$L$9,Main!$CI$3)/2,IF(EV14&lt;$J$152,Main!$L$9,Main!$CI$3))*(DAY(EW14)-DAY(EV14)+1)/DAY(EOMONTH(EV14,0)),0))))</f>
        <v/>
      </c>
      <c r="FI14" s="461"/>
      <c r="FJ14" s="461" t="str">
        <f>IF(EV14="","",IF(Main!$C$26="UGC",0,IF(OR(FN14=3,EX14=VLOOKUP(EX14,'IN RPS-2015'!$I$2:$J$5,1)),0,ROUND(IF(FN14=2,VLOOKUP(EY14,IF(EV14&lt;$J$152,$A$154:$E$159,$F$154:$J$159),IF($B$10=VLOOKUP(EU14,$B$2:$G$4,6,TRUE),2,IF($B$10=VLOOKUP(EU14,$B$2:$G$4,6,TRUE),3,IF($D$10=VLOOKUP(EU14,$B$2:$G$4,6,TRUE),4,5))))/2,VLOOKUP(EY14,IF(EV14&lt;$J$152,$A$154:$E$159,$F$154:$J$159),IF($B$10=VLOOKUP(EU14,$B$2:$G$4,6,TRUE),2,IF($B$10=VLOOKUP(EU14,$B$2:$G$4,6,TRUE),3,IF($D$10=VLOOKUP(EU14,$B$2:$G$4,6,TRUE),4,5)))))*(DAY(EW14)-DAY(EV14)+1)/DAY(EOMONTH(EV14,0)),0))))</f>
        <v/>
      </c>
      <c r="FK14" s="461">
        <f t="shared" si="81"/>
        <v>0</v>
      </c>
      <c r="FL14" s="464" t="str">
        <f>IF(EV14="","",IF(AND(Main!$F$22=Main!$CA$24,EV14&gt;$FL$1),ROUND(SUM(EY14,FA14)*10%,0),""))</f>
        <v/>
      </c>
      <c r="FM14" s="464" t="str">
        <f>IF(EU14="","",IF(EY14=0,0,IF(OR(Main!$H$10=Main!$BH$4,Main!$H$10=Main!$BH$5),0,LOOKUP(FK14*DAY(EOMONTH(EV14,0))/(DAY(EW14)-DAY(EV14)+1),$H$184:$I$189))))</f>
        <v/>
      </c>
      <c r="FN14" s="457">
        <f t="shared" si="64"/>
        <v>1</v>
      </c>
    </row>
    <row r="15" spans="1:170">
      <c r="A15" s="13">
        <v>21251</v>
      </c>
      <c r="B15" s="13">
        <v>625</v>
      </c>
      <c r="C15" s="13">
        <v>675</v>
      </c>
      <c r="D15" s="13">
        <v>775</v>
      </c>
      <c r="E15" s="38">
        <v>0</v>
      </c>
      <c r="G15" s="728">
        <v>2000</v>
      </c>
      <c r="K15" s="494" t="str">
        <f t="shared" si="65"/>
        <v/>
      </c>
      <c r="L15" s="495" t="str">
        <f t="shared" si="82"/>
        <v/>
      </c>
      <c r="M15" s="484" t="str">
        <f>IF(L15="","",MIN(EOMONTH(L15,0),VLOOKUP(L15,'IN RPS-2015'!$O$164:$P$202,2,TRUE)-1,LOOKUP(L15,$E$47:$F$53)-1,IF(L15&lt;$B$2,$B$2-1,'IN RPS-2015'!$Q$9),IF(L15&lt;$B$3,$B$3-1,'IN RPS-2015'!$Q$9),IF(L15&lt;$B$4,$B$4-1,'IN RPS-2015'!$Q$9),LOOKUP(L15,$H$47:$I$53)))</f>
        <v/>
      </c>
      <c r="N15" s="496" t="str">
        <f>IF(L15="","",VLOOKUP(L15,'Advance Tax'!$A$3:$C$14,3))</f>
        <v/>
      </c>
      <c r="O15" s="497" t="str">
        <f t="shared" si="52"/>
        <v/>
      </c>
      <c r="P15" s="497" t="str">
        <f>IF(L15="","",ROUND(IF(AD15=3,0,IF(AD15=2,IF(N15=VLOOKUP(N15,'IN RPS-2015'!$I$2:$J$5,1),0,Main!$H$9)/2,IF(N15=VLOOKUP(N15,'IN RPS-2015'!$I$2:$J$5,1),0,Main!$H$9)))*(DAY(M15)-DAY(L15)+1)/DAY(EOMONTH(L15,0)),0))</f>
        <v/>
      </c>
      <c r="Q15" s="457" t="str">
        <f>IF(L15="","",IF(N15=VLOOKUP(N15,'IN RPS-2015'!$I$2:$J$5,1),0,ROUND(O15*IF(L15&lt;Main!$C$27,VLOOKUP(L15,$H$9:$J$12,3),VLOOKUP(L15,$H$9:$J$12,2))%,0)))</f>
        <v/>
      </c>
      <c r="R15" s="457" t="str">
        <f>IF(L15="","",IF(OR(AD15=3,N15=VLOOKUP(N15,'IN RPS-2015'!$I$2:$J$5,1)),0,ROUND(MIN(ROUND(N15*VLOOKUP(L15,$B$1:$G$4,2)%,0),VLOOKUP(L15,$B$2:$I$4,IF(L15&lt;$G$7,7,8),TRUE))*(DAY(M15)-DAY(L15)+1)/DAY(EOMONTH(L15,0)),0)))</f>
        <v/>
      </c>
      <c r="S15" s="486" t="str">
        <f>IF(L15="","",IF(Main!$C$26="UGC",0,IF(OR(L15&lt;DATE(2010,4,1),$I$6=VLOOKUP(L15,$B$2:$G$4,5,TRUE),N15=VLOOKUP(N15,'IN RPS-2015'!$I$2:$J$5,1)),0,ROUND(IF(AD15=3,0,IF(AD15=2,MIN(ROUND(N15*$G$13%,0),IF(L15&lt;$J$152,$G$14,$G$15))/2,MIN(ROUND(N15*$G$13%,0),IF(L15&lt;$J$152,$G$14,$G$15))))*(DAY(M15)-DAY(L15)+1)/DAY(EOMONTH(L15,0)),0))))</f>
        <v/>
      </c>
      <c r="T15" s="457" t="str">
        <f>IF(L15="","",IF(Main!$C$26="UGC",0,IF(N15=VLOOKUP(N15,'IN RPS-2015'!$I$2:$J$5,1),0,ROUND(O15*VLOOKUP(L15,$H$205:$I$206,2)%,0))))</f>
        <v/>
      </c>
      <c r="U15" s="457" t="str">
        <f>IF(L15="","",IF(Main!$C$26="UGC",0,IF(L15&lt;DATE(2010,4,1),0,IF(OR(AD15=2,AD15=3,N15=VLOOKUP(N15,'IN RPS-2015'!$I$2:$J$5,1)),0,ROUND(IF(L15&lt;$J$152,VLOOKUP(L15,$B$1:$G$4,4),VLOOKUP(VLOOKUP(L15,$B$1:$G$4,4),Main!$CE$2:$CF$5,2,FALSE))*(DAY(M15)-DAY(L15)+1)/DAY(EOMONTH(L15,0)),0)))))</f>
        <v/>
      </c>
      <c r="V15" s="457" t="str">
        <f>IF(L15="","",IF(OR(AD15=2,AD15=3,$D$31=$D$28,N15=VLOOKUP(N15,'IN RPS-2015'!$I$2:$J$5,1)),0,ROUND(MIN(VLOOKUP(K15,$A$27:$C$29,2,TRUE),ROUND(N15*VLOOKUP(K15,$A$27:$C$29,3,TRUE)%,0))*IF(K15=$A$36,$C$36,IF(K15=$A$37,$C$37,IF(K15=$A$38,$C$38,IF(K15=$A$39,$C$39,IF(K15=$A$40,$C$40,IF(K15=$A$41,$C$41,1))))))*(DAY(M15)-DAY(L15)+1)/DAY(EOMONTH(L15,0)),0)))</f>
        <v/>
      </c>
      <c r="W15" s="457" t="str">
        <f>IF(L15="","",IF(Main!$C$26="UGC",0,IF(OR(AD15=3,N15=VLOOKUP(N15,'IN RPS-2015'!$I$2:$J$5,1)),0,ROUND(IF(AD15=2,VLOOKUP(N15,IF(L15&lt;$G$7,$A$20:$E$23,$F$144:$J$147),IF($B$19=VLOOKUP(L15,$B$2:$G$4,3,TRUE),2,IF($C$19=VLOOKUP(L15,$B$2:$G$4,3,TRUE),3,IF($D$19=VLOOKUP(L15,$B$2:$G$4,3,TRUE),4,5))),TRUE),VLOOKUP(N15,IF(L15&lt;$G$7,$A$20:$E$23,$F$144:$J$147),IF($B$19=VLOOKUP(L15,$B$2:$G$4,3,TRUE),2,IF($C$19=VLOOKUP(L15,$B$2:$G$4,3,TRUE),3,IF($D$19=VLOOKUP(L15,$B$2:$G$4,3,TRUE),4,5))),TRUE))*(DAY(M15)-DAY(L15)+1)/DAY(EOMONTH(L15,0)),0))))</f>
        <v/>
      </c>
      <c r="X15" s="457" t="str">
        <f>IF(L15="","",IF(Main!$C$26="UGC",0,IF(OR(K15&lt;DATE(2010,4,1),AD15=3,N15=VLOOKUP(N15,'IN RPS-2015'!$I$2:$J$5,1)),0,ROUND(IF(AD15=2,IF(L15&lt;$J$152,Main!$L$9,Main!$CI$3)/2,IF(L15&lt;$J$152,Main!$L$9,Main!$CI$3))*(DAY(M15)-DAY(L15)+1)/DAY(EOMONTH(L15,0)),0))))</f>
        <v/>
      </c>
      <c r="Y15" s="497"/>
      <c r="Z15" s="457" t="str">
        <f>IF(L15="","",IF(Main!$C$26="UGC",0,IF(OR(AD15=3,N15=VLOOKUP(N15,'IN RPS-2015'!$I$2:$J$5,1)),0,ROUND(IF(AD15=2,VLOOKUP(O15,IF(L15&lt;$J$152,$A$154:$E$159,$F$154:$J$159),IF($B$10=VLOOKUP(K15,$B$2:$G$4,6,TRUE),2,IF($B$10=VLOOKUP(K15,$B$2:$G$4,6,TRUE),3,IF($D$10=VLOOKUP(K15,$B$2:$G$4,6,TRUE),4,5))))/2,VLOOKUP(O15,IF(L15&lt;$J$152,$A$154:$E$159,$F$154:$J$159),IF($B$10=VLOOKUP(K15,$B$2:$G$4,6,TRUE),2,IF($B$10=VLOOKUP(K15,$B$2:$G$4,6,TRUE),3,IF($D$10=VLOOKUP(K15,$B$2:$G$4,6,TRUE),4,5)))))*(DAY(M15)-DAY(L15)+1)/DAY(EOMONTH(L15,0)),0))))</f>
        <v/>
      </c>
      <c r="AA15" s="497">
        <f t="shared" si="83"/>
        <v>0</v>
      </c>
      <c r="AB15" s="497"/>
      <c r="AC15" s="497"/>
      <c r="AD15" s="497">
        <f t="shared" si="53"/>
        <v>1</v>
      </c>
      <c r="AE15" s="497"/>
      <c r="AF15" s="497"/>
      <c r="AH15" s="461"/>
      <c r="AI15" s="499" t="str">
        <f t="shared" si="54"/>
        <v/>
      </c>
      <c r="AJ15" s="500" t="str">
        <f t="shared" si="84"/>
        <v/>
      </c>
      <c r="AK15" s="484" t="str">
        <f>IF(AJ15="","",MIN(EOMONTH(AJ15,0),VLOOKUP(AJ15,'IN RPS-2015'!$O$164:$P$202,2,TRUE)-1,LOOKUP(AJ15,$E$47:$F$53)-1,IF(AJ15&lt;$B$2,$B$2-1,'IN RPS-2015'!$Q$9),IF(AJ15&lt;$B$3,$B$3-1,'IN RPS-2015'!$Q$9),IF(AJ15&lt;$B$4,$B$4-1,'IN RPS-2015'!$Q$9),LOOKUP(AJ15,$H$47:$I$53)))</f>
        <v/>
      </c>
      <c r="AL15" s="490" t="str">
        <f>IF(AJ15="","",VLOOKUP(AJ15,'IN RPS-2015'!$P$164:$AA$202,9))</f>
        <v/>
      </c>
      <c r="AM15" s="461" t="str">
        <f t="shared" si="66"/>
        <v/>
      </c>
      <c r="AN15" s="461" t="str">
        <f>IF(AJ15="","",IF(AND($AG$3=$AG$1,AJ15&lt;=$AZ$1),0,ROUND(IF(BB15=3,0,IF(BB15=2,IF(AL15=VLOOKUP(AL15,'IN RPS-2015'!$I$2:$J$5,1),0,Main!$H$9)/2,IF(AL15=VLOOKUP(AL15,'IN RPS-2015'!$I$2:$J$5,1),0,Main!$H$9)))*(DAY(AK15)-DAY(AJ15)+1)/DAY(EOMONTH(AJ15,0)),0)))</f>
        <v/>
      </c>
      <c r="AO15" s="461" t="str">
        <f>IF(AJ15="","",IF(AND($AG$3=$AG$1,AJ15&lt;=$AZ$1),0,IF(AL15=VLOOKUP(AL15,'IN RPS-2015'!$I$2:$J$5,1),0,ROUND(AM15*VLOOKUP(AJ15,$AF$4:$AG$7,2)%,0))))</f>
        <v/>
      </c>
      <c r="AP15" s="461" t="str">
        <f>IF(AJ15="","",IF(AND($AG$3=$AG$1,AJ15&lt;=$AZ$1),0,IF(OR(BB15=3,AL15=VLOOKUP(AL15,'IN RPS-2015'!$I$2:$J$5,1)),0,ROUND(MIN(ROUND(AL15*VLOOKUP(AJ15,$B$1:$G$4,2)%,0),VLOOKUP(AJ15,$B$2:$I$4,IF($AG$3=$I$29,7,8),TRUE))*(DAY(AK15)-DAY(AJ15)+1)/DAY(EOMONTH(AJ15,0)),0))))</f>
        <v/>
      </c>
      <c r="AQ15" s="491" t="str">
        <f>IF(AJ15="","",IF(AND($AG$3=$AG$1,AJ15&lt;=$AZ$1),0,IF(Main!$C$26="UGC",0,IF(OR(AJ15&lt;DATE(2010,4,1),$I$6=VLOOKUP(AJ15,$B$2:$G$4,5,TRUE),AL15=VLOOKUP(AL15,'IN RPS-2015'!$I$2:$J$5,1)),0,ROUND(IF(BB15=3,0,IF(BB15=2,MIN(ROUND(AL15*$G$13%,0),IF(AJ15&lt;$J$152,$G$14,$G$15))/2,MIN(ROUND(AL15*$G$13%,0),IF(AJ15&lt;$J$152,$G$14,$G$15))))*(DAY(AK15)-DAY(AJ15)+1)/DAY(EOMONTH(AJ15,0)),0)))))</f>
        <v/>
      </c>
      <c r="AR15" s="461" t="str">
        <f>IF(AJ15="","",IF(AND($AG$3=$AG$1,AJ15&lt;=$AZ$1),0,IF(Main!$C$26="UGC",0,IF(AL15=VLOOKUP(AL15,'IN RPS-2015'!$I$2:$J$5,1),0,ROUND(AM15*VLOOKUP(AJ15,$AF$11:$AG$12,2)%,0)))))</f>
        <v/>
      </c>
      <c r="AS15" s="461" t="str">
        <f>IF(AJ15="","",IF(AND($AG$3=$AG$1,AJ15&lt;=$AZ$1),0,IF(Main!$C$26="UGC",0,IF(AJ15&lt;DATE(2010,4,1),0,IF(OR(BB15=2,BB15=3,AL15=VLOOKUP(AL15,'IN RPS-2015'!$I$2:$J$5,1)),0,ROUND(IF(AJ15&lt;$J$152,VLOOKUP(AJ15,$B$1:$G$4,4),VLOOKUP(VLOOKUP(AJ15,$B$1:$G$4,4),Main!$CE$2:$CF$5,2,FALSE))*(DAY(AK15)-DAY(AJ15)+1)/DAY(EOMONTH(AJ15,0)),0))))))</f>
        <v/>
      </c>
      <c r="AT15" s="461" t="str">
        <f>IF(AJ15="","",IF(AND($AG$3=$AG$1,AJ15&lt;=$AZ$1),0,IF(OR(BB15=2,BB15=3,$D$31=$D$28,AL15=VLOOKUP(AL15,'IN RPS-2015'!$I$2:$J$5,1)),0,ROUND(MIN(VLOOKUP(AI15,$A$27:$C$29,2,TRUE),ROUND(AL15*VLOOKUP(AI15,$A$27:$C$29,3,TRUE)%,0))*IF(AI15=$A$36,$C$36,IF(AI15=$A$37,$C$37,IF(AI15=$A$38,$C$38,IF(AI15=$A$39,$C$39,IF(AI15=$A$40,$C$40,IF(AI15=$A$41,$C$41,1))))))*(DAY(AK15)-DAY(AJ15)+1)/DAY(EOMONTH(AJ15,0)),0))))</f>
        <v/>
      </c>
      <c r="AU15" s="461" t="str">
        <f>IF(AJ15="","",IF(AND($AG$3=$AG$1,AJ15&lt;=$AZ$1),0,IF(Main!$C$26="UGC",0,IF(OR(BB15=3,AL15=VLOOKUP(AL15,'IN RPS-2015'!$I$2:$J$5,1)),0,ROUND(IF(BB15=2,VLOOKUP(AL15,IF($AG$3=$I$29,$A$20:$E$23,$F$144:$J$147),IF($B$19=VLOOKUP(AJ15,$B$2:$G$4,3,TRUE),2,IF($C$19=VLOOKUP(AJ15,$B$2:$G$4,3,TRUE),3,IF($D$19=VLOOKUP(AJ15,$B$2:$G$4,3,TRUE),4,5))),TRUE),VLOOKUP(AL15,IF($AG$3=$I$29,$A$20:$E$23,$F$144:$J$147),IF($B$19=VLOOKUP(AJ15,$B$2:$G$4,3,TRUE),2,IF($C$19=VLOOKUP(AJ15,$B$2:$G$4,3,TRUE),3,IF($D$19=VLOOKUP(AJ15,$B$2:$G$4,3,TRUE),4,5))),TRUE))*(DAY(AK15)-DAY(AJ15)+1)/DAY(EOMONTH(AJ15,0)),0)))))</f>
        <v/>
      </c>
      <c r="AV15" s="461" t="str">
        <f>IF(AJ15="","",IF(AND($AG$3=$AG$1,AJ15&lt;=$AZ$1),0,IF(Main!$C$26="UGC",0,IF(OR(AI15&lt;DATE(2010,4,1),BB15=3,AL15=VLOOKUP(AL15,'IN RPS-2015'!$I$2:$J$5,1)),0,ROUND(IF(BB15=2,IF(AJ15&lt;$J$152,Main!$L$9,Main!$CI$3)/2,IF(AJ15&lt;$J$152,Main!$L$9,Main!$CI$3))*(DAY(AK15)-DAY(AJ15)+1)/DAY(EOMONTH(AJ15,0)),0)))))</f>
        <v/>
      </c>
      <c r="AW15" s="461"/>
      <c r="AX15" s="461" t="str">
        <f>IF(AJ15="","",IF(AND($AG$3=$AG$1,AJ15&lt;=$AZ$1),0,IF(Main!$C$26="UGC",0,IF(OR(BB15=3,AL15=VLOOKUP(AL15,'IN RPS-2015'!$I$2:$J$5,1)),0,ROUND(IF(BB15=2,VLOOKUP(AM15,IF(AJ15&lt;$J$152,$A$154:$E$159,$F$154:$J$159),IF($B$10=VLOOKUP(AI15,$B$2:$G$4,6,TRUE),2,IF($B$10=VLOOKUP(AI15,$B$2:$G$4,6,TRUE),3,IF($D$10=VLOOKUP(AI15,$B$2:$G$4,6,TRUE),4,5))))/2,VLOOKUP(AM15,IF(AJ15&lt;$J$152,$A$154:$E$159,$F$154:$J$159),IF($B$10=VLOOKUP(AI15,$B$2:$G$4,6,TRUE),2,IF($B$10=VLOOKUP(AI15,$B$2:$G$4,6,TRUE),3,IF($D$10=VLOOKUP(AI15,$B$2:$G$4,6,TRUE),4,5)))))*(DAY(AK15)-DAY(AJ15)+1)/DAY(EOMONTH(AJ15,0)),0)))))</f>
        <v/>
      </c>
      <c r="AY15" s="461">
        <f t="shared" si="67"/>
        <v>0</v>
      </c>
      <c r="AZ15" s="464" t="str">
        <f>IF(AJ15="","",IF(AND($AG$3=$AG$1,AJ15&lt;=$AZ$1),0,IF(AND(Main!$F$22=Main!$CA$24,AJ15&gt;$AZ$1),ROUND(SUM(AM15,AO15)*10%,0),"")))</f>
        <v/>
      </c>
      <c r="BA15" s="464" t="str">
        <f>IF(AI15="","",IF(AND($AG$3=$AG$1,AJ15&lt;=$AZ$1),0,IF(OR(Main!$H$10=Main!$BH$4,Main!$H$10=Main!$BH$5),0,LOOKUP(AY15*DAY(EOMONTH(AJ15,0))/(DAY(AK15)-DAY(AJ15)+1),$H$184:$I$189))))</f>
        <v/>
      </c>
      <c r="BB15" s="497">
        <f t="shared" si="55"/>
        <v>1</v>
      </c>
      <c r="BC15" s="464"/>
      <c r="BD15" s="501" t="str">
        <f t="shared" si="56"/>
        <v/>
      </c>
      <c r="BE15" s="502" t="str">
        <f t="shared" si="85"/>
        <v/>
      </c>
      <c r="BF15" s="484" t="str">
        <f>IF(BE15="","",MIN(EOMONTH(BE15,0),VLOOKUP(BE15,'IN RPS-2015'!$O$164:$P$202,2,TRUE)-1,LOOKUP(BE15,$E$47:$F$53)-1,IF(BE15&lt;$B$2,$B$2-1,'IN RPS-2015'!$Q$9),IF(BE15&lt;$B$3,$B$3-1,'IN RPS-2015'!$Q$9),IF(BE15&lt;$B$4,$B$4-1,'IN RPS-2015'!$Q$9),LOOKUP(BE15,$H$47:$I$53)))</f>
        <v/>
      </c>
      <c r="BG15" s="493" t="str">
        <f>IF(BE15="","",VLOOKUP(BE15,'IN RPS-2015'!$P$164:$AA$202,10))</f>
        <v/>
      </c>
      <c r="BH15" s="461" t="str">
        <f t="shared" si="68"/>
        <v/>
      </c>
      <c r="BI15" s="461" t="str">
        <f>IF(BE15="","",IF(AND($AG$3=$AG$1,BE15&lt;=$AZ$1),0,ROUND(IF(BW15=3,0,IF(BW15=2,IF(BG15=VLOOKUP(BG15,'IN RPS-2015'!$I$2:$J$5,1),0,Main!$H$9)/2,IF(BG15=VLOOKUP(BG15,'IN RPS-2015'!$I$2:$J$5,1),0,Main!$H$9)))*(DAY(BF15)-DAY(BE15)+1)/DAY(EOMONTH(BE15,0)),0)))</f>
        <v/>
      </c>
      <c r="BJ15" s="461" t="str">
        <f>IF(BE15="","",IF(AND($AG$3=$AG$1,BE15&lt;=$AZ$1),0,IF(BG15=VLOOKUP(BG15,'IN RPS-2015'!$I$2:$J$5,1),0,ROUND(BH15*VLOOKUP(BE15,$AF$4:$AG$7,2)%,0))))</f>
        <v/>
      </c>
      <c r="BK15" s="461" t="str">
        <f>IF(BE15="","",IF(AND($AG$3=$AG$1,BE15&lt;=$AZ$1),0,IF(OR(BW15=3,BG15=VLOOKUP(BG15,'IN RPS-2015'!$I$2:$J$5,1)),0,ROUND(MIN(ROUND(BG15*VLOOKUP(BE15,$B$1:$G$4,2)%,0),VLOOKUP(BE15,$B$2:$I$4,IF($AG$3=$I$29,7,8),TRUE))*(DAY(BF15)-DAY(BE15)+1)/DAY(EOMONTH(BE15,0)),0))))</f>
        <v/>
      </c>
      <c r="BL15" s="491" t="str">
        <f>IF(BE15="","",IF(AND($AG$3=$AG$1,BE15&lt;=$AZ$1),0,IF(Main!$C$26="UGC",0,IF(OR(BE15&lt;DATE(2010,4,1),$I$6=VLOOKUP(BE15,$B$2:$G$4,5,TRUE),BG15=VLOOKUP(BG15,'IN RPS-2015'!$I$2:$J$5,1)),0,ROUND(IF(BW15=3,0,IF(BW15=2,MIN(ROUND(BG15*$G$13%,0),IF(BE15&lt;$J$152,$G$14,$G$15))/2,MIN(ROUND(BG15*$G$13%,0),IF(BE15&lt;$J$152,$G$14,$G$15))))*(DAY(BF15)-DAY(BE15)+1)/DAY(EOMONTH(BE15,0)),0)))))</f>
        <v/>
      </c>
      <c r="BM15" s="461" t="str">
        <f>IF(BE15="","",IF(AND($AG$3=$AG$1,BE15&lt;=$AZ$1),0,IF(Main!$C$26="UGC",0,IF(BG15=VLOOKUP(BG15,'IN RPS-2015'!$I$2:$J$5,1),0,ROUND(BH15*VLOOKUP(BE15,$AF$11:$AG$12,2)%,0)))))</f>
        <v/>
      </c>
      <c r="BN15" s="461" t="str">
        <f>IF(BE15="","",IF(AND($AG$3=$AG$1,BE15&lt;=$AZ$1),0,IF(Main!$C$26="UGC",0,IF(BE15&lt;DATE(2010,4,1),0,IF(OR(BW15=2,BW15=3,BG15=VLOOKUP(BG15,'IN RPS-2015'!$I$2:$J$5,1)),0,ROUND(IF(BE15&lt;$J$152,VLOOKUP(BE15,$B$1:$G$4,4),VLOOKUP(VLOOKUP(BE15,$B$1:$G$4,4),Main!$CE$2:$CF$5,2,FALSE))*(DAY(BF15)-DAY(BE15)+1)/DAY(EOMONTH(BE15,0)),0))))))</f>
        <v/>
      </c>
      <c r="BO15" s="461" t="str">
        <f>IF(BE15="","",IF(AND($AG$3=$AG$1,BE15&lt;=$AZ$1),0,IF(OR(BW15=2,BW15=3,$D$31=$D$28,BG15=VLOOKUP(BG15,'IN RPS-2015'!$I$2:$J$5,1)),0,ROUND(MIN(VLOOKUP(BD15,$A$27:$C$29,2,TRUE),ROUND(BG15*VLOOKUP(BD15,$A$27:$C$29,3,TRUE)%,0))*IF(BD15=$A$36,$C$36,IF(BD15=$A$37,$C$37,IF(BD15=$A$38,$C$38,IF(BD15=$A$39,$C$39,IF(BD15=$A$40,$C$40,IF(BD15=$A$41,$C$41,1))))))*(DAY(BF15)-DAY(BE15)+1)/DAY(EOMONTH(BE15,0)),0))))</f>
        <v/>
      </c>
      <c r="BP15" s="461" t="str">
        <f>IF(BE15="","",IF(AND($AG$3=$AG$1,BE15&lt;=$AZ$1),0,IF(Main!$C$26="UGC",0,IF(OR(BW15=3,BG15=VLOOKUP(BG15,'IN RPS-2015'!$I$2:$J$5,1)),0,ROUND(IF(BW15=2,VLOOKUP(BG15,IF($AG$3=$I$29,$A$20:$E$23,$F$144:$J$147),IF($B$19=VLOOKUP(BE15,$B$2:$G$4,3,TRUE),2,IF($C$19=VLOOKUP(BE15,$B$2:$G$4,3,TRUE),3,IF($D$19=VLOOKUP(BE15,$B$2:$G$4,3,TRUE),4,5))),TRUE),VLOOKUP(BG15,IF($AG$3=$I$29,$A$20:$E$23,$F$144:$J$147),IF($B$19=VLOOKUP(BE15,$B$2:$G$4,3,TRUE),2,IF($C$19=VLOOKUP(BE15,$B$2:$G$4,3,TRUE),3,IF($D$19=VLOOKUP(BE15,$B$2:$G$4,3,TRUE),4,5))),TRUE))*(DAY(BF15)-DAY(BE15)+1)/DAY(EOMONTH(BE15,0)),0)))))</f>
        <v/>
      </c>
      <c r="BQ15" s="461" t="str">
        <f>IF(BE15="","",IF(AND($AG$3=$AG$1,BE15&lt;=$AZ$1),0,IF(Main!$C$26="UGC",0,IF(OR(BD15&lt;DATE(2010,4,1),BW15=3,BG15=VLOOKUP(BG15,'IN RPS-2015'!$I$2:$J$5,1)),0,ROUND(IF(BW15=2,IF(BE15&lt;$J$152,Main!$L$9,Main!$CI$3)/2,IF(BE15&lt;$J$152,Main!$L$9,Main!$CI$3))*(DAY(BF15)-DAY(BE15)+1)/DAY(EOMONTH(BE15,0)),0)))))</f>
        <v/>
      </c>
      <c r="BR15" s="461"/>
      <c r="BS15" s="461" t="str">
        <f>IF(BE15="","",IF(AND($AG$3=$AG$1,BE15&lt;=$AZ$1),0,IF(Main!$C$26="UGC",0,IF(OR(BW15=3,BG15=VLOOKUP(BG15,'IN RPS-2015'!$I$2:$J$5,1)),0,ROUND(IF(BW15=2,VLOOKUP(BH15,IF(BE15&lt;$J$152,$A$154:$E$159,$F$154:$J$159),IF($B$10=VLOOKUP(BD15,$B$2:$G$4,6,TRUE),2,IF($B$10=VLOOKUP(BD15,$B$2:$G$4,6,TRUE),3,IF($D$10=VLOOKUP(BD15,$B$2:$G$4,6,TRUE),4,5))))/2,VLOOKUP(BH15,IF(BE15&lt;$J$152,$A$154:$E$159,$F$154:$J$159),IF($B$10=VLOOKUP(BD15,$B$2:$G$4,6,TRUE),2,IF($B$10=VLOOKUP(BD15,$B$2:$G$4,6,TRUE),3,IF($D$10=VLOOKUP(BD15,$B$2:$G$4,6,TRUE),4,5)))))*(DAY(BF15)-DAY(BE15)+1)/DAY(EOMONTH(BE15,0)),0)))))</f>
        <v/>
      </c>
      <c r="BT15" s="461">
        <f t="shared" si="69"/>
        <v>0</v>
      </c>
      <c r="BU15" s="464" t="str">
        <f>IF(BE15="","",IF(AND($AG$3=$AG$1,BE15&lt;=$AZ$1),0,IF(AND(Main!$F$22=Main!$CA$24,BE15&gt;$AZ$1),ROUND(SUM(BH15,BJ15)*10%,0),"")))</f>
        <v/>
      </c>
      <c r="BV15" s="464" t="str">
        <f>IF(BD15="","",IF(AND($AG$3=$AG$1,BE15&lt;=$AZ$1),0,IF(OR(Main!$H$10=Main!$BH$4,Main!$H$10=Main!$BH$5),0,LOOKUP(BT15*DAY(EOMONTH(BE15,0))/(DAY(BF15)-DAY(BE15)+1),$H$184:$I$189))))</f>
        <v/>
      </c>
      <c r="BW15" s="503">
        <f t="shared" si="70"/>
        <v>1</v>
      </c>
      <c r="BX15" s="457">
        <f t="shared" si="71"/>
        <v>0</v>
      </c>
      <c r="BY15" s="497"/>
      <c r="BZ15" s="497"/>
      <c r="CA15" s="457"/>
      <c r="CB15" s="461"/>
      <c r="CC15" s="499" t="str">
        <f t="shared" si="57"/>
        <v/>
      </c>
      <c r="CD15" s="500" t="str">
        <f t="shared" si="86"/>
        <v/>
      </c>
      <c r="CE15" s="484" t="str">
        <f>IF(CD15="","",MIN(EOMONTH(CD15,0),VLOOKUP(CD15,'IN RPS-2015'!$O$164:$P$202,2,TRUE)-1,LOOKUP(CD15,$E$47:$F$53)-1,IF(CD15&lt;$B$2,$B$2-1,'IN RPS-2015'!$Q$9),IF(CD15&lt;$B$3,$B$3-1,'IN RPS-2015'!$Q$9),IF(CD15&lt;$B$4,$B$4-1,'IN RPS-2015'!$Q$9),LOOKUP(CD15,$H$47:$I$53)))</f>
        <v/>
      </c>
      <c r="CF15" s="490" t="str">
        <f>IF(CD15="","",VLOOKUP(CD15,'IN RPS-2015'!$T$207:$Y$222,5))</f>
        <v/>
      </c>
      <c r="CG15" s="461" t="str">
        <f t="shared" si="72"/>
        <v/>
      </c>
      <c r="CH15" s="461" t="str">
        <f>IF(CD15="","",IF(AND($CA$3=$CA$1,CD15&lt;=$CT$1),0,ROUND(IF(CV15=3,0,IF(CV15=2,IF(CF15=VLOOKUP(CF15,'IN RPS-2015'!$I$2:$J$5,1),0,Main!$H$9)/2,IF(CF15=VLOOKUP(CF15,'IN RPS-2015'!$I$2:$J$5,1),0,Main!$H$9)))*(DAY(CE15)-DAY(CD15)+1)/DAY(EOMONTH(CD15,0)),0)))</f>
        <v/>
      </c>
      <c r="CI15" s="461" t="str">
        <f>IF(CD15="","",IF(AND($CA$3=$CA$1,CD15&lt;=$CT$1),0,IF(CF15=VLOOKUP(CF15,'IN RPS-2015'!$I$2:$J$5,1),0,ROUND(CG15*VLOOKUP(CD15,$BZ$4:$CA$7,2)%,0))))</f>
        <v/>
      </c>
      <c r="CJ15" s="461" t="str">
        <f>IF(CD15="","",IF(AND($CA$3=$CA$1,CD15&lt;=$CT$1),0,IF(OR(CV15=3,CF15=VLOOKUP(CF15,'IN RPS-2015'!$I$2:$J$5,1)),0,ROUND(MIN(ROUND(CF15*VLOOKUP(CD15,$B$1:$G$4,2)%,0),VLOOKUP(CD15,$B$2:$I$4,IF($CA$3=$I$29,7,8),TRUE))*(DAY(CE15)-DAY(CD15)+1)/DAY(EOMONTH(CD15,0)),0))))</f>
        <v/>
      </c>
      <c r="CK15" s="491" t="str">
        <f>IF(CD15="","",IF(AND($CA$3=$CA$1,CD15&lt;=$CT$1),0,IF(Main!$C$26="UGC",0,IF(OR(CD15&lt;DATE(2010,4,1),$I$6=VLOOKUP(CD15,$B$2:$G$4,5,TRUE),CF15=VLOOKUP(CF15,'IN RPS-2015'!$I$2:$J$5,1)),0,ROUND(IF(CV15=3,0,IF(CV15=2,MIN(ROUND(CF15*$G$13%,0),IF(CD15&lt;$J$152,$G$14,$G$15))/2,MIN(ROUND(CF15*$G$13%,0),IF(CD15&lt;$J$152,$G$14,$G$15))))*(DAY(CE15)-DAY(CD15)+1)/DAY(EOMONTH(CD15,0)),0)))))</f>
        <v/>
      </c>
      <c r="CL15" s="461" t="str">
        <f>IF(CD15="","",IF(AND($CA$3=$CA$1,CD15&lt;=$CT$1),0,IF(Main!$C$26="UGC",0,IF(CF15=VLOOKUP(CF15,'IN RPS-2015'!$I$2:$J$5,1),0,ROUND(CG15*VLOOKUP(CD15,$BZ$11:$CA$12,2)%,0)))))</f>
        <v/>
      </c>
      <c r="CM15" s="461" t="str">
        <f>IF(CD15="","",IF(AND($CA$3=$CA$1,CD15&lt;=$CT$1),0,IF(Main!$C$26="UGC",0,IF(CD15&lt;DATE(2010,4,1),0,IF(OR(CV15=2,CV15=3,CF15=VLOOKUP(CF15,'IN RPS-2015'!$I$2:$J$5,1)),0,ROUND(IF(CD15&lt;$J$152,VLOOKUP(CD15,$B$1:$G$4,4),VLOOKUP(VLOOKUP(CD15,$B$1:$G$4,4),Main!$CE$2:$CF$5,2,FALSE))*(DAY(CE15)-DAY(CD15)+1)/DAY(EOMONTH(CD15,0)),0))))))</f>
        <v/>
      </c>
      <c r="CN15" s="461" t="str">
        <f>IF(CD15="","",IF(AND($CA$3=$CA$1,CD15&lt;=$CT$1),0,IF(OR(CV15=2,CV15=3,$D$31=$D$28,CF15=VLOOKUP(CF15,'IN RPS-2015'!$I$2:$J$5,1)),0,ROUND(MIN(VLOOKUP(CC15,$A$27:$C$29,2,TRUE),ROUND(CF15*VLOOKUP(CC15,$A$27:$C$29,3,TRUE)%,0))*IF(CC15=$A$36,$C$36,IF(CC15=$A$37,$C$37,IF(CC15=$A$38,$C$38,IF(CC15=$A$39,$C$39,IF(CC15=$A$40,$C$40,IF(CC15=$A$41,$C$41,1))))))*(DAY(CE15)-DAY(CD15)+1)/DAY(EOMONTH(CD15,0)),0))))</f>
        <v/>
      </c>
      <c r="CO15" s="461" t="str">
        <f>IF(CD15="","",IF(AND($CA$3=$CA$1,CD15&lt;=$CT$1),0,IF(Main!$C$26="UGC",0,IF(OR(CV15=3,CF15=VLOOKUP(CF15,'IN RPS-2015'!$I$2:$J$5,1)),0,ROUND(IF(CV15=2,VLOOKUP(CF15,IF($CA$3=$I$29,$A$20:$E$23,$F$144:$J$147),IF($B$19=VLOOKUP(CD15,$B$2:$G$4,3,TRUE),2,IF($C$19=VLOOKUP(CD15,$B$2:$G$4,3,TRUE),3,IF($D$19=VLOOKUP(CD15,$B$2:$G$4,3,TRUE),4,5))),TRUE),VLOOKUP(CF15,IF($CA$3=$I$29,$A$20:$E$23,$F$144:$J$147),IF($B$19=VLOOKUP(CD15,$B$2:$G$4,3,TRUE),2,IF($C$19=VLOOKUP(CD15,$B$2:$G$4,3,TRUE),3,IF($D$19=VLOOKUP(CD15,$B$2:$G$4,3,TRUE),4,5))),TRUE))*(DAY(CE15)-DAY(CD15)+1)/DAY(EOMONTH(CD15,0)),0)))))</f>
        <v/>
      </c>
      <c r="CP15" s="461" t="str">
        <f>IF(CD15="","",IF(AND($CA$3=$CA$1,CD15&lt;=$CT$1),0,IF(Main!$C$26="UGC",0,IF(OR(CC15&lt;DATE(2010,4,1),CV15=3,CF15=VLOOKUP(CF15,'IN RPS-2015'!$I$2:$J$5,1)),0,ROUND(IF(CV15=2,IF(CD15&lt;$J$152,Main!$L$9,Main!$CI$3)/2,IF(CD15&lt;$J$152,Main!$L$9,Main!$CI$3))*(DAY(CE15)-DAY(CD15)+1)/DAY(EOMONTH(CD15,0)),0)))))</f>
        <v/>
      </c>
      <c r="CQ15" s="461"/>
      <c r="CR15" s="461" t="str">
        <f>IF(CD15="","",IF(AND($CA$3=$CA$1,CD15&lt;=$CT$1),0,IF(Main!$C$26="UGC",0,IF(OR(CV15=3,CF15=VLOOKUP(CF15,'IN RPS-2015'!$I$2:$J$5,1)),0,ROUND(IF(CV15=2,VLOOKUP(CG15,IF(CD15&lt;$J$152,$A$154:$E$159,$F$154:$J$159),IF($B$10=VLOOKUP(CC15,$B$2:$G$4,6,TRUE),2,IF($B$10=VLOOKUP(CC15,$B$2:$G$4,6,TRUE),3,IF($D$10=VLOOKUP(CC15,$B$2:$G$4,6,TRUE),4,5))))/2,VLOOKUP(CG15,IF(CD15&lt;$J$152,$A$154:$E$159,$F$154:$J$159),IF($B$10=VLOOKUP(CC15,$B$2:$G$4,6,TRUE),2,IF($B$10=VLOOKUP(CC15,$B$2:$G$4,6,TRUE),3,IF($D$10=VLOOKUP(CC15,$B$2:$G$4,6,TRUE),4,5)))))*(DAY(CE15)-DAY(CD15)+1)/DAY(EOMONTH(CD15,0)),0)))))</f>
        <v/>
      </c>
      <c r="CS15" s="461">
        <f t="shared" si="73"/>
        <v>0</v>
      </c>
      <c r="CT15" s="464" t="str">
        <f>IF(CD15="","",IF(AND($CA$3=$CA$1,CD15&lt;=$CT$1),0,IF(AND(Main!$F$22=Main!$CA$24,CD15&gt;$CT$1),ROUND(SUM(CG15,CI15)*10%,0),"")))</f>
        <v/>
      </c>
      <c r="CU15" s="464" t="str">
        <f>IF(CC15="","",IF(CG15=0,0,IF(OR(Main!$H$10=Main!$BH$4,Main!$H$10=Main!$BH$5),0,LOOKUP(CS15*DAY(EOMONTH(CD15,0))/(DAY(CE15)-DAY(CD15)+1),$H$184:$I$189))))</f>
        <v/>
      </c>
      <c r="CV15" s="457">
        <f t="shared" si="74"/>
        <v>1</v>
      </c>
      <c r="CW15" s="464"/>
      <c r="CX15" s="501" t="str">
        <f t="shared" si="59"/>
        <v/>
      </c>
      <c r="CY15" s="502" t="str">
        <f t="shared" si="87"/>
        <v/>
      </c>
      <c r="CZ15" s="484" t="str">
        <f>IF(CY15="","",MIN(EOMONTH(CY15,0),VLOOKUP(CY15,'IN RPS-2015'!$O$164:$P$202,2,TRUE)-1,LOOKUP(CY15,$E$47:$F$53)-1,IF(CY15&lt;$B$2,$B$2-1,'IN RPS-2015'!$Q$9),IF(CY15&lt;$B$3,$B$3-1,'IN RPS-2015'!$Q$9),IF(CY15&lt;$B$4,$B$4-1,'IN RPS-2015'!$Q$9),LOOKUP(CY15,$H$47:$I$53)))</f>
        <v/>
      </c>
      <c r="DA15" s="493" t="str">
        <f>IF(CY15="","",VLOOKUP(CY15,'IN RPS-2015'!$T$207:$Y$222,6))</f>
        <v/>
      </c>
      <c r="DB15" s="461" t="str">
        <f t="shared" si="75"/>
        <v/>
      </c>
      <c r="DC15" s="461" t="str">
        <f>IF(CY15="","",IF(AND($CA$3=$CA$1,CY15&lt;=$CT$1),0,ROUND(IF(DQ15=3,0,IF(DQ15=2,IF(DA15=VLOOKUP(DA15,'IN RPS-2015'!$I$2:$J$5,1),0,Main!$H$9)/2,IF(DA15=VLOOKUP(DA15,'IN RPS-2015'!$I$2:$J$5,1),0,Main!$H$9)))*(DAY(CZ15)-DAY(CY15)+1)/DAY(EOMONTH(CY15,0)),0)))</f>
        <v/>
      </c>
      <c r="DD15" s="461" t="str">
        <f>IF(CY15="","",IF(AND($CA$3=$CA$1,CY15&lt;=$CT$1),0,IF(DA15=VLOOKUP(DA15,'IN RPS-2015'!$I$2:$J$5,1),0,ROUND(DB15*VLOOKUP(CY15,$BZ$4:$CA$7,2)%,0))))</f>
        <v/>
      </c>
      <c r="DE15" s="461" t="str">
        <f>IF(CY15="","",IF(AND($CA$3=$CA$1,CY15&lt;=$CT$1),0,IF(OR(DQ15=3,DA15=VLOOKUP(DA15,'IN RPS-2015'!$I$2:$J$5,1)),0,ROUND(MIN(ROUND(DA15*VLOOKUP(CY15,$B$1:$G$4,2)%,0),VLOOKUP(CY15,$B$2:$I$4,IF($CA$3=$I$29,7,8),TRUE))*(DAY(CZ15)-DAY(CY15)+1)/DAY(EOMONTH(CY15,0)),0))))</f>
        <v/>
      </c>
      <c r="DF15" s="491" t="str">
        <f>IF(CY15="","",IF(AND($CA$3=$CA$1,CY15&lt;=$CT$1),0,IF(Main!$C$26="UGC",0,IF(OR(CY15&lt;DATE(2010,4,1),$I$6=VLOOKUP(CY15,$B$2:$G$4,5,TRUE),DA15=VLOOKUP(DA15,'IN RPS-2015'!$I$2:$J$5,1)),0,ROUND(IF(DQ15=3,0,IF(DQ15=2,MIN(ROUND(DA15*$G$13%,0),IF(CY15&lt;$J$152,$G$14,$G$15))/2,MIN(ROUND(DA15*$G$13%,0),IF(CY15&lt;$J$152,$G$14,$G$15))))*(DAY(CZ15)-DAY(CY15)+1)/DAY(EOMONTH(CY15,0)),0)))))</f>
        <v/>
      </c>
      <c r="DG15" s="461" t="str">
        <f>IF(CY15="","",IF(AND($CA$3=$CA$1,CY15&lt;=$CT$1),0,IF(Main!$C$26="UGC",0,IF(DA15=VLOOKUP(DA15,'IN RPS-2015'!$I$2:$J$5,1),0,ROUND(DB15*VLOOKUP(CY15,$BZ$11:$CA$12,2)%,0)))))</f>
        <v/>
      </c>
      <c r="DH15" s="461" t="str">
        <f>IF(CY15="","",IF(AND($CA$3=$CA$1,CY15&lt;=$CT$1),0,IF(Main!$C$26="UGC",0,IF(CY15&lt;DATE(2010,4,1),0,IF(OR(DQ15=2,DQ15=3,DA15=VLOOKUP(DA15,'IN RPS-2015'!$I$2:$J$5,1)),0,ROUND(IF(CY15&lt;$J$152,VLOOKUP(CY15,$B$1:$G$4,4),VLOOKUP(VLOOKUP(CY15,$B$1:$G$4,4),Main!$CE$2:$CF$5,2,FALSE))*(DAY(CZ15)-DAY(CY15)+1)/DAY(EOMONTH(CY15,0)),0))))))</f>
        <v/>
      </c>
      <c r="DI15" s="461" t="str">
        <f>IF(CY15="","",IF(AND($CA$3=$CA$1,CY15&lt;=$CT$1),0,IF(OR(DQ15=2,DQ15=3,$D$31=$D$28,DA15=VLOOKUP(DA15,'IN RPS-2015'!$I$2:$J$5,1)),0,ROUND(MIN(VLOOKUP(CX15,$A$27:$C$29,2,TRUE),ROUND(DA15*VLOOKUP(CX15,$A$27:$C$29,3,TRUE)%,0))*IF(CX15=$A$36,$C$36,IF(CX15=$A$37,$C$37,IF(CX15=$A$38,$C$38,IF(CX15=$A$39,$C$39,IF(CX15=$A$40,$C$40,IF(CX15=$A$41,$C$41,1))))))*(DAY(CZ15)-DAY(CY15)+1)/DAY(EOMONTH(CY15,0)),0))))</f>
        <v/>
      </c>
      <c r="DJ15" s="461" t="str">
        <f>IF(CY15="","",IF(AND($CA$3=$CA$1,CY15&lt;=$CT$1),0,IF(Main!$C$26="UGC",0,IF(OR(DQ15=3,DA15=VLOOKUP(DA15,'IN RPS-2015'!$I$2:$J$5,1)),0,ROUND(IF(DQ15=2,VLOOKUP(DA15,IF($CA$3=$I$29,$A$20:$E$23,$F$144:$J$147),IF($B$19=VLOOKUP(CY15,$B$2:$G$4,3,TRUE),2,IF($C$19=VLOOKUP(CY15,$B$2:$G$4,3,TRUE),3,IF($D$19=VLOOKUP(CY15,$B$2:$G$4,3,TRUE),4,5))),TRUE),VLOOKUP(DA15,IF($CA$3=$I$29,$A$20:$E$23,$F$144:$J$147),IF($B$19=VLOOKUP(CY15,$B$2:$G$4,3,TRUE),2,IF($C$19=VLOOKUP(CY15,$B$2:$G$4,3,TRUE),3,IF($D$19=VLOOKUP(CY15,$B$2:$G$4,3,TRUE),4,5))),TRUE))*(DAY(CZ15)-DAY(CY15)+1)/DAY(EOMONTH(CY15,0)),0)))))</f>
        <v/>
      </c>
      <c r="DK15" s="461" t="str">
        <f>IF(CY15="","",IF(AND($CA$3=$CA$1,CY15&lt;=$CT$1),0,IF(Main!$C$26="UGC",0,IF(OR(CX15&lt;DATE(2010,4,1),DQ15=3,DA15=VLOOKUP(DA15,'IN RPS-2015'!$I$2:$J$5,1)),0,ROUND(IF(DQ15=2,IF(CY15&lt;$J$152,Main!$L$9,Main!$CI$3)/2,IF(CY15&lt;$J$152,Main!$L$9,Main!$CI$3))*(DAY(CZ15)-DAY(CY15)+1)/DAY(EOMONTH(CY15,0)),0)))))</f>
        <v/>
      </c>
      <c r="DL15" s="461"/>
      <c r="DM15" s="461" t="str">
        <f>IF(CY15="","",IF(AND($CA$3=$CA$1,CY15&lt;=$CT$1),0,IF(Main!$C$26="UGC",0,IF(OR(DQ15=3,DA15=VLOOKUP(DA15,'IN RPS-2015'!$I$2:$J$5,1)),0,ROUND(IF(DQ15=2,VLOOKUP(DB15,IF(CY15&lt;$J$152,$A$154:$E$159,$F$154:$J$159),IF($B$10=VLOOKUP(CX15,$B$2:$G$4,6,TRUE),2,IF($B$10=VLOOKUP(CX15,$B$2:$G$4,6,TRUE),3,IF($D$10=VLOOKUP(CX15,$B$2:$G$4,6,TRUE),4,5))))/2,VLOOKUP(DB15,IF(CY15&lt;$J$152,$A$154:$E$159,$F$154:$J$159),IF($B$10=VLOOKUP(CX15,$B$2:$G$4,6,TRUE),2,IF($B$10=VLOOKUP(CX15,$B$2:$G$4,6,TRUE),3,IF($D$10=VLOOKUP(CX15,$B$2:$G$4,6,TRUE),4,5)))))*(DAY(CZ15)-DAY(CY15)+1)/DAY(EOMONTH(CY15,0)),0)))))</f>
        <v/>
      </c>
      <c r="DN15" s="461">
        <f t="shared" si="76"/>
        <v>0</v>
      </c>
      <c r="DO15" s="464" t="str">
        <f>IF(CY15="","",IF(AND($CA$3=$CA$1,CY15&lt;=$CT$1),0,IF(AND(Main!$F$22=Main!$CA$24,CY15&gt;$CT$1),ROUND(SUM(DB15,DD15)*10%,0),"")))</f>
        <v/>
      </c>
      <c r="DP15" s="464" t="str">
        <f>IF(CX15="","",IF(AND($CA$3=$CA$1,CY15&lt;=$CT$1),0,IF(OR(Main!$H$10=Main!$BH$4,Main!$H$10=Main!$BH$5),0,LOOKUP(DN15*DAY(EOMONTH(CY15,0))/(DAY(CZ15)-DAY(CY15)+1),$H$184:$I$189))))</f>
        <v/>
      </c>
      <c r="DQ15" s="457">
        <f t="shared" si="60"/>
        <v>1</v>
      </c>
      <c r="DR15" s="457">
        <f t="shared" si="77"/>
        <v>0</v>
      </c>
      <c r="DS15" s="497"/>
      <c r="DT15" s="497"/>
      <c r="DU15" s="457"/>
      <c r="DV15" s="461"/>
      <c r="DW15" s="499" t="str">
        <f t="shared" si="61"/>
        <v/>
      </c>
      <c r="DX15" s="500" t="str">
        <f t="shared" si="88"/>
        <v/>
      </c>
      <c r="DY15" s="484" t="str">
        <f>IF(DX15="","",MIN(EOMONTH(DX15,0),VLOOKUP(DX15,'IN RPS-2015'!$O$164:$P$202,2,TRUE)-1,LOOKUP(DX15,$E$47:$F$53)-1,IF(DX15&lt;$B$2,$B$2-1,'IN RPS-2015'!$Q$9),IF(DX15&lt;$B$3,$B$3-1,'IN RPS-2015'!$Q$9),IF(DX15&lt;$B$4,$B$4-1,'IN RPS-2015'!$Q$9),LOOKUP(DX15,$H$47:$I$53)))</f>
        <v/>
      </c>
      <c r="DZ15" s="490" t="str">
        <f>IF(DX15="","",VLOOKUP(DX15,'IN RPS-2015'!$P$164:$AA$202,11))</f>
        <v/>
      </c>
      <c r="EA15" s="461" t="str">
        <f t="shared" si="78"/>
        <v/>
      </c>
      <c r="EB15" s="461" t="str">
        <f>IF(DX15="","",ROUND(IF(EP15=3,0,IF(EP15=2,IF(DZ15=VLOOKUP(DZ15,'IN RPS-2015'!$I$2:$J$5,1),0,Main!$H$9)/2,IF(DZ15=VLOOKUP(DZ15,'IN RPS-2015'!$I$2:$J$5,1),0,Main!$H$9)))*(DAY(DY15)-DAY(DX15)+1)/DAY(EOMONTH(DX15,0)),0))</f>
        <v/>
      </c>
      <c r="EC15" s="461" t="str">
        <f>IF(DX15="","",IF(DZ15=VLOOKUP(DZ15,'IN RPS-2015'!$I$2:$J$5,1),0,ROUND(EA15*VLOOKUP(DX15,$DT$4:$DU$7,2)%,0)))</f>
        <v/>
      </c>
      <c r="ED15" s="461" t="str">
        <f>IF(DX15="","",IF(OR(EP15=3,DZ15=VLOOKUP(DZ15,'IN RPS-2015'!$I$2:$J$5,1)),0,ROUND(MIN(ROUND(DZ15*VLOOKUP(DX15,$B$1:$G$4,2)%,0),VLOOKUP(DX15,$B$2:$I$4,IF($DU$3=$I$29,7,8),TRUE))*(DAY(DY15)-DAY(DX15)+1)/DAY(EOMONTH(DX15,0)),0)))</f>
        <v/>
      </c>
      <c r="EE15" s="491" t="str">
        <f>IF(DX15="","",IF(Main!$C$26="UGC",0,IF(OR(DX15&lt;DATE(2010,4,1),$I$6=VLOOKUP(DX15,$B$2:$G$4,5,TRUE),DZ15=VLOOKUP(DZ15,'IN RPS-2015'!$I$2:$J$5,1)),0,ROUND(IF(EP15=3,0,IF(EP15=2,MIN(ROUND(DZ15*$G$13%,0),IF(DX15&lt;$I$152,$G$14,$G$15))/2,MIN(ROUND(DZ15*$G$13%,0),IF(DX15&lt;$I$152,$G$14,$G$15))))*(DAY(DY15)-DAY(DX15)+1)/DAY(EOMONTH(DX15,0)),0))))</f>
        <v/>
      </c>
      <c r="EF15" s="461" t="str">
        <f>IF(DX15="","",IF(Main!$C$26="UGC",0,IF(DZ15=VLOOKUP(DZ15,'IN RPS-2015'!$I$2:$J$5,1),0,ROUND(EA15*VLOOKUP(DX15,$DT$11:$DU$12,2)%,0))))</f>
        <v/>
      </c>
      <c r="EG15" s="461" t="str">
        <f>IF(DX15="","",IF(Main!$C$26="UGC",0,IF(DX15&lt;DATE(2010,4,1),0,IF(OR(EP15=2,EP15=3,DZ15=VLOOKUP(DZ15,'IN RPS-2015'!$I$2:$J$5,1)),0,ROUND(IF(DX15&lt;$I$152,VLOOKUP(DX15,$B$1:$G$4,4),VLOOKUP(VLOOKUP(DX15,$B$1:$G$4,4),Main!$CE$2:$CF$5,2,FALSE))*(DAY(DY15)-DAY(DX15)+1)/DAY(EOMONTH(DX15,0)),0)))))</f>
        <v/>
      </c>
      <c r="EH15" s="461" t="str">
        <f>IF(DX15="","",IF(OR(EP15=2,EP15=3,$D$31=$D$28,DZ15=VLOOKUP(DZ15,'IN RPS-2015'!$I$2:$J$5,1)),0,ROUND(MIN(IF(DX15&lt;$I$152,900,1350),ROUND(DZ15*VLOOKUP(DW15,$A$27:$C$29,3,TRUE)%,0))*IF(DW15=$A$36,$C$36,IF(DW15=$A$37,$C$37,IF(DW15=$A$38,$C$38,IF(DW15=$A$39,$C$39,IF(DW15=$A$40,$C$40,IF(DW15=$A$41,$C$41,1))))))*(DAY(DY15)-DAY(DX15)+1)/DAY(EOMONTH(DX15,0)),0)))</f>
        <v/>
      </c>
      <c r="EI15" s="461" t="str">
        <f>IF(DX15="","",IF(Main!$C$26="UGC",0,IF(OR(EP15=3,DZ15=VLOOKUP(DZ15,'IN RPS-2015'!$I$2:$J$5,1)),0,ROUND(IF(EP15=2,VLOOKUP(DZ15,IF($DU$3=$I$29,$A$20:$E$23,$F$144:$J$147),IF($B$19=VLOOKUP(DX15,$B$2:$G$4,3,TRUE),2,IF($C$19=VLOOKUP(DX15,$B$2:$G$4,3,TRUE),3,IF($D$19=VLOOKUP(DX15,$B$2:$G$4,3,TRUE),4,5))),TRUE),VLOOKUP(DZ15,IF($DU$3=$I$29,$A$20:$E$23,$F$144:$J$147),IF($B$19=VLOOKUP(DX15,$B$2:$G$4,3,TRUE),2,IF($C$19=VLOOKUP(DX15,$B$2:$G$4,3,TRUE),3,IF($D$19=VLOOKUP(DX15,$B$2:$G$4,3,TRUE),4,5))),TRUE))*(DAY(DY15)-DAY(DX15)+1)/DAY(EOMONTH(DX15,0)),0))))</f>
        <v/>
      </c>
      <c r="EJ15" s="461" t="str">
        <f>IF(DX15="","",IF(Main!$C$26="UGC",0,IF(OR(DW15&lt;DATE(2010,4,1),EP15=3,DZ15=VLOOKUP(DZ15,'IN RPS-2015'!$I$2:$J$5,1)),0,ROUND(IF(EP15=2,IF(DX15&lt;$I$152,Main!$L$9,Main!$CI$3)/2,IF(DX15&lt;$I$152,Main!$L$9,Main!$CI$3))*(DAY(DY15)-DAY(DX15)+1)/DAY(EOMONTH(DX15,0)),0))))</f>
        <v/>
      </c>
      <c r="EK15" s="461"/>
      <c r="EL15" s="461" t="str">
        <f>IF(DX15="","",IF(Main!$C$26="UGC",0,IF(OR(EP15=3,DZ15=VLOOKUP(DZ15,'IN RPS-2015'!$I$2:$J$5,1)),0,ROUND(IF(EP15=2,VLOOKUP(EA15,IF(DX15&lt;$I$152,$A$154:$E$159,$F$154:$J$159),IF($B$10=VLOOKUP(DW15,$B$2:$G$4,6,TRUE),2,IF($B$10=VLOOKUP(DW15,$B$2:$G$4,6,TRUE),3,IF($D$10=VLOOKUP(DW15,$B$2:$G$4,6,TRUE),4,5))))/2,VLOOKUP(EA15,IF(DX15&lt;$I$152,$A$154:$E$159,$F$154:$J$159),IF($B$10=VLOOKUP(DW15,$B$2:$G$4,6,TRUE),2,IF($B$10=VLOOKUP(DW15,$B$2:$G$4,6,TRUE),3,IF($D$10=VLOOKUP(DW15,$B$2:$G$4,6,TRUE),4,5)))))*(DAY(DY15)-DAY(DX15)+1)/DAY(EOMONTH(DX15,0)),0))))</f>
        <v/>
      </c>
      <c r="EM15" s="461">
        <f t="shared" si="79"/>
        <v>0</v>
      </c>
      <c r="EN15" s="464" t="str">
        <f>IF(DX15="","",IF(AND(Main!$F$22=Main!$CA$24,DX15&gt;$EN$1),ROUND(SUM(EA15,EC15)*10%,0),""))</f>
        <v/>
      </c>
      <c r="EO15" s="464" t="str">
        <f>IF(DW15="","",IF(EA15=0,0,IF(OR(Main!$H$10=Main!$BH$4,Main!$H$10=Main!$BH$5),0,LOOKUP(EM15*DAY(EOMONTH(DX15,0))/(DAY(DY15)-DAY(DX15)+1),$H$184:$I$189))))</f>
        <v/>
      </c>
      <c r="EP15" s="457">
        <f t="shared" si="62"/>
        <v>1</v>
      </c>
      <c r="ER15" s="497"/>
      <c r="ET15" s="461"/>
      <c r="EU15" s="499" t="str">
        <f t="shared" si="63"/>
        <v/>
      </c>
      <c r="EV15" s="500" t="str">
        <f t="shared" si="89"/>
        <v/>
      </c>
      <c r="EW15" s="484" t="str">
        <f>IF(EV15="","",MIN(EOMONTH(EV15,0),VLOOKUP(EV15,'IN RPS-2015'!$O$164:$P$202,2,TRUE)-1,LOOKUP(EV15,$E$47:$F$53)-1,IF(EV15&lt;$B$2,$B$2-1,'IN RPS-2015'!$Q$9),IF(EV15&lt;$B$3,$B$3-1,'IN RPS-2015'!$Q$9),IF(EV15&lt;$B$4,$B$4-1,'IN RPS-2015'!$Q$9),LOOKUP(EV15,$H$47:$I$53)))</f>
        <v/>
      </c>
      <c r="EX15" s="490" t="str">
        <f>IF(EV15="","",VLOOKUP(EV15,'IN RPS-2015'!$P$164:$AA$202,12))</f>
        <v/>
      </c>
      <c r="EY15" s="461" t="str">
        <f t="shared" si="80"/>
        <v/>
      </c>
      <c r="EZ15" s="461" t="str">
        <f>IF(EV15="","",ROUND(IF(FN15=3,0,IF(FN15=2,IF(EX15=VLOOKUP(EX15,'IN RPS-2015'!$I$2:$J$5,1),0,Main!$H$9)/2,IF(EX15=VLOOKUP(EX15,'IN RPS-2015'!$I$2:$J$5,1),0,Main!$H$9)))*(DAY(EW15)-DAY(EV15)+1)/DAY(EOMONTH(EV15,0)),0))</f>
        <v/>
      </c>
      <c r="FA15" s="461" t="str">
        <f>IF(EV15="","",IF(EX15=VLOOKUP(EX15,'IN RPS-2015'!$I$2:$J$5,1),0,ROUND(EY15*VLOOKUP(EV15,$ER$4:$ES$7,2)%,0)))</f>
        <v/>
      </c>
      <c r="FB15" s="461" t="str">
        <f>IF(EV15="","",IF(OR(FN15=3,EX15=VLOOKUP(EX15,'IN RPS-2015'!$I$2:$J$5,1)),0,ROUND(MIN(ROUND(EX15*VLOOKUP(EV15,$B$1:$G$4,2)%,0),VLOOKUP(EV15,$B$2:$I$4,IF($ES$3=$I$29,7,8),TRUE))*(DAY(EW15)-DAY(EV15)+1)/DAY(EOMONTH(EV15,0)),0)))</f>
        <v/>
      </c>
      <c r="FC15" s="491" t="str">
        <f>IF(EV15="","",IF(Main!$C$26="UGC",0,IF(OR(EV15&lt;DATE(2010,4,1),$I$6=VLOOKUP(EV15,$B$2:$G$4,5,TRUE),EX15=VLOOKUP(EX15,'IN RPS-2015'!$I$2:$J$5,1)),0,ROUND(IF(FN15=3,0,IF(FN15=2,MIN(ROUND(EX15*$G$13%,0),IF(EV15&lt;$J$152,$G$14,$G$15))/2,MIN(ROUND(EX15*$G$13%,0),IF(EV15&lt;$J$152,$G$14,$G$15))))*(DAY(EW15)-DAY(EV15)+1)/DAY(EOMONTH(EV15,0)),0))))</f>
        <v/>
      </c>
      <c r="FD15" s="461" t="str">
        <f>IF(EV15="","",IF(Main!$C$26="UGC",0,IF(EX15=VLOOKUP(EX15,'IN RPS-2015'!$I$2:$J$5,1),0,ROUND(EY15*VLOOKUP(EV15,$ER$11:$ES$12,2)%,0))))</f>
        <v/>
      </c>
      <c r="FE15" s="461" t="str">
        <f>IF(EV15="","",IF(Main!$C$26="UGC",0,IF(EV15&lt;DATE(2010,4,1),0,IF(OR(FN15=2,FN15=3,EX15=VLOOKUP(EX15,'IN RPS-2015'!$I$2:$J$5,1)),0,ROUND(IF(EV15&lt;$J$152,VLOOKUP(EV15,$B$1:$G$4,4),VLOOKUP(VLOOKUP(EV15,$B$1:$G$4,4),Main!$CE$2:$CF$5,2,FALSE))*(DAY(EW15)-DAY(EV15)+1)/DAY(EOMONTH(EV15,0)),0)))))</f>
        <v/>
      </c>
      <c r="FF15" s="461" t="str">
        <f>IF(EV15="","",IF(OR(FN15=2,FN15=3,$D$31=$D$28,EX15=VLOOKUP(EX15,'IN RPS-2015'!$I$2:$J$5,1)),0,ROUND(MIN(VLOOKUP(EU15,$A$27:$C$29,2,TRUE),ROUND(EX15*VLOOKUP(EU15,$A$27:$C$29,3,TRUE)%,0))*IF(EU15=$A$36,$C$36,IF(EU15=$A$37,$C$37,IF(EU15=$A$38,$C$38,IF(EU15=$A$39,$C$39,IF(EU15=$A$40,$C$40,IF(EU15=$A$41,$C$41,1))))))*(DAY(EW15)-DAY(EV15)+1)/DAY(EOMONTH(EV15,0)),0)))</f>
        <v/>
      </c>
      <c r="FG15" s="461" t="str">
        <f>IF(EV15="","",IF(Main!$C$26="UGC",0,IF(OR(FN15=3,EX15=VLOOKUP(EX15,'IN RPS-2015'!$I$2:$J$5,1)),0,ROUND(IF(FN15=2,VLOOKUP(EX15,IF($ES$3=$I$29,$A$20:$E$23,$F$144:$J$147),IF($B$19=VLOOKUP(EV15,$B$2:$G$4,3,TRUE),2,IF($C$19=VLOOKUP(EV15,$B$2:$G$4,3,TRUE),3,IF($D$19=VLOOKUP(EV15,$B$2:$G$4,3,TRUE),4,5))),TRUE),VLOOKUP(EX15,IF($ES$3=$I$29,$A$20:$E$23,$F$144:$J$147),IF($B$19=VLOOKUP(EV15,$B$2:$G$4,3,TRUE),2,IF($C$19=VLOOKUP(EV15,$B$2:$G$4,3,TRUE),3,IF($D$19=VLOOKUP(EV15,$B$2:$G$4,3,TRUE),4,5))),TRUE))*(DAY(EW15)-DAY(EV15)+1)/DAY(EOMONTH(EV15,0)),0))))</f>
        <v/>
      </c>
      <c r="FH15" s="461" t="str">
        <f>IF(EV15="","",IF(Main!$C$26="UGC",0,IF(OR(EU15&lt;DATE(2010,4,1),FN15=3,EX15=VLOOKUP(EX15,'IN RPS-2015'!$I$2:$J$5,1)),0,ROUND(IF(FN15=2,IF(EV15&lt;$J$152,Main!$L$9,Main!$CI$3)/2,IF(EV15&lt;$J$152,Main!$L$9,Main!$CI$3))*(DAY(EW15)-DAY(EV15)+1)/DAY(EOMONTH(EV15,0)),0))))</f>
        <v/>
      </c>
      <c r="FI15" s="461"/>
      <c r="FJ15" s="461" t="str">
        <f>IF(EV15="","",IF(Main!$C$26="UGC",0,IF(OR(FN15=3,EX15=VLOOKUP(EX15,'IN RPS-2015'!$I$2:$J$5,1)),0,ROUND(IF(FN15=2,VLOOKUP(EY15,IF(EV15&lt;$J$152,$A$154:$E$159,$F$154:$J$159),IF($B$10=VLOOKUP(EU15,$B$2:$G$4,6,TRUE),2,IF($B$10=VLOOKUP(EU15,$B$2:$G$4,6,TRUE),3,IF($D$10=VLOOKUP(EU15,$B$2:$G$4,6,TRUE),4,5))))/2,VLOOKUP(EY15,IF(EV15&lt;$J$152,$A$154:$E$159,$F$154:$J$159),IF($B$10=VLOOKUP(EU15,$B$2:$G$4,6,TRUE),2,IF($B$10=VLOOKUP(EU15,$B$2:$G$4,6,TRUE),3,IF($D$10=VLOOKUP(EU15,$B$2:$G$4,6,TRUE),4,5)))))*(DAY(EW15)-DAY(EV15)+1)/DAY(EOMONTH(EV15,0)),0))))</f>
        <v/>
      </c>
      <c r="FK15" s="461">
        <f t="shared" si="81"/>
        <v>0</v>
      </c>
      <c r="FL15" s="464" t="str">
        <f>IF(EV15="","",IF(AND(Main!$F$22=Main!$CA$24,EV15&gt;$FL$1),ROUND(SUM(EY15,FA15)*10%,0),""))</f>
        <v/>
      </c>
      <c r="FM15" s="464" t="str">
        <f>IF(EU15="","",IF(EY15=0,0,IF(OR(Main!$H$10=Main!$BH$4,Main!$H$10=Main!$BH$5),0,LOOKUP(FK15*DAY(EOMONTH(EV15,0))/(DAY(EW15)-DAY(EV15)+1),$H$184:$I$189))))</f>
        <v/>
      </c>
      <c r="FN15" s="457">
        <f t="shared" si="64"/>
        <v>1</v>
      </c>
    </row>
    <row r="16" spans="1:170">
      <c r="A16" s="13">
        <v>28451</v>
      </c>
      <c r="B16" s="13">
        <v>675</v>
      </c>
      <c r="C16" s="13">
        <v>725</v>
      </c>
      <c r="D16" s="13">
        <v>850</v>
      </c>
      <c r="E16" s="38">
        <v>0</v>
      </c>
      <c r="K16" s="494" t="str">
        <f t="shared" si="65"/>
        <v/>
      </c>
      <c r="L16" s="495" t="str">
        <f t="shared" si="82"/>
        <v/>
      </c>
      <c r="M16" s="484" t="str">
        <f>IF(L16="","",MIN(EOMONTH(L16,0),VLOOKUP(L16,'IN RPS-2015'!$O$164:$P$202,2,TRUE)-1,LOOKUP(L16,$E$47:$F$53)-1,IF(L16&lt;$B$2,$B$2-1,'IN RPS-2015'!$Q$9),IF(L16&lt;$B$3,$B$3-1,'IN RPS-2015'!$Q$9),IF(L16&lt;$B$4,$B$4-1,'IN RPS-2015'!$Q$9),LOOKUP(L16,$H$47:$I$53)))</f>
        <v/>
      </c>
      <c r="N16" s="496" t="str">
        <f>IF(L16="","",VLOOKUP(L16,'Advance Tax'!$A$3:$C$14,3))</f>
        <v/>
      </c>
      <c r="O16" s="497" t="str">
        <f t="shared" si="52"/>
        <v/>
      </c>
      <c r="P16" s="497" t="str">
        <f>IF(L16="","",ROUND(IF(AD16=3,0,IF(AD16=2,IF(N16=VLOOKUP(N16,'IN RPS-2015'!$I$2:$J$5,1),0,Main!$H$9)/2,IF(N16=VLOOKUP(N16,'IN RPS-2015'!$I$2:$J$5,1),0,Main!$H$9)))*(DAY(M16)-DAY(L16)+1)/DAY(EOMONTH(L16,0)),0))</f>
        <v/>
      </c>
      <c r="Q16" s="457" t="str">
        <f>IF(L16="","",IF(N16=VLOOKUP(N16,'IN RPS-2015'!$I$2:$J$5,1),0,ROUND(O16*IF(L16&lt;Main!$C$27,VLOOKUP(L16,$H$9:$J$12,3),VLOOKUP(L16,$H$9:$J$12,2))%,0)))</f>
        <v/>
      </c>
      <c r="R16" s="457" t="str">
        <f>IF(L16="","",IF(OR(AD16=3,N16=VLOOKUP(N16,'IN RPS-2015'!$I$2:$J$5,1)),0,ROUND(MIN(ROUND(N16*VLOOKUP(L16,$B$1:$G$4,2)%,0),VLOOKUP(L16,$B$2:$I$4,IF(L16&lt;$G$7,7,8),TRUE))*(DAY(M16)-DAY(L16)+1)/DAY(EOMONTH(L16,0)),0)))</f>
        <v/>
      </c>
      <c r="S16" s="486" t="str">
        <f>IF(L16="","",IF(Main!$C$26="UGC",0,IF(OR(L16&lt;DATE(2010,4,1),$I$6=VLOOKUP(L16,$B$2:$G$4,5,TRUE),N16=VLOOKUP(N16,'IN RPS-2015'!$I$2:$J$5,1)),0,ROUND(IF(AD16=3,0,IF(AD16=2,MIN(ROUND(N16*$G$13%,0),IF(L16&lt;$J$152,$G$14,$G$15))/2,MIN(ROUND(N16*$G$13%,0),IF(L16&lt;$J$152,$G$14,$G$15))))*(DAY(M16)-DAY(L16)+1)/DAY(EOMONTH(L16,0)),0))))</f>
        <v/>
      </c>
      <c r="T16" s="457" t="str">
        <f>IF(L16="","",IF(Main!$C$26="UGC",0,IF(N16=VLOOKUP(N16,'IN RPS-2015'!$I$2:$J$5,1),0,ROUND(O16*VLOOKUP(L16,$H$205:$I$206,2)%,0))))</f>
        <v/>
      </c>
      <c r="U16" s="457" t="str">
        <f>IF(L16="","",IF(Main!$C$26="UGC",0,IF(L16&lt;DATE(2010,4,1),0,IF(OR(AD16=2,AD16=3,N16=VLOOKUP(N16,'IN RPS-2015'!$I$2:$J$5,1)),0,ROUND(IF(L16&lt;$J$152,VLOOKUP(L16,$B$1:$G$4,4),VLOOKUP(VLOOKUP(L16,$B$1:$G$4,4),Main!$CE$2:$CF$5,2,FALSE))*(DAY(M16)-DAY(L16)+1)/DAY(EOMONTH(L16,0)),0)))))</f>
        <v/>
      </c>
      <c r="V16" s="457" t="str">
        <f>IF(L16="","",IF(OR(AD16=2,AD16=3,$D$31=$D$28,N16=VLOOKUP(N16,'IN RPS-2015'!$I$2:$J$5,1)),0,ROUND(MIN(VLOOKUP(K16,$A$27:$C$29,2,TRUE),ROUND(N16*VLOOKUP(K16,$A$27:$C$29,3,TRUE)%,0))*IF(K16=$A$36,$C$36,IF(K16=$A$37,$C$37,IF(K16=$A$38,$C$38,IF(K16=$A$39,$C$39,IF(K16=$A$40,$C$40,IF(K16=$A$41,$C$41,1))))))*(DAY(M16)-DAY(L16)+1)/DAY(EOMONTH(L16,0)),0)))</f>
        <v/>
      </c>
      <c r="W16" s="457" t="str">
        <f>IF(L16="","",IF(Main!$C$26="UGC",0,IF(OR(AD16=3,N16=VLOOKUP(N16,'IN RPS-2015'!$I$2:$J$5,1)),0,ROUND(IF(AD16=2,VLOOKUP(N16,IF(L16&lt;$G$7,$A$20:$E$23,$F$144:$J$147),IF($B$19=VLOOKUP(L16,$B$2:$G$4,3,TRUE),2,IF($C$19=VLOOKUP(L16,$B$2:$G$4,3,TRUE),3,IF($D$19=VLOOKUP(L16,$B$2:$G$4,3,TRUE),4,5))),TRUE),VLOOKUP(N16,IF(L16&lt;$G$7,$A$20:$E$23,$F$144:$J$147),IF($B$19=VLOOKUP(L16,$B$2:$G$4,3,TRUE),2,IF($C$19=VLOOKUP(L16,$B$2:$G$4,3,TRUE),3,IF($D$19=VLOOKUP(L16,$B$2:$G$4,3,TRUE),4,5))),TRUE))*(DAY(M16)-DAY(L16)+1)/DAY(EOMONTH(L16,0)),0))))</f>
        <v/>
      </c>
      <c r="X16" s="457" t="str">
        <f>IF(L16="","",IF(Main!$C$26="UGC",0,IF(OR(K16&lt;DATE(2010,4,1),AD16=3,N16=VLOOKUP(N16,'IN RPS-2015'!$I$2:$J$5,1)),0,ROUND(IF(AD16=2,IF(L16&lt;$J$152,Main!$L$9,Main!$CI$3)/2,IF(L16&lt;$J$152,Main!$L$9,Main!$CI$3))*(DAY(M16)-DAY(L16)+1)/DAY(EOMONTH(L16,0)),0))))</f>
        <v/>
      </c>
      <c r="Y16" s="497"/>
      <c r="Z16" s="457" t="str">
        <f>IF(L16="","",IF(Main!$C$26="UGC",0,IF(OR(AD16=3,N16=VLOOKUP(N16,'IN RPS-2015'!$I$2:$J$5,1)),0,ROUND(IF(AD16=2,VLOOKUP(O16,IF(L16&lt;$J$152,$A$154:$E$159,$F$154:$J$159),IF($B$10=VLOOKUP(K16,$B$2:$G$4,6,TRUE),2,IF($B$10=VLOOKUP(K16,$B$2:$G$4,6,TRUE),3,IF($D$10=VLOOKUP(K16,$B$2:$G$4,6,TRUE),4,5))))/2,VLOOKUP(O16,IF(L16&lt;$J$152,$A$154:$E$159,$F$154:$J$159),IF($B$10=VLOOKUP(K16,$B$2:$G$4,6,TRUE),2,IF($B$10=VLOOKUP(K16,$B$2:$G$4,6,TRUE),3,IF($D$10=VLOOKUP(K16,$B$2:$G$4,6,TRUE),4,5)))))*(DAY(M16)-DAY(L16)+1)/DAY(EOMONTH(L16,0)),0))))</f>
        <v/>
      </c>
      <c r="AA16" s="497">
        <f t="shared" si="83"/>
        <v>0</v>
      </c>
      <c r="AB16" s="497"/>
      <c r="AC16" s="497"/>
      <c r="AD16" s="497">
        <f t="shared" si="53"/>
        <v>1</v>
      </c>
      <c r="AE16" s="497"/>
      <c r="AF16" s="497"/>
      <c r="AH16" s="461"/>
      <c r="AI16" s="499" t="str">
        <f t="shared" si="54"/>
        <v/>
      </c>
      <c r="AJ16" s="500" t="str">
        <f t="shared" si="84"/>
        <v/>
      </c>
      <c r="AK16" s="484" t="str">
        <f>IF(AJ16="","",MIN(EOMONTH(AJ16,0),VLOOKUP(AJ16,'IN RPS-2015'!$O$164:$P$202,2,TRUE)-1,LOOKUP(AJ16,$E$47:$F$53)-1,IF(AJ16&lt;$B$2,$B$2-1,'IN RPS-2015'!$Q$9),IF(AJ16&lt;$B$3,$B$3-1,'IN RPS-2015'!$Q$9),IF(AJ16&lt;$B$4,$B$4-1,'IN RPS-2015'!$Q$9),LOOKUP(AJ16,$H$47:$I$53)))</f>
        <v/>
      </c>
      <c r="AL16" s="490" t="str">
        <f>IF(AJ16="","",VLOOKUP(AJ16,'IN RPS-2015'!$P$164:$AA$202,9))</f>
        <v/>
      </c>
      <c r="AM16" s="461" t="str">
        <f t="shared" si="66"/>
        <v/>
      </c>
      <c r="AN16" s="461" t="str">
        <f>IF(AJ16="","",IF(AND($AG$3=$AG$1,AJ16&lt;=$AZ$1),0,ROUND(IF(BB16=3,0,IF(BB16=2,IF(AL16=VLOOKUP(AL16,'IN RPS-2015'!$I$2:$J$5,1),0,Main!$H$9)/2,IF(AL16=VLOOKUP(AL16,'IN RPS-2015'!$I$2:$J$5,1),0,Main!$H$9)))*(DAY(AK16)-DAY(AJ16)+1)/DAY(EOMONTH(AJ16,0)),0)))</f>
        <v/>
      </c>
      <c r="AO16" s="461" t="str">
        <f>IF(AJ16="","",IF(AND($AG$3=$AG$1,AJ16&lt;=$AZ$1),0,IF(AL16=VLOOKUP(AL16,'IN RPS-2015'!$I$2:$J$5,1),0,ROUND(AM16*VLOOKUP(AJ16,$AF$4:$AG$7,2)%,0))))</f>
        <v/>
      </c>
      <c r="AP16" s="461" t="str">
        <f>IF(AJ16="","",IF(AND($AG$3=$AG$1,AJ16&lt;=$AZ$1),0,IF(OR(BB16=3,AL16=VLOOKUP(AL16,'IN RPS-2015'!$I$2:$J$5,1)),0,ROUND(MIN(ROUND(AL16*VLOOKUP(AJ16,$B$1:$G$4,2)%,0),VLOOKUP(AJ16,$B$2:$I$4,IF($AG$3=$I$29,7,8),TRUE))*(DAY(AK16)-DAY(AJ16)+1)/DAY(EOMONTH(AJ16,0)),0))))</f>
        <v/>
      </c>
      <c r="AQ16" s="491" t="str">
        <f>IF(AJ16="","",IF(AND($AG$3=$AG$1,AJ16&lt;=$AZ$1),0,IF(Main!$C$26="UGC",0,IF(OR(AJ16&lt;DATE(2010,4,1),$I$6=VLOOKUP(AJ16,$B$2:$G$4,5,TRUE),AL16=VLOOKUP(AL16,'IN RPS-2015'!$I$2:$J$5,1)),0,ROUND(IF(BB16=3,0,IF(BB16=2,MIN(ROUND(AL16*$G$13%,0),IF(AJ16&lt;$J$152,$G$14,$G$15))/2,MIN(ROUND(AL16*$G$13%,0),IF(AJ16&lt;$J$152,$G$14,$G$15))))*(DAY(AK16)-DAY(AJ16)+1)/DAY(EOMONTH(AJ16,0)),0)))))</f>
        <v/>
      </c>
      <c r="AR16" s="461" t="str">
        <f>IF(AJ16="","",IF(AND($AG$3=$AG$1,AJ16&lt;=$AZ$1),0,IF(Main!$C$26="UGC",0,IF(AL16=VLOOKUP(AL16,'IN RPS-2015'!$I$2:$J$5,1),0,ROUND(AM16*VLOOKUP(AJ16,$AF$11:$AG$12,2)%,0)))))</f>
        <v/>
      </c>
      <c r="AS16" s="461" t="str">
        <f>IF(AJ16="","",IF(AND($AG$3=$AG$1,AJ16&lt;=$AZ$1),0,IF(Main!$C$26="UGC",0,IF(AJ16&lt;DATE(2010,4,1),0,IF(OR(BB16=2,BB16=3,AL16=VLOOKUP(AL16,'IN RPS-2015'!$I$2:$J$5,1)),0,ROUND(IF(AJ16&lt;$J$152,VLOOKUP(AJ16,$B$1:$G$4,4),VLOOKUP(VLOOKUP(AJ16,$B$1:$G$4,4),Main!$CE$2:$CF$5,2,FALSE))*(DAY(AK16)-DAY(AJ16)+1)/DAY(EOMONTH(AJ16,0)),0))))))</f>
        <v/>
      </c>
      <c r="AT16" s="461" t="str">
        <f>IF(AJ16="","",IF(AND($AG$3=$AG$1,AJ16&lt;=$AZ$1),0,IF(OR(BB16=2,BB16=3,$D$31=$D$28,AL16=VLOOKUP(AL16,'IN RPS-2015'!$I$2:$J$5,1)),0,ROUND(MIN(VLOOKUP(AI16,$A$27:$C$29,2,TRUE),ROUND(AL16*VLOOKUP(AI16,$A$27:$C$29,3,TRUE)%,0))*IF(AI16=$A$36,$C$36,IF(AI16=$A$37,$C$37,IF(AI16=$A$38,$C$38,IF(AI16=$A$39,$C$39,IF(AI16=$A$40,$C$40,IF(AI16=$A$41,$C$41,1))))))*(DAY(AK16)-DAY(AJ16)+1)/DAY(EOMONTH(AJ16,0)),0))))</f>
        <v/>
      </c>
      <c r="AU16" s="461" t="str">
        <f>IF(AJ16="","",IF(AND($AG$3=$AG$1,AJ16&lt;=$AZ$1),0,IF(Main!$C$26="UGC",0,IF(OR(BB16=3,AL16=VLOOKUP(AL16,'IN RPS-2015'!$I$2:$J$5,1)),0,ROUND(IF(BB16=2,VLOOKUP(AL16,IF($AG$3=$I$29,$A$20:$E$23,$F$144:$J$147),IF($B$19=VLOOKUP(AJ16,$B$2:$G$4,3,TRUE),2,IF($C$19=VLOOKUP(AJ16,$B$2:$G$4,3,TRUE),3,IF($D$19=VLOOKUP(AJ16,$B$2:$G$4,3,TRUE),4,5))),TRUE),VLOOKUP(AL16,IF($AG$3=$I$29,$A$20:$E$23,$F$144:$J$147),IF($B$19=VLOOKUP(AJ16,$B$2:$G$4,3,TRUE),2,IF($C$19=VLOOKUP(AJ16,$B$2:$G$4,3,TRUE),3,IF($D$19=VLOOKUP(AJ16,$B$2:$G$4,3,TRUE),4,5))),TRUE))*(DAY(AK16)-DAY(AJ16)+1)/DAY(EOMONTH(AJ16,0)),0)))))</f>
        <v/>
      </c>
      <c r="AV16" s="461" t="str">
        <f>IF(AJ16="","",IF(AND($AG$3=$AG$1,AJ16&lt;=$AZ$1),0,IF(Main!$C$26="UGC",0,IF(OR(AI16&lt;DATE(2010,4,1),BB16=3,AL16=VLOOKUP(AL16,'IN RPS-2015'!$I$2:$J$5,1)),0,ROUND(IF(BB16=2,IF(AJ16&lt;$J$152,Main!$L$9,Main!$CI$3)/2,IF(AJ16&lt;$J$152,Main!$L$9,Main!$CI$3))*(DAY(AK16)-DAY(AJ16)+1)/DAY(EOMONTH(AJ16,0)),0)))))</f>
        <v/>
      </c>
      <c r="AW16" s="461"/>
      <c r="AX16" s="461" t="str">
        <f>IF(AJ16="","",IF(AND($AG$3=$AG$1,AJ16&lt;=$AZ$1),0,IF(Main!$C$26="UGC",0,IF(OR(BB16=3,AL16=VLOOKUP(AL16,'IN RPS-2015'!$I$2:$J$5,1)),0,ROUND(IF(BB16=2,VLOOKUP(AM16,IF(AJ16&lt;$J$152,$A$154:$E$159,$F$154:$J$159),IF($B$10=VLOOKUP(AI16,$B$2:$G$4,6,TRUE),2,IF($B$10=VLOOKUP(AI16,$B$2:$G$4,6,TRUE),3,IF($D$10=VLOOKUP(AI16,$B$2:$G$4,6,TRUE),4,5))))/2,VLOOKUP(AM16,IF(AJ16&lt;$J$152,$A$154:$E$159,$F$154:$J$159),IF($B$10=VLOOKUP(AI16,$B$2:$G$4,6,TRUE),2,IF($B$10=VLOOKUP(AI16,$B$2:$G$4,6,TRUE),3,IF($D$10=VLOOKUP(AI16,$B$2:$G$4,6,TRUE),4,5)))))*(DAY(AK16)-DAY(AJ16)+1)/DAY(EOMONTH(AJ16,0)),0)))))</f>
        <v/>
      </c>
      <c r="AY16" s="461">
        <f t="shared" si="67"/>
        <v>0</v>
      </c>
      <c r="AZ16" s="464" t="str">
        <f>IF(AJ16="","",IF(AND($AG$3=$AG$1,AJ16&lt;=$AZ$1),0,IF(AND(Main!$F$22=Main!$CA$24,AJ16&gt;$AZ$1),ROUND(SUM(AM16,AO16)*10%,0),"")))</f>
        <v/>
      </c>
      <c r="BA16" s="464" t="str">
        <f>IF(AI16="","",IF(AND($AG$3=$AG$1,AJ16&lt;=$AZ$1),0,IF(OR(Main!$H$10=Main!$BH$4,Main!$H$10=Main!$BH$5),0,LOOKUP(AY16*DAY(EOMONTH(AJ16,0))/(DAY(AK16)-DAY(AJ16)+1),$H$184:$I$189))))</f>
        <v/>
      </c>
      <c r="BB16" s="497">
        <f t="shared" si="55"/>
        <v>1</v>
      </c>
      <c r="BC16" s="464"/>
      <c r="BD16" s="501" t="str">
        <f t="shared" si="56"/>
        <v/>
      </c>
      <c r="BE16" s="502" t="str">
        <f t="shared" si="85"/>
        <v/>
      </c>
      <c r="BF16" s="484" t="str">
        <f>IF(BE16="","",MIN(EOMONTH(BE16,0),VLOOKUP(BE16,'IN RPS-2015'!$O$164:$P$202,2,TRUE)-1,LOOKUP(BE16,$E$47:$F$53)-1,IF(BE16&lt;$B$2,$B$2-1,'IN RPS-2015'!$Q$9),IF(BE16&lt;$B$3,$B$3-1,'IN RPS-2015'!$Q$9),IF(BE16&lt;$B$4,$B$4-1,'IN RPS-2015'!$Q$9),LOOKUP(BE16,$H$47:$I$53)))</f>
        <v/>
      </c>
      <c r="BG16" s="493" t="str">
        <f>IF(BE16="","",VLOOKUP(BE16,'IN RPS-2015'!$P$164:$AA$202,10))</f>
        <v/>
      </c>
      <c r="BH16" s="461" t="str">
        <f t="shared" si="68"/>
        <v/>
      </c>
      <c r="BI16" s="461" t="str">
        <f>IF(BE16="","",IF(AND($AG$3=$AG$1,BE16&lt;=$AZ$1),0,ROUND(IF(BW16=3,0,IF(BW16=2,IF(BG16=VLOOKUP(BG16,'IN RPS-2015'!$I$2:$J$5,1),0,Main!$H$9)/2,IF(BG16=VLOOKUP(BG16,'IN RPS-2015'!$I$2:$J$5,1),0,Main!$H$9)))*(DAY(BF16)-DAY(BE16)+1)/DAY(EOMONTH(BE16,0)),0)))</f>
        <v/>
      </c>
      <c r="BJ16" s="461" t="str">
        <f>IF(BE16="","",IF(AND($AG$3=$AG$1,BE16&lt;=$AZ$1),0,IF(BG16=VLOOKUP(BG16,'IN RPS-2015'!$I$2:$J$5,1),0,ROUND(BH16*VLOOKUP(BE16,$AF$4:$AG$7,2)%,0))))</f>
        <v/>
      </c>
      <c r="BK16" s="461" t="str">
        <f>IF(BE16="","",IF(AND($AG$3=$AG$1,BE16&lt;=$AZ$1),0,IF(OR(BW16=3,BG16=VLOOKUP(BG16,'IN RPS-2015'!$I$2:$J$5,1)),0,ROUND(MIN(ROUND(BG16*VLOOKUP(BE16,$B$1:$G$4,2)%,0),VLOOKUP(BE16,$B$2:$I$4,IF($AG$3=$I$29,7,8),TRUE))*(DAY(BF16)-DAY(BE16)+1)/DAY(EOMONTH(BE16,0)),0))))</f>
        <v/>
      </c>
      <c r="BL16" s="491" t="str">
        <f>IF(BE16="","",IF(AND($AG$3=$AG$1,BE16&lt;=$AZ$1),0,IF(Main!$C$26="UGC",0,IF(OR(BE16&lt;DATE(2010,4,1),$I$6=VLOOKUP(BE16,$B$2:$G$4,5,TRUE),BG16=VLOOKUP(BG16,'IN RPS-2015'!$I$2:$J$5,1)),0,ROUND(IF(BW16=3,0,IF(BW16=2,MIN(ROUND(BG16*$G$13%,0),IF(BE16&lt;$J$152,$G$14,$G$15))/2,MIN(ROUND(BG16*$G$13%,0),IF(BE16&lt;$J$152,$G$14,$G$15))))*(DAY(BF16)-DAY(BE16)+1)/DAY(EOMONTH(BE16,0)),0)))))</f>
        <v/>
      </c>
      <c r="BM16" s="461" t="str">
        <f>IF(BE16="","",IF(AND($AG$3=$AG$1,BE16&lt;=$AZ$1),0,IF(Main!$C$26="UGC",0,IF(BG16=VLOOKUP(BG16,'IN RPS-2015'!$I$2:$J$5,1),0,ROUND(BH16*VLOOKUP(BE16,$AF$11:$AG$12,2)%,0)))))</f>
        <v/>
      </c>
      <c r="BN16" s="461" t="str">
        <f>IF(BE16="","",IF(AND($AG$3=$AG$1,BE16&lt;=$AZ$1),0,IF(Main!$C$26="UGC",0,IF(BE16&lt;DATE(2010,4,1),0,IF(OR(BW16=2,BW16=3,BG16=VLOOKUP(BG16,'IN RPS-2015'!$I$2:$J$5,1)),0,ROUND(IF(BE16&lt;$J$152,VLOOKUP(BE16,$B$1:$G$4,4),VLOOKUP(VLOOKUP(BE16,$B$1:$G$4,4),Main!$CE$2:$CF$5,2,FALSE))*(DAY(BF16)-DAY(BE16)+1)/DAY(EOMONTH(BE16,0)),0))))))</f>
        <v/>
      </c>
      <c r="BO16" s="461" t="str">
        <f>IF(BE16="","",IF(AND($AG$3=$AG$1,BE16&lt;=$AZ$1),0,IF(OR(BW16=2,BW16=3,$D$31=$D$28,BG16=VLOOKUP(BG16,'IN RPS-2015'!$I$2:$J$5,1)),0,ROUND(MIN(VLOOKUP(BD16,$A$27:$C$29,2,TRUE),ROUND(BG16*VLOOKUP(BD16,$A$27:$C$29,3,TRUE)%,0))*IF(BD16=$A$36,$C$36,IF(BD16=$A$37,$C$37,IF(BD16=$A$38,$C$38,IF(BD16=$A$39,$C$39,IF(BD16=$A$40,$C$40,IF(BD16=$A$41,$C$41,1))))))*(DAY(BF16)-DAY(BE16)+1)/DAY(EOMONTH(BE16,0)),0))))</f>
        <v/>
      </c>
      <c r="BP16" s="461" t="str">
        <f>IF(BE16="","",IF(AND($AG$3=$AG$1,BE16&lt;=$AZ$1),0,IF(Main!$C$26="UGC",0,IF(OR(BW16=3,BG16=VLOOKUP(BG16,'IN RPS-2015'!$I$2:$J$5,1)),0,ROUND(IF(BW16=2,VLOOKUP(BG16,IF($AG$3=$I$29,$A$20:$E$23,$F$144:$J$147),IF($B$19=VLOOKUP(BE16,$B$2:$G$4,3,TRUE),2,IF($C$19=VLOOKUP(BE16,$B$2:$G$4,3,TRUE),3,IF($D$19=VLOOKUP(BE16,$B$2:$G$4,3,TRUE),4,5))),TRUE),VLOOKUP(BG16,IF($AG$3=$I$29,$A$20:$E$23,$F$144:$J$147),IF($B$19=VLOOKUP(BE16,$B$2:$G$4,3,TRUE),2,IF($C$19=VLOOKUP(BE16,$B$2:$G$4,3,TRUE),3,IF($D$19=VLOOKUP(BE16,$B$2:$G$4,3,TRUE),4,5))),TRUE))*(DAY(BF16)-DAY(BE16)+1)/DAY(EOMONTH(BE16,0)),0)))))</f>
        <v/>
      </c>
      <c r="BQ16" s="461" t="str">
        <f>IF(BE16="","",IF(AND($AG$3=$AG$1,BE16&lt;=$AZ$1),0,IF(Main!$C$26="UGC",0,IF(OR(BD16&lt;DATE(2010,4,1),BW16=3,BG16=VLOOKUP(BG16,'IN RPS-2015'!$I$2:$J$5,1)),0,ROUND(IF(BW16=2,IF(BE16&lt;$J$152,Main!$L$9,Main!$CI$3)/2,IF(BE16&lt;$J$152,Main!$L$9,Main!$CI$3))*(DAY(BF16)-DAY(BE16)+1)/DAY(EOMONTH(BE16,0)),0)))))</f>
        <v/>
      </c>
      <c r="BR16" s="461"/>
      <c r="BS16" s="461" t="str">
        <f>IF(BE16="","",IF(AND($AG$3=$AG$1,BE16&lt;=$AZ$1),0,IF(Main!$C$26="UGC",0,IF(OR(BW16=3,BG16=VLOOKUP(BG16,'IN RPS-2015'!$I$2:$J$5,1)),0,ROUND(IF(BW16=2,VLOOKUP(BH16,IF(BE16&lt;$J$152,$A$154:$E$159,$F$154:$J$159),IF($B$10=VLOOKUP(BD16,$B$2:$G$4,6,TRUE),2,IF($B$10=VLOOKUP(BD16,$B$2:$G$4,6,TRUE),3,IF($D$10=VLOOKUP(BD16,$B$2:$G$4,6,TRUE),4,5))))/2,VLOOKUP(BH16,IF(BE16&lt;$J$152,$A$154:$E$159,$F$154:$J$159),IF($B$10=VLOOKUP(BD16,$B$2:$G$4,6,TRUE),2,IF($B$10=VLOOKUP(BD16,$B$2:$G$4,6,TRUE),3,IF($D$10=VLOOKUP(BD16,$B$2:$G$4,6,TRUE),4,5)))))*(DAY(BF16)-DAY(BE16)+1)/DAY(EOMONTH(BE16,0)),0)))))</f>
        <v/>
      </c>
      <c r="BT16" s="461">
        <f t="shared" si="69"/>
        <v>0</v>
      </c>
      <c r="BU16" s="464" t="str">
        <f>IF(BE16="","",IF(AND($AG$3=$AG$1,BE16&lt;=$AZ$1),0,IF(AND(Main!$F$22=Main!$CA$24,BE16&gt;$AZ$1),ROUND(SUM(BH16,BJ16)*10%,0),"")))</f>
        <v/>
      </c>
      <c r="BV16" s="464" t="str">
        <f>IF(BD16="","",IF(AND($AG$3=$AG$1,BE16&lt;=$AZ$1),0,IF(OR(Main!$H$10=Main!$BH$4,Main!$H$10=Main!$BH$5),0,LOOKUP(BT16*DAY(EOMONTH(BE16,0))/(DAY(BF16)-DAY(BE16)+1),$H$184:$I$189))))</f>
        <v/>
      </c>
      <c r="BW16" s="503">
        <f t="shared" si="70"/>
        <v>1</v>
      </c>
      <c r="BX16" s="457">
        <f t="shared" si="71"/>
        <v>0</v>
      </c>
      <c r="BY16" s="497"/>
      <c r="BZ16" s="497"/>
      <c r="CA16" s="457"/>
      <c r="CB16" s="461"/>
      <c r="CC16" s="499" t="str">
        <f t="shared" si="57"/>
        <v/>
      </c>
      <c r="CD16" s="500" t="str">
        <f t="shared" si="86"/>
        <v/>
      </c>
      <c r="CE16" s="484" t="str">
        <f>IF(CD16="","",MIN(EOMONTH(CD16,0),VLOOKUP(CD16,'IN RPS-2015'!$O$164:$P$202,2,TRUE)-1,LOOKUP(CD16,$E$47:$F$53)-1,IF(CD16&lt;$B$2,$B$2-1,'IN RPS-2015'!$Q$9),IF(CD16&lt;$B$3,$B$3-1,'IN RPS-2015'!$Q$9),IF(CD16&lt;$B$4,$B$4-1,'IN RPS-2015'!$Q$9),LOOKUP(CD16,$H$47:$I$53)))</f>
        <v/>
      </c>
      <c r="CF16" s="490" t="str">
        <f>IF(CD16="","",VLOOKUP(CD16,'IN RPS-2015'!$T$207:$Y$222,5))</f>
        <v/>
      </c>
      <c r="CG16" s="461" t="str">
        <f t="shared" si="72"/>
        <v/>
      </c>
      <c r="CH16" s="461" t="str">
        <f>IF(CD16="","",IF(AND($CA$3=$CA$1,CD16&lt;=$CT$1),0,ROUND(IF(CV16=3,0,IF(CV16=2,IF(CF16=VLOOKUP(CF16,'IN RPS-2015'!$I$2:$J$5,1),0,Main!$H$9)/2,IF(CF16=VLOOKUP(CF16,'IN RPS-2015'!$I$2:$J$5,1),0,Main!$H$9)))*(DAY(CE16)-DAY(CD16)+1)/DAY(EOMONTH(CD16,0)),0)))</f>
        <v/>
      </c>
      <c r="CI16" s="461" t="str">
        <f>IF(CD16="","",IF(AND($CA$3=$CA$1,CD16&lt;=$CT$1),0,IF(CF16=VLOOKUP(CF16,'IN RPS-2015'!$I$2:$J$5,1),0,ROUND(CG16*VLOOKUP(CD16,$BZ$4:$CA$7,2)%,0))))</f>
        <v/>
      </c>
      <c r="CJ16" s="461" t="str">
        <f>IF(CD16="","",IF(AND($CA$3=$CA$1,CD16&lt;=$CT$1),0,IF(OR(CV16=3,CF16=VLOOKUP(CF16,'IN RPS-2015'!$I$2:$J$5,1)),0,ROUND(MIN(ROUND(CF16*VLOOKUP(CD16,$B$1:$G$4,2)%,0),VLOOKUP(CD16,$B$2:$I$4,IF($CA$3=$I$29,7,8),TRUE))*(DAY(CE16)-DAY(CD16)+1)/DAY(EOMONTH(CD16,0)),0))))</f>
        <v/>
      </c>
      <c r="CK16" s="491" t="str">
        <f>IF(CD16="","",IF(AND($CA$3=$CA$1,CD16&lt;=$CT$1),0,IF(Main!$C$26="UGC",0,IF(OR(CD16&lt;DATE(2010,4,1),$I$6=VLOOKUP(CD16,$B$2:$G$4,5,TRUE),CF16=VLOOKUP(CF16,'IN RPS-2015'!$I$2:$J$5,1)),0,ROUND(IF(CV16=3,0,IF(CV16=2,MIN(ROUND(CF16*$G$13%,0),IF(CD16&lt;$J$152,$G$14,$G$15))/2,MIN(ROUND(CF16*$G$13%,0),IF(CD16&lt;$J$152,$G$14,$G$15))))*(DAY(CE16)-DAY(CD16)+1)/DAY(EOMONTH(CD16,0)),0)))))</f>
        <v/>
      </c>
      <c r="CL16" s="461" t="str">
        <f>IF(CD16="","",IF(AND($CA$3=$CA$1,CD16&lt;=$CT$1),0,IF(Main!$C$26="UGC",0,IF(CF16=VLOOKUP(CF16,'IN RPS-2015'!$I$2:$J$5,1),0,ROUND(CG16*VLOOKUP(CD16,$BZ$11:$CA$12,2)%,0)))))</f>
        <v/>
      </c>
      <c r="CM16" s="461" t="str">
        <f>IF(CD16="","",IF(AND($CA$3=$CA$1,CD16&lt;=$CT$1),0,IF(Main!$C$26="UGC",0,IF(CD16&lt;DATE(2010,4,1),0,IF(OR(CV16=2,CV16=3,CF16=VLOOKUP(CF16,'IN RPS-2015'!$I$2:$J$5,1)),0,ROUND(IF(CD16&lt;$J$152,VLOOKUP(CD16,$B$1:$G$4,4),VLOOKUP(VLOOKUP(CD16,$B$1:$G$4,4),Main!$CE$2:$CF$5,2,FALSE))*(DAY(CE16)-DAY(CD16)+1)/DAY(EOMONTH(CD16,0)),0))))))</f>
        <v/>
      </c>
      <c r="CN16" s="461" t="str">
        <f>IF(CD16="","",IF(AND($CA$3=$CA$1,CD16&lt;=$CT$1),0,IF(OR(CV16=2,CV16=3,$D$31=$D$28,CF16=VLOOKUP(CF16,'IN RPS-2015'!$I$2:$J$5,1)),0,ROUND(MIN(VLOOKUP(CC16,$A$27:$C$29,2,TRUE),ROUND(CF16*VLOOKUP(CC16,$A$27:$C$29,3,TRUE)%,0))*IF(CC16=$A$36,$C$36,IF(CC16=$A$37,$C$37,IF(CC16=$A$38,$C$38,IF(CC16=$A$39,$C$39,IF(CC16=$A$40,$C$40,IF(CC16=$A$41,$C$41,1))))))*(DAY(CE16)-DAY(CD16)+1)/DAY(EOMONTH(CD16,0)),0))))</f>
        <v/>
      </c>
      <c r="CO16" s="461" t="str">
        <f>IF(CD16="","",IF(AND($CA$3=$CA$1,CD16&lt;=$CT$1),0,IF(Main!$C$26="UGC",0,IF(OR(CV16=3,CF16=VLOOKUP(CF16,'IN RPS-2015'!$I$2:$J$5,1)),0,ROUND(IF(CV16=2,VLOOKUP(CF16,IF($CA$3=$I$29,$A$20:$E$23,$F$144:$J$147),IF($B$19=VLOOKUP(CD16,$B$2:$G$4,3,TRUE),2,IF($C$19=VLOOKUP(CD16,$B$2:$G$4,3,TRUE),3,IF($D$19=VLOOKUP(CD16,$B$2:$G$4,3,TRUE),4,5))),TRUE),VLOOKUP(CF16,IF($CA$3=$I$29,$A$20:$E$23,$F$144:$J$147),IF($B$19=VLOOKUP(CD16,$B$2:$G$4,3,TRUE),2,IF($C$19=VLOOKUP(CD16,$B$2:$G$4,3,TRUE),3,IF($D$19=VLOOKUP(CD16,$B$2:$G$4,3,TRUE),4,5))),TRUE))*(DAY(CE16)-DAY(CD16)+1)/DAY(EOMONTH(CD16,0)),0)))))</f>
        <v/>
      </c>
      <c r="CP16" s="461" t="str">
        <f>IF(CD16="","",IF(AND($CA$3=$CA$1,CD16&lt;=$CT$1),0,IF(Main!$C$26="UGC",0,IF(OR(CC16&lt;DATE(2010,4,1),CV16=3,CF16=VLOOKUP(CF16,'IN RPS-2015'!$I$2:$J$5,1)),0,ROUND(IF(CV16=2,IF(CD16&lt;$J$152,Main!$L$9,Main!$CI$3)/2,IF(CD16&lt;$J$152,Main!$L$9,Main!$CI$3))*(DAY(CE16)-DAY(CD16)+1)/DAY(EOMONTH(CD16,0)),0)))))</f>
        <v/>
      </c>
      <c r="CQ16" s="461"/>
      <c r="CR16" s="461" t="str">
        <f>IF(CD16="","",IF(AND($CA$3=$CA$1,CD16&lt;=$CT$1),0,IF(Main!$C$26="UGC",0,IF(OR(CV16=3,CF16=VLOOKUP(CF16,'IN RPS-2015'!$I$2:$J$5,1)),0,ROUND(IF(CV16=2,VLOOKUP(CG16,IF(CD16&lt;$J$152,$A$154:$E$159,$F$154:$J$159),IF($B$10=VLOOKUP(CC16,$B$2:$G$4,6,TRUE),2,IF($B$10=VLOOKUP(CC16,$B$2:$G$4,6,TRUE),3,IF($D$10=VLOOKUP(CC16,$B$2:$G$4,6,TRUE),4,5))))/2,VLOOKUP(CG16,IF(CD16&lt;$J$152,$A$154:$E$159,$F$154:$J$159),IF($B$10=VLOOKUP(CC16,$B$2:$G$4,6,TRUE),2,IF($B$10=VLOOKUP(CC16,$B$2:$G$4,6,TRUE),3,IF($D$10=VLOOKUP(CC16,$B$2:$G$4,6,TRUE),4,5)))))*(DAY(CE16)-DAY(CD16)+1)/DAY(EOMONTH(CD16,0)),0)))))</f>
        <v/>
      </c>
      <c r="CS16" s="461">
        <f t="shared" si="73"/>
        <v>0</v>
      </c>
      <c r="CT16" s="464" t="str">
        <f>IF(CD16="","",IF(AND($CA$3=$CA$1,CD16&lt;=$CT$1),0,IF(AND(Main!$F$22=Main!$CA$24,CD16&gt;$CT$1),ROUND(SUM(CG16,CI16)*10%,0),"")))</f>
        <v/>
      </c>
      <c r="CU16" s="464" t="str">
        <f>IF(CC16="","",IF(CG16=0,0,IF(OR(Main!$H$10=Main!$BH$4,Main!$H$10=Main!$BH$5),0,LOOKUP(CS16*DAY(EOMONTH(CD16,0))/(DAY(CE16)-DAY(CD16)+1),$H$184:$I$189))))</f>
        <v/>
      </c>
      <c r="CV16" s="457">
        <f t="shared" si="74"/>
        <v>1</v>
      </c>
      <c r="CW16" s="464"/>
      <c r="CX16" s="501" t="str">
        <f t="shared" si="59"/>
        <v/>
      </c>
      <c r="CY16" s="502" t="str">
        <f t="shared" si="87"/>
        <v/>
      </c>
      <c r="CZ16" s="484" t="str">
        <f>IF(CY16="","",MIN(EOMONTH(CY16,0),VLOOKUP(CY16,'IN RPS-2015'!$O$164:$P$202,2,TRUE)-1,LOOKUP(CY16,$E$47:$F$53)-1,IF(CY16&lt;$B$2,$B$2-1,'IN RPS-2015'!$Q$9),IF(CY16&lt;$B$3,$B$3-1,'IN RPS-2015'!$Q$9),IF(CY16&lt;$B$4,$B$4-1,'IN RPS-2015'!$Q$9),LOOKUP(CY16,$H$47:$I$53)))</f>
        <v/>
      </c>
      <c r="DA16" s="493" t="str">
        <f>IF(CY16="","",VLOOKUP(CY16,'IN RPS-2015'!$T$207:$Y$222,6))</f>
        <v/>
      </c>
      <c r="DB16" s="461" t="str">
        <f t="shared" si="75"/>
        <v/>
      </c>
      <c r="DC16" s="461" t="str">
        <f>IF(CY16="","",IF(AND($CA$3=$CA$1,CY16&lt;=$CT$1),0,ROUND(IF(DQ16=3,0,IF(DQ16=2,IF(DA16=VLOOKUP(DA16,'IN RPS-2015'!$I$2:$J$5,1),0,Main!$H$9)/2,IF(DA16=VLOOKUP(DA16,'IN RPS-2015'!$I$2:$J$5,1),0,Main!$H$9)))*(DAY(CZ16)-DAY(CY16)+1)/DAY(EOMONTH(CY16,0)),0)))</f>
        <v/>
      </c>
      <c r="DD16" s="461" t="str">
        <f>IF(CY16="","",IF(AND($CA$3=$CA$1,CY16&lt;=$CT$1),0,IF(DA16=VLOOKUP(DA16,'IN RPS-2015'!$I$2:$J$5,1),0,ROUND(DB16*VLOOKUP(CY16,$BZ$4:$CA$7,2)%,0))))</f>
        <v/>
      </c>
      <c r="DE16" s="461" t="str">
        <f>IF(CY16="","",IF(AND($CA$3=$CA$1,CY16&lt;=$CT$1),0,IF(OR(DQ16=3,DA16=VLOOKUP(DA16,'IN RPS-2015'!$I$2:$J$5,1)),0,ROUND(MIN(ROUND(DA16*VLOOKUP(CY16,$B$1:$G$4,2)%,0),VLOOKUP(CY16,$B$2:$I$4,IF($CA$3=$I$29,7,8),TRUE))*(DAY(CZ16)-DAY(CY16)+1)/DAY(EOMONTH(CY16,0)),0))))</f>
        <v/>
      </c>
      <c r="DF16" s="491" t="str">
        <f>IF(CY16="","",IF(AND($CA$3=$CA$1,CY16&lt;=$CT$1),0,IF(Main!$C$26="UGC",0,IF(OR(CY16&lt;DATE(2010,4,1),$I$6=VLOOKUP(CY16,$B$2:$G$4,5,TRUE),DA16=VLOOKUP(DA16,'IN RPS-2015'!$I$2:$J$5,1)),0,ROUND(IF(DQ16=3,0,IF(DQ16=2,MIN(ROUND(DA16*$G$13%,0),IF(CY16&lt;$J$152,$G$14,$G$15))/2,MIN(ROUND(DA16*$G$13%,0),IF(CY16&lt;$J$152,$G$14,$G$15))))*(DAY(CZ16)-DAY(CY16)+1)/DAY(EOMONTH(CY16,0)),0)))))</f>
        <v/>
      </c>
      <c r="DG16" s="461" t="str">
        <f>IF(CY16="","",IF(AND($CA$3=$CA$1,CY16&lt;=$CT$1),0,IF(Main!$C$26="UGC",0,IF(DA16=VLOOKUP(DA16,'IN RPS-2015'!$I$2:$J$5,1),0,ROUND(DB16*VLOOKUP(CY16,$BZ$11:$CA$12,2)%,0)))))</f>
        <v/>
      </c>
      <c r="DH16" s="461" t="str">
        <f>IF(CY16="","",IF(AND($CA$3=$CA$1,CY16&lt;=$CT$1),0,IF(Main!$C$26="UGC",0,IF(CY16&lt;DATE(2010,4,1),0,IF(OR(DQ16=2,DQ16=3,DA16=VLOOKUP(DA16,'IN RPS-2015'!$I$2:$J$5,1)),0,ROUND(IF(CY16&lt;$J$152,VLOOKUP(CY16,$B$1:$G$4,4),VLOOKUP(VLOOKUP(CY16,$B$1:$G$4,4),Main!$CE$2:$CF$5,2,FALSE))*(DAY(CZ16)-DAY(CY16)+1)/DAY(EOMONTH(CY16,0)),0))))))</f>
        <v/>
      </c>
      <c r="DI16" s="461" t="str">
        <f>IF(CY16="","",IF(AND($CA$3=$CA$1,CY16&lt;=$CT$1),0,IF(OR(DQ16=2,DQ16=3,$D$31=$D$28,DA16=VLOOKUP(DA16,'IN RPS-2015'!$I$2:$J$5,1)),0,ROUND(MIN(VLOOKUP(CX16,$A$27:$C$29,2,TRUE),ROUND(DA16*VLOOKUP(CX16,$A$27:$C$29,3,TRUE)%,0))*IF(CX16=$A$36,$C$36,IF(CX16=$A$37,$C$37,IF(CX16=$A$38,$C$38,IF(CX16=$A$39,$C$39,IF(CX16=$A$40,$C$40,IF(CX16=$A$41,$C$41,1))))))*(DAY(CZ16)-DAY(CY16)+1)/DAY(EOMONTH(CY16,0)),0))))</f>
        <v/>
      </c>
      <c r="DJ16" s="461" t="str">
        <f>IF(CY16="","",IF(AND($CA$3=$CA$1,CY16&lt;=$CT$1),0,IF(Main!$C$26="UGC",0,IF(OR(DQ16=3,DA16=VLOOKUP(DA16,'IN RPS-2015'!$I$2:$J$5,1)),0,ROUND(IF(DQ16=2,VLOOKUP(DA16,IF($CA$3=$I$29,$A$20:$E$23,$F$144:$J$147),IF($B$19=VLOOKUP(CY16,$B$2:$G$4,3,TRUE),2,IF($C$19=VLOOKUP(CY16,$B$2:$G$4,3,TRUE),3,IF($D$19=VLOOKUP(CY16,$B$2:$G$4,3,TRUE),4,5))),TRUE),VLOOKUP(DA16,IF($CA$3=$I$29,$A$20:$E$23,$F$144:$J$147),IF($B$19=VLOOKUP(CY16,$B$2:$G$4,3,TRUE),2,IF($C$19=VLOOKUP(CY16,$B$2:$G$4,3,TRUE),3,IF($D$19=VLOOKUP(CY16,$B$2:$G$4,3,TRUE),4,5))),TRUE))*(DAY(CZ16)-DAY(CY16)+1)/DAY(EOMONTH(CY16,0)),0)))))</f>
        <v/>
      </c>
      <c r="DK16" s="461" t="str">
        <f>IF(CY16="","",IF(AND($CA$3=$CA$1,CY16&lt;=$CT$1),0,IF(Main!$C$26="UGC",0,IF(OR(CX16&lt;DATE(2010,4,1),DQ16=3,DA16=VLOOKUP(DA16,'IN RPS-2015'!$I$2:$J$5,1)),0,ROUND(IF(DQ16=2,IF(CY16&lt;$J$152,Main!$L$9,Main!$CI$3)/2,IF(CY16&lt;$J$152,Main!$L$9,Main!$CI$3))*(DAY(CZ16)-DAY(CY16)+1)/DAY(EOMONTH(CY16,0)),0)))))</f>
        <v/>
      </c>
      <c r="DL16" s="461"/>
      <c r="DM16" s="461" t="str">
        <f>IF(CY16="","",IF(AND($CA$3=$CA$1,CY16&lt;=$CT$1),0,IF(Main!$C$26="UGC",0,IF(OR(DQ16=3,DA16=VLOOKUP(DA16,'IN RPS-2015'!$I$2:$J$5,1)),0,ROUND(IF(DQ16=2,VLOOKUP(DB16,IF(CY16&lt;$J$152,$A$154:$E$159,$F$154:$J$159),IF($B$10=VLOOKUP(CX16,$B$2:$G$4,6,TRUE),2,IF($B$10=VLOOKUP(CX16,$B$2:$G$4,6,TRUE),3,IF($D$10=VLOOKUP(CX16,$B$2:$G$4,6,TRUE),4,5))))/2,VLOOKUP(DB16,IF(CY16&lt;$J$152,$A$154:$E$159,$F$154:$J$159),IF($B$10=VLOOKUP(CX16,$B$2:$G$4,6,TRUE),2,IF($B$10=VLOOKUP(CX16,$B$2:$G$4,6,TRUE),3,IF($D$10=VLOOKUP(CX16,$B$2:$G$4,6,TRUE),4,5)))))*(DAY(CZ16)-DAY(CY16)+1)/DAY(EOMONTH(CY16,0)),0)))))</f>
        <v/>
      </c>
      <c r="DN16" s="461">
        <f t="shared" si="76"/>
        <v>0</v>
      </c>
      <c r="DO16" s="464" t="str">
        <f>IF(CY16="","",IF(AND($CA$3=$CA$1,CY16&lt;=$CT$1),0,IF(AND(Main!$F$22=Main!$CA$24,CY16&gt;$CT$1),ROUND(SUM(DB16,DD16)*10%,0),"")))</f>
        <v/>
      </c>
      <c r="DP16" s="464" t="str">
        <f>IF(CX16="","",IF(AND($CA$3=$CA$1,CY16&lt;=$CT$1),0,IF(OR(Main!$H$10=Main!$BH$4,Main!$H$10=Main!$BH$5),0,LOOKUP(DN16*DAY(EOMONTH(CY16,0))/(DAY(CZ16)-DAY(CY16)+1),$H$184:$I$189))))</f>
        <v/>
      </c>
      <c r="DQ16" s="457">
        <f t="shared" si="60"/>
        <v>1</v>
      </c>
      <c r="DR16" s="457">
        <f t="shared" si="77"/>
        <v>0</v>
      </c>
      <c r="DS16" s="497"/>
      <c r="DT16" s="497"/>
      <c r="DU16" s="457"/>
      <c r="DV16" s="461"/>
      <c r="DW16" s="499" t="str">
        <f t="shared" si="61"/>
        <v/>
      </c>
      <c r="DX16" s="500" t="str">
        <f t="shared" si="88"/>
        <v/>
      </c>
      <c r="DY16" s="484" t="str">
        <f>IF(DX16="","",MIN(EOMONTH(DX16,0),VLOOKUP(DX16,'IN RPS-2015'!$O$164:$P$202,2,TRUE)-1,LOOKUP(DX16,$E$47:$F$53)-1,IF(DX16&lt;$B$2,$B$2-1,'IN RPS-2015'!$Q$9),IF(DX16&lt;$B$3,$B$3-1,'IN RPS-2015'!$Q$9),IF(DX16&lt;$B$4,$B$4-1,'IN RPS-2015'!$Q$9),LOOKUP(DX16,$H$47:$I$53)))</f>
        <v/>
      </c>
      <c r="DZ16" s="490" t="str">
        <f>IF(DX16="","",VLOOKUP(DX16,'IN RPS-2015'!$P$164:$AA$202,11))</f>
        <v/>
      </c>
      <c r="EA16" s="461" t="str">
        <f t="shared" si="78"/>
        <v/>
      </c>
      <c r="EB16" s="461" t="str">
        <f>IF(DX16="","",ROUND(IF(EP16=3,0,IF(EP16=2,IF(DZ16=VLOOKUP(DZ16,'IN RPS-2015'!$I$2:$J$5,1),0,Main!$H$9)/2,IF(DZ16=VLOOKUP(DZ16,'IN RPS-2015'!$I$2:$J$5,1),0,Main!$H$9)))*(DAY(DY16)-DAY(DX16)+1)/DAY(EOMONTH(DX16,0)),0))</f>
        <v/>
      </c>
      <c r="EC16" s="461" t="str">
        <f>IF(DX16="","",IF(DZ16=VLOOKUP(DZ16,'IN RPS-2015'!$I$2:$J$5,1),0,ROUND(EA16*VLOOKUP(DX16,$DT$4:$DU$7,2)%,0)))</f>
        <v/>
      </c>
      <c r="ED16" s="461" t="str">
        <f>IF(DX16="","",IF(OR(EP16=3,DZ16=VLOOKUP(DZ16,'IN RPS-2015'!$I$2:$J$5,1)),0,ROUND(MIN(ROUND(DZ16*VLOOKUP(DX16,$B$1:$G$4,2)%,0),VLOOKUP(DX16,$B$2:$I$4,IF($DU$3=$I$29,7,8),TRUE))*(DAY(DY16)-DAY(DX16)+1)/DAY(EOMONTH(DX16,0)),0)))</f>
        <v/>
      </c>
      <c r="EE16" s="491" t="str">
        <f>IF(DX16="","",IF(Main!$C$26="UGC",0,IF(OR(DX16&lt;DATE(2010,4,1),$I$6=VLOOKUP(DX16,$B$2:$G$4,5,TRUE),DZ16=VLOOKUP(DZ16,'IN RPS-2015'!$I$2:$J$5,1)),0,ROUND(IF(EP16=3,0,IF(EP16=2,MIN(ROUND(DZ16*$G$13%,0),IF(DX16&lt;$I$152,$G$14,$G$15))/2,MIN(ROUND(DZ16*$G$13%,0),IF(DX16&lt;$I$152,$G$14,$G$15))))*(DAY(DY16)-DAY(DX16)+1)/DAY(EOMONTH(DX16,0)),0))))</f>
        <v/>
      </c>
      <c r="EF16" s="461" t="str">
        <f>IF(DX16="","",IF(Main!$C$26="UGC",0,IF(DZ16=VLOOKUP(DZ16,'IN RPS-2015'!$I$2:$J$5,1),0,ROUND(EA16*VLOOKUP(DX16,$DT$11:$DU$12,2)%,0))))</f>
        <v/>
      </c>
      <c r="EG16" s="461" t="str">
        <f>IF(DX16="","",IF(Main!$C$26="UGC",0,IF(DX16&lt;DATE(2010,4,1),0,IF(OR(EP16=2,EP16=3,DZ16=VLOOKUP(DZ16,'IN RPS-2015'!$I$2:$J$5,1)),0,ROUND(IF(DX16&lt;$I$152,VLOOKUP(DX16,$B$1:$G$4,4),VLOOKUP(VLOOKUP(DX16,$B$1:$G$4,4),Main!$CE$2:$CF$5,2,FALSE))*(DAY(DY16)-DAY(DX16)+1)/DAY(EOMONTH(DX16,0)),0)))))</f>
        <v/>
      </c>
      <c r="EH16" s="461" t="str">
        <f>IF(DX16="","",IF(OR(EP16=2,EP16=3,$D$31=$D$28,DZ16=VLOOKUP(DZ16,'IN RPS-2015'!$I$2:$J$5,1)),0,ROUND(MIN(IF(DX16&lt;$I$152,900,1350),ROUND(DZ16*VLOOKUP(DW16,$A$27:$C$29,3,TRUE)%,0))*IF(DW16=$A$36,$C$36,IF(DW16=$A$37,$C$37,IF(DW16=$A$38,$C$38,IF(DW16=$A$39,$C$39,IF(DW16=$A$40,$C$40,IF(DW16=$A$41,$C$41,1))))))*(DAY(DY16)-DAY(DX16)+1)/DAY(EOMONTH(DX16,0)),0)))</f>
        <v/>
      </c>
      <c r="EI16" s="461" t="str">
        <f>IF(DX16="","",IF(Main!$C$26="UGC",0,IF(OR(EP16=3,DZ16=VLOOKUP(DZ16,'IN RPS-2015'!$I$2:$J$5,1)),0,ROUND(IF(EP16=2,VLOOKUP(DZ16,IF($DU$3=$I$29,$A$20:$E$23,$F$144:$J$147),IF($B$19=VLOOKUP(DX16,$B$2:$G$4,3,TRUE),2,IF($C$19=VLOOKUP(DX16,$B$2:$G$4,3,TRUE),3,IF($D$19=VLOOKUP(DX16,$B$2:$G$4,3,TRUE),4,5))),TRUE),VLOOKUP(DZ16,IF($DU$3=$I$29,$A$20:$E$23,$F$144:$J$147),IF($B$19=VLOOKUP(DX16,$B$2:$G$4,3,TRUE),2,IF($C$19=VLOOKUP(DX16,$B$2:$G$4,3,TRUE),3,IF($D$19=VLOOKUP(DX16,$B$2:$G$4,3,TRUE),4,5))),TRUE))*(DAY(DY16)-DAY(DX16)+1)/DAY(EOMONTH(DX16,0)),0))))</f>
        <v/>
      </c>
      <c r="EJ16" s="461" t="str">
        <f>IF(DX16="","",IF(Main!$C$26="UGC",0,IF(OR(DW16&lt;DATE(2010,4,1),EP16=3,DZ16=VLOOKUP(DZ16,'IN RPS-2015'!$I$2:$J$5,1)),0,ROUND(IF(EP16=2,IF(DX16&lt;$I$152,Main!$L$9,Main!$CI$3)/2,IF(DX16&lt;$I$152,Main!$L$9,Main!$CI$3))*(DAY(DY16)-DAY(DX16)+1)/DAY(EOMONTH(DX16,0)),0))))</f>
        <v/>
      </c>
      <c r="EK16" s="461"/>
      <c r="EL16" s="461" t="str">
        <f>IF(DX16="","",IF(Main!$C$26="UGC",0,IF(OR(EP16=3,DZ16=VLOOKUP(DZ16,'IN RPS-2015'!$I$2:$J$5,1)),0,ROUND(IF(EP16=2,VLOOKUP(EA16,IF(DX16&lt;$I$152,$A$154:$E$159,$F$154:$J$159),IF($B$10=VLOOKUP(DW16,$B$2:$G$4,6,TRUE),2,IF($B$10=VLOOKUP(DW16,$B$2:$G$4,6,TRUE),3,IF($D$10=VLOOKUP(DW16,$B$2:$G$4,6,TRUE),4,5))))/2,VLOOKUP(EA16,IF(DX16&lt;$I$152,$A$154:$E$159,$F$154:$J$159),IF($B$10=VLOOKUP(DW16,$B$2:$G$4,6,TRUE),2,IF($B$10=VLOOKUP(DW16,$B$2:$G$4,6,TRUE),3,IF($D$10=VLOOKUP(DW16,$B$2:$G$4,6,TRUE),4,5)))))*(DAY(DY16)-DAY(DX16)+1)/DAY(EOMONTH(DX16,0)),0))))</f>
        <v/>
      </c>
      <c r="EM16" s="461">
        <f t="shared" si="79"/>
        <v>0</v>
      </c>
      <c r="EN16" s="464" t="str">
        <f>IF(DX16="","",IF(AND(Main!$F$22=Main!$CA$24,DX16&gt;$EN$1),ROUND(SUM(EA16,EC16)*10%,0),""))</f>
        <v/>
      </c>
      <c r="EO16" s="464" t="str">
        <f>IF(DW16="","",IF(EA16=0,0,IF(OR(Main!$H$10=Main!$BH$4,Main!$H$10=Main!$BH$5),0,LOOKUP(EM16*DAY(EOMONTH(DX16,0))/(DAY(DY16)-DAY(DX16)+1),$H$184:$I$189))))</f>
        <v/>
      </c>
      <c r="EP16" s="457">
        <f t="shared" si="62"/>
        <v>1</v>
      </c>
      <c r="ER16" s="497"/>
      <c r="ET16" s="461"/>
      <c r="EU16" s="499" t="str">
        <f t="shared" si="63"/>
        <v/>
      </c>
      <c r="EV16" s="500" t="str">
        <f t="shared" si="89"/>
        <v/>
      </c>
      <c r="EW16" s="484" t="str">
        <f>IF(EV16="","",MIN(EOMONTH(EV16,0),VLOOKUP(EV16,'IN RPS-2015'!$O$164:$P$202,2,TRUE)-1,LOOKUP(EV16,$E$47:$F$53)-1,IF(EV16&lt;$B$2,$B$2-1,'IN RPS-2015'!$Q$9),IF(EV16&lt;$B$3,$B$3-1,'IN RPS-2015'!$Q$9),IF(EV16&lt;$B$4,$B$4-1,'IN RPS-2015'!$Q$9),LOOKUP(EV16,$H$47:$I$53)))</f>
        <v/>
      </c>
      <c r="EX16" s="490" t="str">
        <f>IF(EV16="","",VLOOKUP(EV16,'IN RPS-2015'!$P$164:$AA$202,12))</f>
        <v/>
      </c>
      <c r="EY16" s="461" t="str">
        <f t="shared" si="80"/>
        <v/>
      </c>
      <c r="EZ16" s="461" t="str">
        <f>IF(EV16="","",ROUND(IF(FN16=3,0,IF(FN16=2,IF(EX16=VLOOKUP(EX16,'IN RPS-2015'!$I$2:$J$5,1),0,Main!$H$9)/2,IF(EX16=VLOOKUP(EX16,'IN RPS-2015'!$I$2:$J$5,1),0,Main!$H$9)))*(DAY(EW16)-DAY(EV16)+1)/DAY(EOMONTH(EV16,0)),0))</f>
        <v/>
      </c>
      <c r="FA16" s="461" t="str">
        <f>IF(EV16="","",IF(EX16=VLOOKUP(EX16,'IN RPS-2015'!$I$2:$J$5,1),0,ROUND(EY16*VLOOKUP(EV16,$ER$4:$ES$7,2)%,0)))</f>
        <v/>
      </c>
      <c r="FB16" s="461" t="str">
        <f>IF(EV16="","",IF(OR(FN16=3,EX16=VLOOKUP(EX16,'IN RPS-2015'!$I$2:$J$5,1)),0,ROUND(MIN(ROUND(EX16*VLOOKUP(EV16,$B$1:$G$4,2)%,0),VLOOKUP(EV16,$B$2:$I$4,IF($ES$3=$I$29,7,8),TRUE))*(DAY(EW16)-DAY(EV16)+1)/DAY(EOMONTH(EV16,0)),0)))</f>
        <v/>
      </c>
      <c r="FC16" s="491" t="str">
        <f>IF(EV16="","",IF(Main!$C$26="UGC",0,IF(OR(EV16&lt;DATE(2010,4,1),$I$6=VLOOKUP(EV16,$B$2:$G$4,5,TRUE),EX16=VLOOKUP(EX16,'IN RPS-2015'!$I$2:$J$5,1)),0,ROUND(IF(FN16=3,0,IF(FN16=2,MIN(ROUND(EX16*$G$13%,0),IF(EV16&lt;$J$152,$G$14,$G$15))/2,MIN(ROUND(EX16*$G$13%,0),IF(EV16&lt;$J$152,$G$14,$G$15))))*(DAY(EW16)-DAY(EV16)+1)/DAY(EOMONTH(EV16,0)),0))))</f>
        <v/>
      </c>
      <c r="FD16" s="461" t="str">
        <f>IF(EV16="","",IF(Main!$C$26="UGC",0,IF(EX16=VLOOKUP(EX16,'IN RPS-2015'!$I$2:$J$5,1),0,ROUND(EY16*VLOOKUP(EV16,$ER$11:$ES$12,2)%,0))))</f>
        <v/>
      </c>
      <c r="FE16" s="461" t="str">
        <f>IF(EV16="","",IF(Main!$C$26="UGC",0,IF(EV16&lt;DATE(2010,4,1),0,IF(OR(FN16=2,FN16=3,EX16=VLOOKUP(EX16,'IN RPS-2015'!$I$2:$J$5,1)),0,ROUND(IF(EV16&lt;$J$152,VLOOKUP(EV16,$B$1:$G$4,4),VLOOKUP(VLOOKUP(EV16,$B$1:$G$4,4),Main!$CE$2:$CF$5,2,FALSE))*(DAY(EW16)-DAY(EV16)+1)/DAY(EOMONTH(EV16,0)),0)))))</f>
        <v/>
      </c>
      <c r="FF16" s="461" t="str">
        <f>IF(EV16="","",IF(OR(FN16=2,FN16=3,$D$31=$D$28,EX16=VLOOKUP(EX16,'IN RPS-2015'!$I$2:$J$5,1)),0,ROUND(MIN(VLOOKUP(EU16,$A$27:$C$29,2,TRUE),ROUND(EX16*VLOOKUP(EU16,$A$27:$C$29,3,TRUE)%,0))*IF(EU16=$A$36,$C$36,IF(EU16=$A$37,$C$37,IF(EU16=$A$38,$C$38,IF(EU16=$A$39,$C$39,IF(EU16=$A$40,$C$40,IF(EU16=$A$41,$C$41,1))))))*(DAY(EW16)-DAY(EV16)+1)/DAY(EOMONTH(EV16,0)),0)))</f>
        <v/>
      </c>
      <c r="FG16" s="461" t="str">
        <f>IF(EV16="","",IF(Main!$C$26="UGC",0,IF(OR(FN16=3,EX16=VLOOKUP(EX16,'IN RPS-2015'!$I$2:$J$5,1)),0,ROUND(IF(FN16=2,VLOOKUP(EX16,IF($ES$3=$I$29,$A$20:$E$23,$F$144:$J$147),IF($B$19=VLOOKUP(EV16,$B$2:$G$4,3,TRUE),2,IF($C$19=VLOOKUP(EV16,$B$2:$G$4,3,TRUE),3,IF($D$19=VLOOKUP(EV16,$B$2:$G$4,3,TRUE),4,5))),TRUE),VLOOKUP(EX16,IF($ES$3=$I$29,$A$20:$E$23,$F$144:$J$147),IF($B$19=VLOOKUP(EV16,$B$2:$G$4,3,TRUE),2,IF($C$19=VLOOKUP(EV16,$B$2:$G$4,3,TRUE),3,IF($D$19=VLOOKUP(EV16,$B$2:$G$4,3,TRUE),4,5))),TRUE))*(DAY(EW16)-DAY(EV16)+1)/DAY(EOMONTH(EV16,0)),0))))</f>
        <v/>
      </c>
      <c r="FH16" s="461" t="str">
        <f>IF(EV16="","",IF(Main!$C$26="UGC",0,IF(OR(EU16&lt;DATE(2010,4,1),FN16=3,EX16=VLOOKUP(EX16,'IN RPS-2015'!$I$2:$J$5,1)),0,ROUND(IF(FN16=2,IF(EV16&lt;$J$152,Main!$L$9,Main!$CI$3)/2,IF(EV16&lt;$J$152,Main!$L$9,Main!$CI$3))*(DAY(EW16)-DAY(EV16)+1)/DAY(EOMONTH(EV16,0)),0))))</f>
        <v/>
      </c>
      <c r="FI16" s="461"/>
      <c r="FJ16" s="461" t="str">
        <f>IF(EV16="","",IF(Main!$C$26="UGC",0,IF(OR(FN16=3,EX16=VLOOKUP(EX16,'IN RPS-2015'!$I$2:$J$5,1)),0,ROUND(IF(FN16=2,VLOOKUP(EY16,IF(EV16&lt;$J$152,$A$154:$E$159,$F$154:$J$159),IF($B$10=VLOOKUP(EU16,$B$2:$G$4,6,TRUE),2,IF($B$10=VLOOKUP(EU16,$B$2:$G$4,6,TRUE),3,IF($D$10=VLOOKUP(EU16,$B$2:$G$4,6,TRUE),4,5))))/2,VLOOKUP(EY16,IF(EV16&lt;$J$152,$A$154:$E$159,$F$154:$J$159),IF($B$10=VLOOKUP(EU16,$B$2:$G$4,6,TRUE),2,IF($B$10=VLOOKUP(EU16,$B$2:$G$4,6,TRUE),3,IF($D$10=VLOOKUP(EU16,$B$2:$G$4,6,TRUE),4,5)))))*(DAY(EW16)-DAY(EV16)+1)/DAY(EOMONTH(EV16,0)),0))))</f>
        <v/>
      </c>
      <c r="FK16" s="461">
        <f t="shared" si="81"/>
        <v>0</v>
      </c>
      <c r="FL16" s="464" t="str">
        <f>IF(EV16="","",IF(AND(Main!$F$22=Main!$CA$24,EV16&gt;$FL$1),ROUND(SUM(EY16,FA16)*10%,0),""))</f>
        <v/>
      </c>
      <c r="FM16" s="464" t="str">
        <f>IF(EU16="","",IF(EY16=0,0,IF(OR(Main!$H$10=Main!$BH$4,Main!$H$10=Main!$BH$5),0,LOOKUP(FK16*DAY(EOMONTH(EV16,0))/(DAY(EW16)-DAY(EV16)+1),$H$184:$I$189))))</f>
        <v/>
      </c>
      <c r="FN16" s="457">
        <f t="shared" si="64"/>
        <v>1</v>
      </c>
    </row>
    <row r="17" spans="1:170">
      <c r="K17" s="494" t="str">
        <f t="shared" si="65"/>
        <v/>
      </c>
      <c r="L17" s="495" t="str">
        <f t="shared" si="82"/>
        <v/>
      </c>
      <c r="M17" s="484" t="str">
        <f>IF(L17="","",MIN(EOMONTH(L17,0),VLOOKUP(L17,'IN RPS-2015'!$O$164:$P$202,2,TRUE)-1,LOOKUP(L17,$E$47:$F$53)-1,IF(L17&lt;$B$2,$B$2-1,'IN RPS-2015'!$Q$9),IF(L17&lt;$B$3,$B$3-1,'IN RPS-2015'!$Q$9),IF(L17&lt;$B$4,$B$4-1,'IN RPS-2015'!$Q$9),LOOKUP(L17,$H$47:$I$53)))</f>
        <v/>
      </c>
      <c r="N17" s="496" t="str">
        <f>IF(L17="","",VLOOKUP(L17,'Advance Tax'!$A$3:$C$14,3))</f>
        <v/>
      </c>
      <c r="O17" s="497" t="str">
        <f t="shared" si="52"/>
        <v/>
      </c>
      <c r="P17" s="497" t="str">
        <f>IF(L17="","",ROUND(IF(AD17=3,0,IF(AD17=2,IF(N17=VLOOKUP(N17,'IN RPS-2015'!$I$2:$J$5,1),0,Main!$H$9)/2,IF(N17=VLOOKUP(N17,'IN RPS-2015'!$I$2:$J$5,1),0,Main!$H$9)))*(DAY(M17)-DAY(L17)+1)/DAY(EOMONTH(L17,0)),0))</f>
        <v/>
      </c>
      <c r="Q17" s="457" t="str">
        <f>IF(L17="","",IF(N17=VLOOKUP(N17,'IN RPS-2015'!$I$2:$J$5,1),0,ROUND(O17*IF(L17&lt;Main!$C$27,VLOOKUP(L17,$H$9:$J$12,3),VLOOKUP(L17,$H$9:$J$12,2))%,0)))</f>
        <v/>
      </c>
      <c r="R17" s="457" t="str">
        <f>IF(L17="","",IF(OR(AD17=3,N17=VLOOKUP(N17,'IN RPS-2015'!$I$2:$J$5,1)),0,ROUND(MIN(ROUND(N17*VLOOKUP(L17,$B$1:$G$4,2)%,0),VLOOKUP(L17,$B$2:$I$4,IF(L17&lt;$G$7,7,8),TRUE))*(DAY(M17)-DAY(L17)+1)/DAY(EOMONTH(L17,0)),0)))</f>
        <v/>
      </c>
      <c r="S17" s="486" t="str">
        <f>IF(L17="","",IF(Main!$C$26="UGC",0,IF(OR(L17&lt;DATE(2010,4,1),$I$6=VLOOKUP(L17,$B$2:$G$4,5,TRUE),N17=VLOOKUP(N17,'IN RPS-2015'!$I$2:$J$5,1)),0,ROUND(IF(AD17=3,0,IF(AD17=2,MIN(ROUND(N17*$G$13%,0),IF(L17&lt;$J$152,$G$14,$G$15))/2,MIN(ROUND(N17*$G$13%,0),IF(L17&lt;$J$152,$G$14,$G$15))))*(DAY(M17)-DAY(L17)+1)/DAY(EOMONTH(L17,0)),0))))</f>
        <v/>
      </c>
      <c r="T17" s="457" t="str">
        <f>IF(L17="","",IF(Main!$C$26="UGC",0,IF(N17=VLOOKUP(N17,'IN RPS-2015'!$I$2:$J$5,1),0,ROUND(O17*VLOOKUP(L17,$H$205:$I$206,2)%,0))))</f>
        <v/>
      </c>
      <c r="U17" s="457" t="str">
        <f>IF(L17="","",IF(Main!$C$26="UGC",0,IF(L17&lt;DATE(2010,4,1),0,IF(OR(AD17=2,AD17=3,N17=VLOOKUP(N17,'IN RPS-2015'!$I$2:$J$5,1)),0,ROUND(IF(L17&lt;$J$152,VLOOKUP(L17,$B$1:$G$4,4),VLOOKUP(VLOOKUP(L17,$B$1:$G$4,4),Main!$CE$2:$CF$5,2,FALSE))*(DAY(M17)-DAY(L17)+1)/DAY(EOMONTH(L17,0)),0)))))</f>
        <v/>
      </c>
      <c r="V17" s="457" t="str">
        <f>IF(L17="","",IF(OR(AD17=2,AD17=3,$D$31=$D$28,N17=VLOOKUP(N17,'IN RPS-2015'!$I$2:$J$5,1)),0,ROUND(MIN(VLOOKUP(K17,$A$27:$C$29,2,TRUE),ROUND(N17*VLOOKUP(K17,$A$27:$C$29,3,TRUE)%,0))*IF(K17=$A$36,$C$36,IF(K17=$A$37,$C$37,IF(K17=$A$38,$C$38,IF(K17=$A$39,$C$39,IF(K17=$A$40,$C$40,IF(K17=$A$41,$C$41,1))))))*(DAY(M17)-DAY(L17)+1)/DAY(EOMONTH(L17,0)),0)))</f>
        <v/>
      </c>
      <c r="W17" s="457" t="str">
        <f>IF(L17="","",IF(Main!$C$26="UGC",0,IF(OR(AD17=3,N17=VLOOKUP(N17,'IN RPS-2015'!$I$2:$J$5,1)),0,ROUND(IF(AD17=2,VLOOKUP(N17,IF(L17&lt;$G$7,$A$20:$E$23,$F$144:$J$147),IF($B$19=VLOOKUP(L17,$B$2:$G$4,3,TRUE),2,IF($C$19=VLOOKUP(L17,$B$2:$G$4,3,TRUE),3,IF($D$19=VLOOKUP(L17,$B$2:$G$4,3,TRUE),4,5))),TRUE),VLOOKUP(N17,IF(L17&lt;$G$7,$A$20:$E$23,$F$144:$J$147),IF($B$19=VLOOKUP(L17,$B$2:$G$4,3,TRUE),2,IF($C$19=VLOOKUP(L17,$B$2:$G$4,3,TRUE),3,IF($D$19=VLOOKUP(L17,$B$2:$G$4,3,TRUE),4,5))),TRUE))*(DAY(M17)-DAY(L17)+1)/DAY(EOMONTH(L17,0)),0))))</f>
        <v/>
      </c>
      <c r="X17" s="457" t="str">
        <f>IF(L17="","",IF(Main!$C$26="UGC",0,IF(OR(K17&lt;DATE(2010,4,1),AD17=3,N17=VLOOKUP(N17,'IN RPS-2015'!$I$2:$J$5,1)),0,ROUND(IF(AD17=2,IF(L17&lt;$J$152,Main!$L$9,Main!$CI$3)/2,IF(L17&lt;$J$152,Main!$L$9,Main!$CI$3))*(DAY(M17)-DAY(L17)+1)/DAY(EOMONTH(L17,0)),0))))</f>
        <v/>
      </c>
      <c r="Y17" s="497"/>
      <c r="Z17" s="457" t="str">
        <f>IF(L17="","",IF(Main!$C$26="UGC",0,IF(OR(AD17=3,N17=VLOOKUP(N17,'IN RPS-2015'!$I$2:$J$5,1)),0,ROUND(IF(AD17=2,VLOOKUP(O17,IF(L17&lt;$J$152,$A$154:$E$159,$F$154:$J$159),IF($B$10=VLOOKUP(K17,$B$2:$G$4,6,TRUE),2,IF($B$10=VLOOKUP(K17,$B$2:$G$4,6,TRUE),3,IF($D$10=VLOOKUP(K17,$B$2:$G$4,6,TRUE),4,5))))/2,VLOOKUP(O17,IF(L17&lt;$J$152,$A$154:$E$159,$F$154:$J$159),IF($B$10=VLOOKUP(K17,$B$2:$G$4,6,TRUE),2,IF($B$10=VLOOKUP(K17,$B$2:$G$4,6,TRUE),3,IF($D$10=VLOOKUP(K17,$B$2:$G$4,6,TRUE),4,5)))))*(DAY(M17)-DAY(L17)+1)/DAY(EOMONTH(L17,0)),0))))</f>
        <v/>
      </c>
      <c r="AA17" s="497">
        <f t="shared" si="83"/>
        <v>0</v>
      </c>
      <c r="AB17" s="497"/>
      <c r="AC17" s="497"/>
      <c r="AD17" s="497">
        <f t="shared" si="53"/>
        <v>1</v>
      </c>
      <c r="AE17" s="497"/>
      <c r="AF17" s="497"/>
      <c r="AH17" s="461"/>
      <c r="AI17" s="499" t="str">
        <f t="shared" si="54"/>
        <v/>
      </c>
      <c r="AJ17" s="500" t="str">
        <f t="shared" si="84"/>
        <v/>
      </c>
      <c r="AK17" s="484" t="str">
        <f>IF(AJ17="","",MIN(EOMONTH(AJ17,0),VLOOKUP(AJ17,'IN RPS-2015'!$O$164:$P$202,2,TRUE)-1,LOOKUP(AJ17,$E$47:$F$53)-1,IF(AJ17&lt;$B$2,$B$2-1,'IN RPS-2015'!$Q$9),IF(AJ17&lt;$B$3,$B$3-1,'IN RPS-2015'!$Q$9),IF(AJ17&lt;$B$4,$B$4-1,'IN RPS-2015'!$Q$9),LOOKUP(AJ17,$H$47:$I$53)))</f>
        <v/>
      </c>
      <c r="AL17" s="490" t="str">
        <f>IF(AJ17="","",VLOOKUP(AJ17,'IN RPS-2015'!$P$164:$AA$202,9))</f>
        <v/>
      </c>
      <c r="AM17" s="461" t="str">
        <f t="shared" si="66"/>
        <v/>
      </c>
      <c r="AN17" s="461" t="str">
        <f>IF(AJ17="","",IF(AND($AG$3=$AG$1,AJ17&lt;=$AZ$1),0,ROUND(IF(BB17=3,0,IF(BB17=2,IF(AL17=VLOOKUP(AL17,'IN RPS-2015'!$I$2:$J$5,1),0,Main!$H$9)/2,IF(AL17=VLOOKUP(AL17,'IN RPS-2015'!$I$2:$J$5,1),0,Main!$H$9)))*(DAY(AK17)-DAY(AJ17)+1)/DAY(EOMONTH(AJ17,0)),0)))</f>
        <v/>
      </c>
      <c r="AO17" s="461" t="str">
        <f>IF(AJ17="","",IF(AND($AG$3=$AG$1,AJ17&lt;=$AZ$1),0,IF(AL17=VLOOKUP(AL17,'IN RPS-2015'!$I$2:$J$5,1),0,ROUND(AM17*VLOOKUP(AJ17,$AF$4:$AG$7,2)%,0))))</f>
        <v/>
      </c>
      <c r="AP17" s="461" t="str">
        <f>IF(AJ17="","",IF(AND($AG$3=$AG$1,AJ17&lt;=$AZ$1),0,IF(OR(BB17=3,AL17=VLOOKUP(AL17,'IN RPS-2015'!$I$2:$J$5,1)),0,ROUND(MIN(ROUND(AL17*VLOOKUP(AJ17,$B$1:$G$4,2)%,0),VLOOKUP(AJ17,$B$2:$I$4,IF($AG$3=$I$29,7,8),TRUE))*(DAY(AK17)-DAY(AJ17)+1)/DAY(EOMONTH(AJ17,0)),0))))</f>
        <v/>
      </c>
      <c r="AQ17" s="491" t="str">
        <f>IF(AJ17="","",IF(AND($AG$3=$AG$1,AJ17&lt;=$AZ$1),0,IF(Main!$C$26="UGC",0,IF(OR(AJ17&lt;DATE(2010,4,1),$I$6=VLOOKUP(AJ17,$B$2:$G$4,5,TRUE),AL17=VLOOKUP(AL17,'IN RPS-2015'!$I$2:$J$5,1)),0,ROUND(IF(BB17=3,0,IF(BB17=2,MIN(ROUND(AL17*$G$13%,0),IF(AJ17&lt;$J$152,$G$14,$G$15))/2,MIN(ROUND(AL17*$G$13%,0),IF(AJ17&lt;$J$152,$G$14,$G$15))))*(DAY(AK17)-DAY(AJ17)+1)/DAY(EOMONTH(AJ17,0)),0)))))</f>
        <v/>
      </c>
      <c r="AR17" s="461" t="str">
        <f>IF(AJ17="","",IF(AND($AG$3=$AG$1,AJ17&lt;=$AZ$1),0,IF(Main!$C$26="UGC",0,IF(AL17=VLOOKUP(AL17,'IN RPS-2015'!$I$2:$J$5,1),0,ROUND(AM17*VLOOKUP(AJ17,$AF$11:$AG$12,2)%,0)))))</f>
        <v/>
      </c>
      <c r="AS17" s="461" t="str">
        <f>IF(AJ17="","",IF(AND($AG$3=$AG$1,AJ17&lt;=$AZ$1),0,IF(Main!$C$26="UGC",0,IF(AJ17&lt;DATE(2010,4,1),0,IF(OR(BB17=2,BB17=3,AL17=VLOOKUP(AL17,'IN RPS-2015'!$I$2:$J$5,1)),0,ROUND(IF(AJ17&lt;$J$152,VLOOKUP(AJ17,$B$1:$G$4,4),VLOOKUP(VLOOKUP(AJ17,$B$1:$G$4,4),Main!$CE$2:$CF$5,2,FALSE))*(DAY(AK17)-DAY(AJ17)+1)/DAY(EOMONTH(AJ17,0)),0))))))</f>
        <v/>
      </c>
      <c r="AT17" s="461" t="str">
        <f>IF(AJ17="","",IF(AND($AG$3=$AG$1,AJ17&lt;=$AZ$1),0,IF(OR(BB17=2,BB17=3,$D$31=$D$28,AL17=VLOOKUP(AL17,'IN RPS-2015'!$I$2:$J$5,1)),0,ROUND(MIN(VLOOKUP(AI17,$A$27:$C$29,2,TRUE),ROUND(AL17*VLOOKUP(AI17,$A$27:$C$29,3,TRUE)%,0))*IF(AI17=$A$36,$C$36,IF(AI17=$A$37,$C$37,IF(AI17=$A$38,$C$38,IF(AI17=$A$39,$C$39,IF(AI17=$A$40,$C$40,IF(AI17=$A$41,$C$41,1))))))*(DAY(AK17)-DAY(AJ17)+1)/DAY(EOMONTH(AJ17,0)),0))))</f>
        <v/>
      </c>
      <c r="AU17" s="461" t="str">
        <f>IF(AJ17="","",IF(AND($AG$3=$AG$1,AJ17&lt;=$AZ$1),0,IF(Main!$C$26="UGC",0,IF(OR(BB17=3,AL17=VLOOKUP(AL17,'IN RPS-2015'!$I$2:$J$5,1)),0,ROUND(IF(BB17=2,VLOOKUP(AL17,IF($AG$3=$I$29,$A$20:$E$23,$F$144:$J$147),IF($B$19=VLOOKUP(AJ17,$B$2:$G$4,3,TRUE),2,IF($C$19=VLOOKUP(AJ17,$B$2:$G$4,3,TRUE),3,IF($D$19=VLOOKUP(AJ17,$B$2:$G$4,3,TRUE),4,5))),TRUE),VLOOKUP(AL17,IF($AG$3=$I$29,$A$20:$E$23,$F$144:$J$147),IF($B$19=VLOOKUP(AJ17,$B$2:$G$4,3,TRUE),2,IF($C$19=VLOOKUP(AJ17,$B$2:$G$4,3,TRUE),3,IF($D$19=VLOOKUP(AJ17,$B$2:$G$4,3,TRUE),4,5))),TRUE))*(DAY(AK17)-DAY(AJ17)+1)/DAY(EOMONTH(AJ17,0)),0)))))</f>
        <v/>
      </c>
      <c r="AV17" s="461" t="str">
        <f>IF(AJ17="","",IF(AND($AG$3=$AG$1,AJ17&lt;=$AZ$1),0,IF(Main!$C$26="UGC",0,IF(OR(AI17&lt;DATE(2010,4,1),BB17=3,AL17=VLOOKUP(AL17,'IN RPS-2015'!$I$2:$J$5,1)),0,ROUND(IF(BB17=2,IF(AJ17&lt;$J$152,Main!$L$9,Main!$CI$3)/2,IF(AJ17&lt;$J$152,Main!$L$9,Main!$CI$3))*(DAY(AK17)-DAY(AJ17)+1)/DAY(EOMONTH(AJ17,0)),0)))))</f>
        <v/>
      </c>
      <c r="AW17" s="461"/>
      <c r="AX17" s="461" t="str">
        <f>IF(AJ17="","",IF(AND($AG$3=$AG$1,AJ17&lt;=$AZ$1),0,IF(Main!$C$26="UGC",0,IF(OR(BB17=3,AL17=VLOOKUP(AL17,'IN RPS-2015'!$I$2:$J$5,1)),0,ROUND(IF(BB17=2,VLOOKUP(AM17,IF(AJ17&lt;$J$152,$A$154:$E$159,$F$154:$J$159),IF($B$10=VLOOKUP(AI17,$B$2:$G$4,6,TRUE),2,IF($B$10=VLOOKUP(AI17,$B$2:$G$4,6,TRUE),3,IF($D$10=VLOOKUP(AI17,$B$2:$G$4,6,TRUE),4,5))))/2,VLOOKUP(AM17,IF(AJ17&lt;$J$152,$A$154:$E$159,$F$154:$J$159),IF($B$10=VLOOKUP(AI17,$B$2:$G$4,6,TRUE),2,IF($B$10=VLOOKUP(AI17,$B$2:$G$4,6,TRUE),3,IF($D$10=VLOOKUP(AI17,$B$2:$G$4,6,TRUE),4,5)))))*(DAY(AK17)-DAY(AJ17)+1)/DAY(EOMONTH(AJ17,0)),0)))))</f>
        <v/>
      </c>
      <c r="AY17" s="461">
        <f t="shared" si="67"/>
        <v>0</v>
      </c>
      <c r="AZ17" s="464" t="str">
        <f>IF(AJ17="","",IF(AND($AG$3=$AG$1,AJ17&lt;=$AZ$1),0,IF(AND(Main!$F$22=Main!$CA$24,AJ17&gt;$AZ$1),ROUND(SUM(AM17,AO17)*10%,0),"")))</f>
        <v/>
      </c>
      <c r="BA17" s="464" t="str">
        <f>IF(AI17="","",IF(AND($AG$3=$AG$1,AJ17&lt;=$AZ$1),0,IF(OR(Main!$H$10=Main!$BH$4,Main!$H$10=Main!$BH$5),0,LOOKUP(AY17*DAY(EOMONTH(AJ17,0))/(DAY(AK17)-DAY(AJ17)+1),$H$184:$I$189))))</f>
        <v/>
      </c>
      <c r="BB17" s="497">
        <f t="shared" si="55"/>
        <v>1</v>
      </c>
      <c r="BC17" s="464"/>
      <c r="BD17" s="501" t="str">
        <f t="shared" si="56"/>
        <v/>
      </c>
      <c r="BE17" s="502" t="str">
        <f t="shared" si="85"/>
        <v/>
      </c>
      <c r="BF17" s="484" t="str">
        <f>IF(BE17="","",MIN(EOMONTH(BE17,0),VLOOKUP(BE17,'IN RPS-2015'!$O$164:$P$202,2,TRUE)-1,LOOKUP(BE17,$E$47:$F$53)-1,IF(BE17&lt;$B$2,$B$2-1,'IN RPS-2015'!$Q$9),IF(BE17&lt;$B$3,$B$3-1,'IN RPS-2015'!$Q$9),IF(BE17&lt;$B$4,$B$4-1,'IN RPS-2015'!$Q$9),LOOKUP(BE17,$H$47:$I$53)))</f>
        <v/>
      </c>
      <c r="BG17" s="493" t="str">
        <f>IF(BE17="","",VLOOKUP(BE17,'IN RPS-2015'!$P$164:$AA$202,10))</f>
        <v/>
      </c>
      <c r="BH17" s="461" t="str">
        <f t="shared" si="68"/>
        <v/>
      </c>
      <c r="BI17" s="461" t="str">
        <f>IF(BE17="","",IF(AND($AG$3=$AG$1,BE17&lt;=$AZ$1),0,ROUND(IF(BW17=3,0,IF(BW17=2,IF(BG17=VLOOKUP(BG17,'IN RPS-2015'!$I$2:$J$5,1),0,Main!$H$9)/2,IF(BG17=VLOOKUP(BG17,'IN RPS-2015'!$I$2:$J$5,1),0,Main!$H$9)))*(DAY(BF17)-DAY(BE17)+1)/DAY(EOMONTH(BE17,0)),0)))</f>
        <v/>
      </c>
      <c r="BJ17" s="461" t="str">
        <f>IF(BE17="","",IF(AND($AG$3=$AG$1,BE17&lt;=$AZ$1),0,IF(BG17=VLOOKUP(BG17,'IN RPS-2015'!$I$2:$J$5,1),0,ROUND(BH17*VLOOKUP(BE17,$AF$4:$AG$7,2)%,0))))</f>
        <v/>
      </c>
      <c r="BK17" s="461" t="str">
        <f>IF(BE17="","",IF(AND($AG$3=$AG$1,BE17&lt;=$AZ$1),0,IF(OR(BW17=3,BG17=VLOOKUP(BG17,'IN RPS-2015'!$I$2:$J$5,1)),0,ROUND(MIN(ROUND(BG17*VLOOKUP(BE17,$B$1:$G$4,2)%,0),VLOOKUP(BE17,$B$2:$I$4,IF($AG$3=$I$29,7,8),TRUE))*(DAY(BF17)-DAY(BE17)+1)/DAY(EOMONTH(BE17,0)),0))))</f>
        <v/>
      </c>
      <c r="BL17" s="491" t="str">
        <f>IF(BE17="","",IF(AND($AG$3=$AG$1,BE17&lt;=$AZ$1),0,IF(Main!$C$26="UGC",0,IF(OR(BE17&lt;DATE(2010,4,1),$I$6=VLOOKUP(BE17,$B$2:$G$4,5,TRUE),BG17=VLOOKUP(BG17,'IN RPS-2015'!$I$2:$J$5,1)),0,ROUND(IF(BW17=3,0,IF(BW17=2,MIN(ROUND(BG17*$G$13%,0),IF(BE17&lt;$J$152,$G$14,$G$15))/2,MIN(ROUND(BG17*$G$13%,0),IF(BE17&lt;$J$152,$G$14,$G$15))))*(DAY(BF17)-DAY(BE17)+1)/DAY(EOMONTH(BE17,0)),0)))))</f>
        <v/>
      </c>
      <c r="BM17" s="461" t="str">
        <f>IF(BE17="","",IF(AND($AG$3=$AG$1,BE17&lt;=$AZ$1),0,IF(Main!$C$26="UGC",0,IF(BG17=VLOOKUP(BG17,'IN RPS-2015'!$I$2:$J$5,1),0,ROUND(BH17*VLOOKUP(BE17,$AF$11:$AG$12,2)%,0)))))</f>
        <v/>
      </c>
      <c r="BN17" s="461" t="str">
        <f>IF(BE17="","",IF(AND($AG$3=$AG$1,BE17&lt;=$AZ$1),0,IF(Main!$C$26="UGC",0,IF(BE17&lt;DATE(2010,4,1),0,IF(OR(BW17=2,BW17=3,BG17=VLOOKUP(BG17,'IN RPS-2015'!$I$2:$J$5,1)),0,ROUND(IF(BE17&lt;$J$152,VLOOKUP(BE17,$B$1:$G$4,4),VLOOKUP(VLOOKUP(BE17,$B$1:$G$4,4),Main!$CE$2:$CF$5,2,FALSE))*(DAY(BF17)-DAY(BE17)+1)/DAY(EOMONTH(BE17,0)),0))))))</f>
        <v/>
      </c>
      <c r="BO17" s="461" t="str">
        <f>IF(BE17="","",IF(AND($AG$3=$AG$1,BE17&lt;=$AZ$1),0,IF(OR(BW17=2,BW17=3,$D$31=$D$28,BG17=VLOOKUP(BG17,'IN RPS-2015'!$I$2:$J$5,1)),0,ROUND(MIN(VLOOKUP(BD17,$A$27:$C$29,2,TRUE),ROUND(BG17*VLOOKUP(BD17,$A$27:$C$29,3,TRUE)%,0))*IF(BD17=$A$36,$C$36,IF(BD17=$A$37,$C$37,IF(BD17=$A$38,$C$38,IF(BD17=$A$39,$C$39,IF(BD17=$A$40,$C$40,IF(BD17=$A$41,$C$41,1))))))*(DAY(BF17)-DAY(BE17)+1)/DAY(EOMONTH(BE17,0)),0))))</f>
        <v/>
      </c>
      <c r="BP17" s="461" t="str">
        <f>IF(BE17="","",IF(AND($AG$3=$AG$1,BE17&lt;=$AZ$1),0,IF(Main!$C$26="UGC",0,IF(OR(BW17=3,BG17=VLOOKUP(BG17,'IN RPS-2015'!$I$2:$J$5,1)),0,ROUND(IF(BW17=2,VLOOKUP(BG17,IF($AG$3=$I$29,$A$20:$E$23,$F$144:$J$147),IF($B$19=VLOOKUP(BE17,$B$2:$G$4,3,TRUE),2,IF($C$19=VLOOKUP(BE17,$B$2:$G$4,3,TRUE),3,IF($D$19=VLOOKUP(BE17,$B$2:$G$4,3,TRUE),4,5))),TRUE),VLOOKUP(BG17,IF($AG$3=$I$29,$A$20:$E$23,$F$144:$J$147),IF($B$19=VLOOKUP(BE17,$B$2:$G$4,3,TRUE),2,IF($C$19=VLOOKUP(BE17,$B$2:$G$4,3,TRUE),3,IF($D$19=VLOOKUP(BE17,$B$2:$G$4,3,TRUE),4,5))),TRUE))*(DAY(BF17)-DAY(BE17)+1)/DAY(EOMONTH(BE17,0)),0)))))</f>
        <v/>
      </c>
      <c r="BQ17" s="461" t="str">
        <f>IF(BE17="","",IF(AND($AG$3=$AG$1,BE17&lt;=$AZ$1),0,IF(Main!$C$26="UGC",0,IF(OR(BD17&lt;DATE(2010,4,1),BW17=3,BG17=VLOOKUP(BG17,'IN RPS-2015'!$I$2:$J$5,1)),0,ROUND(IF(BW17=2,IF(BE17&lt;$J$152,Main!$L$9,Main!$CI$3)/2,IF(BE17&lt;$J$152,Main!$L$9,Main!$CI$3))*(DAY(BF17)-DAY(BE17)+1)/DAY(EOMONTH(BE17,0)),0)))))</f>
        <v/>
      </c>
      <c r="BR17" s="461"/>
      <c r="BS17" s="461" t="str">
        <f>IF(BE17="","",IF(AND($AG$3=$AG$1,BE17&lt;=$AZ$1),0,IF(Main!$C$26="UGC",0,IF(OR(BW17=3,BG17=VLOOKUP(BG17,'IN RPS-2015'!$I$2:$J$5,1)),0,ROUND(IF(BW17=2,VLOOKUP(BH17,IF(BE17&lt;$J$152,$A$154:$E$159,$F$154:$J$159),IF($B$10=VLOOKUP(BD17,$B$2:$G$4,6,TRUE),2,IF($B$10=VLOOKUP(BD17,$B$2:$G$4,6,TRUE),3,IF($D$10=VLOOKUP(BD17,$B$2:$G$4,6,TRUE),4,5))))/2,VLOOKUP(BH17,IF(BE17&lt;$J$152,$A$154:$E$159,$F$154:$J$159),IF($B$10=VLOOKUP(BD17,$B$2:$G$4,6,TRUE),2,IF($B$10=VLOOKUP(BD17,$B$2:$G$4,6,TRUE),3,IF($D$10=VLOOKUP(BD17,$B$2:$G$4,6,TRUE),4,5)))))*(DAY(BF17)-DAY(BE17)+1)/DAY(EOMONTH(BE17,0)),0)))))</f>
        <v/>
      </c>
      <c r="BT17" s="461">
        <f t="shared" si="69"/>
        <v>0</v>
      </c>
      <c r="BU17" s="464" t="str">
        <f>IF(BE17="","",IF(AND($AG$3=$AG$1,BE17&lt;=$AZ$1),0,IF(AND(Main!$F$22=Main!$CA$24,BE17&gt;$AZ$1),ROUND(SUM(BH17,BJ17)*10%,0),"")))</f>
        <v/>
      </c>
      <c r="BV17" s="464" t="str">
        <f>IF(BD17="","",IF(AND($AG$3=$AG$1,BE17&lt;=$AZ$1),0,IF(OR(Main!$H$10=Main!$BH$4,Main!$H$10=Main!$BH$5),0,LOOKUP(BT17*DAY(EOMONTH(BE17,0))/(DAY(BF17)-DAY(BE17)+1),$H$184:$I$189))))</f>
        <v/>
      </c>
      <c r="BW17" s="503">
        <f t="shared" si="70"/>
        <v>1</v>
      </c>
      <c r="BX17" s="457">
        <f t="shared" si="71"/>
        <v>0</v>
      </c>
      <c r="BY17" s="497"/>
      <c r="BZ17" s="497"/>
      <c r="CA17" s="457"/>
      <c r="CB17" s="461"/>
      <c r="CC17" s="499" t="str">
        <f t="shared" si="57"/>
        <v/>
      </c>
      <c r="CD17" s="500" t="str">
        <f t="shared" si="86"/>
        <v/>
      </c>
      <c r="CE17" s="484" t="str">
        <f>IF(CD17="","",MIN(EOMONTH(CD17,0),VLOOKUP(CD17,'IN RPS-2015'!$O$164:$P$202,2,TRUE)-1,LOOKUP(CD17,$E$47:$F$53)-1,IF(CD17&lt;$B$2,$B$2-1,'IN RPS-2015'!$Q$9),IF(CD17&lt;$B$3,$B$3-1,'IN RPS-2015'!$Q$9),IF(CD17&lt;$B$4,$B$4-1,'IN RPS-2015'!$Q$9),LOOKUP(CD17,$H$47:$I$53)))</f>
        <v/>
      </c>
      <c r="CF17" s="490" t="str">
        <f>IF(CD17="","",VLOOKUP(CD17,'IN RPS-2015'!$T$207:$Y$222,5))</f>
        <v/>
      </c>
      <c r="CG17" s="461" t="str">
        <f t="shared" si="72"/>
        <v/>
      </c>
      <c r="CH17" s="461" t="str">
        <f>IF(CD17="","",IF(AND($CA$3=$CA$1,CD17&lt;=$CT$1),0,ROUND(IF(CV17=3,0,IF(CV17=2,IF(CF17=VLOOKUP(CF17,'IN RPS-2015'!$I$2:$J$5,1),0,Main!$H$9)/2,IF(CF17=VLOOKUP(CF17,'IN RPS-2015'!$I$2:$J$5,1),0,Main!$H$9)))*(DAY(CE17)-DAY(CD17)+1)/DAY(EOMONTH(CD17,0)),0)))</f>
        <v/>
      </c>
      <c r="CI17" s="461" t="str">
        <f>IF(CD17="","",IF(AND($CA$3=$CA$1,CD17&lt;=$CT$1),0,IF(CF17=VLOOKUP(CF17,'IN RPS-2015'!$I$2:$J$5,1),0,ROUND(CG17*VLOOKUP(CD17,$BZ$4:$CA$7,2)%,0))))</f>
        <v/>
      </c>
      <c r="CJ17" s="461" t="str">
        <f>IF(CD17="","",IF(AND($CA$3=$CA$1,CD17&lt;=$CT$1),0,IF(OR(CV17=3,CF17=VLOOKUP(CF17,'IN RPS-2015'!$I$2:$J$5,1)),0,ROUND(MIN(ROUND(CF17*VLOOKUP(CD17,$B$1:$G$4,2)%,0),VLOOKUP(CD17,$B$2:$I$4,IF($CA$3=$I$29,7,8),TRUE))*(DAY(CE17)-DAY(CD17)+1)/DAY(EOMONTH(CD17,0)),0))))</f>
        <v/>
      </c>
      <c r="CK17" s="491" t="str">
        <f>IF(CD17="","",IF(AND($CA$3=$CA$1,CD17&lt;=$CT$1),0,IF(Main!$C$26="UGC",0,IF(OR(CD17&lt;DATE(2010,4,1),$I$6=VLOOKUP(CD17,$B$2:$G$4,5,TRUE),CF17=VLOOKUP(CF17,'IN RPS-2015'!$I$2:$J$5,1)),0,ROUND(IF(CV17=3,0,IF(CV17=2,MIN(ROUND(CF17*$G$13%,0),IF(CD17&lt;$J$152,$G$14,$G$15))/2,MIN(ROUND(CF17*$G$13%,0),IF(CD17&lt;$J$152,$G$14,$G$15))))*(DAY(CE17)-DAY(CD17)+1)/DAY(EOMONTH(CD17,0)),0)))))</f>
        <v/>
      </c>
      <c r="CL17" s="461" t="str">
        <f>IF(CD17="","",IF(AND($CA$3=$CA$1,CD17&lt;=$CT$1),0,IF(Main!$C$26="UGC",0,IF(CF17=VLOOKUP(CF17,'IN RPS-2015'!$I$2:$J$5,1),0,ROUND(CG17*VLOOKUP(CD17,$BZ$11:$CA$12,2)%,0)))))</f>
        <v/>
      </c>
      <c r="CM17" s="461" t="str">
        <f>IF(CD17="","",IF(AND($CA$3=$CA$1,CD17&lt;=$CT$1),0,IF(Main!$C$26="UGC",0,IF(CD17&lt;DATE(2010,4,1),0,IF(OR(CV17=2,CV17=3,CF17=VLOOKUP(CF17,'IN RPS-2015'!$I$2:$J$5,1)),0,ROUND(IF(CD17&lt;$J$152,VLOOKUP(CD17,$B$1:$G$4,4),VLOOKUP(VLOOKUP(CD17,$B$1:$G$4,4),Main!$CE$2:$CF$5,2,FALSE))*(DAY(CE17)-DAY(CD17)+1)/DAY(EOMONTH(CD17,0)),0))))))</f>
        <v/>
      </c>
      <c r="CN17" s="461" t="str">
        <f>IF(CD17="","",IF(AND($CA$3=$CA$1,CD17&lt;=$CT$1),0,IF(OR(CV17=2,CV17=3,$D$31=$D$28,CF17=VLOOKUP(CF17,'IN RPS-2015'!$I$2:$J$5,1)),0,ROUND(MIN(VLOOKUP(CC17,$A$27:$C$29,2,TRUE),ROUND(CF17*VLOOKUP(CC17,$A$27:$C$29,3,TRUE)%,0))*IF(CC17=$A$36,$C$36,IF(CC17=$A$37,$C$37,IF(CC17=$A$38,$C$38,IF(CC17=$A$39,$C$39,IF(CC17=$A$40,$C$40,IF(CC17=$A$41,$C$41,1))))))*(DAY(CE17)-DAY(CD17)+1)/DAY(EOMONTH(CD17,0)),0))))</f>
        <v/>
      </c>
      <c r="CO17" s="461" t="str">
        <f>IF(CD17="","",IF(AND($CA$3=$CA$1,CD17&lt;=$CT$1),0,IF(Main!$C$26="UGC",0,IF(OR(CV17=3,CF17=VLOOKUP(CF17,'IN RPS-2015'!$I$2:$J$5,1)),0,ROUND(IF(CV17=2,VLOOKUP(CF17,IF($CA$3=$I$29,$A$20:$E$23,$F$144:$J$147),IF($B$19=VLOOKUP(CD17,$B$2:$G$4,3,TRUE),2,IF($C$19=VLOOKUP(CD17,$B$2:$G$4,3,TRUE),3,IF($D$19=VLOOKUP(CD17,$B$2:$G$4,3,TRUE),4,5))),TRUE),VLOOKUP(CF17,IF($CA$3=$I$29,$A$20:$E$23,$F$144:$J$147),IF($B$19=VLOOKUP(CD17,$B$2:$G$4,3,TRUE),2,IF($C$19=VLOOKUP(CD17,$B$2:$G$4,3,TRUE),3,IF($D$19=VLOOKUP(CD17,$B$2:$G$4,3,TRUE),4,5))),TRUE))*(DAY(CE17)-DAY(CD17)+1)/DAY(EOMONTH(CD17,0)),0)))))</f>
        <v/>
      </c>
      <c r="CP17" s="461" t="str">
        <f>IF(CD17="","",IF(AND($CA$3=$CA$1,CD17&lt;=$CT$1),0,IF(Main!$C$26="UGC",0,IF(OR(CC17&lt;DATE(2010,4,1),CV17=3,CF17=VLOOKUP(CF17,'IN RPS-2015'!$I$2:$J$5,1)),0,ROUND(IF(CV17=2,IF(CD17&lt;$J$152,Main!$L$9,Main!$CI$3)/2,IF(CD17&lt;$J$152,Main!$L$9,Main!$CI$3))*(DAY(CE17)-DAY(CD17)+1)/DAY(EOMONTH(CD17,0)),0)))))</f>
        <v/>
      </c>
      <c r="CQ17" s="461"/>
      <c r="CR17" s="461" t="str">
        <f>IF(CD17="","",IF(AND($CA$3=$CA$1,CD17&lt;=$CT$1),0,IF(Main!$C$26="UGC",0,IF(OR(CV17=3,CF17=VLOOKUP(CF17,'IN RPS-2015'!$I$2:$J$5,1)),0,ROUND(IF(CV17=2,VLOOKUP(CG17,IF(CD17&lt;$J$152,$A$154:$E$159,$F$154:$J$159),IF($B$10=VLOOKUP(CC17,$B$2:$G$4,6,TRUE),2,IF($B$10=VLOOKUP(CC17,$B$2:$G$4,6,TRUE),3,IF($D$10=VLOOKUP(CC17,$B$2:$G$4,6,TRUE),4,5))))/2,VLOOKUP(CG17,IF(CD17&lt;$J$152,$A$154:$E$159,$F$154:$J$159),IF($B$10=VLOOKUP(CC17,$B$2:$G$4,6,TRUE),2,IF($B$10=VLOOKUP(CC17,$B$2:$G$4,6,TRUE),3,IF($D$10=VLOOKUP(CC17,$B$2:$G$4,6,TRUE),4,5)))))*(DAY(CE17)-DAY(CD17)+1)/DAY(EOMONTH(CD17,0)),0)))))</f>
        <v/>
      </c>
      <c r="CS17" s="461">
        <f t="shared" si="73"/>
        <v>0</v>
      </c>
      <c r="CT17" s="464" t="str">
        <f>IF(CD17="","",IF(AND($CA$3=$CA$1,CD17&lt;=$CT$1),0,IF(AND(Main!$F$22=Main!$CA$24,CD17&gt;$CT$1),ROUND(SUM(CG17,CI17)*10%,0),"")))</f>
        <v/>
      </c>
      <c r="CU17" s="464" t="str">
        <f>IF(CC17="","",IF(CG17=0,0,IF(OR(Main!$H$10=Main!$BH$4,Main!$H$10=Main!$BH$5),0,LOOKUP(CS17*DAY(EOMONTH(CD17,0))/(DAY(CE17)-DAY(CD17)+1),$H$184:$I$189))))</f>
        <v/>
      </c>
      <c r="CV17" s="457">
        <f t="shared" si="74"/>
        <v>1</v>
      </c>
      <c r="CW17" s="464"/>
      <c r="CX17" s="501" t="str">
        <f t="shared" si="59"/>
        <v/>
      </c>
      <c r="CY17" s="502" t="str">
        <f t="shared" si="87"/>
        <v/>
      </c>
      <c r="CZ17" s="484" t="str">
        <f>IF(CY17="","",MIN(EOMONTH(CY17,0),VLOOKUP(CY17,'IN RPS-2015'!$O$164:$P$202,2,TRUE)-1,LOOKUP(CY17,$E$47:$F$53)-1,IF(CY17&lt;$B$2,$B$2-1,'IN RPS-2015'!$Q$9),IF(CY17&lt;$B$3,$B$3-1,'IN RPS-2015'!$Q$9),IF(CY17&lt;$B$4,$B$4-1,'IN RPS-2015'!$Q$9),LOOKUP(CY17,$H$47:$I$53)))</f>
        <v/>
      </c>
      <c r="DA17" s="493" t="str">
        <f>IF(CY17="","",VLOOKUP(CY17,'IN RPS-2015'!$T$207:$Y$222,6))</f>
        <v/>
      </c>
      <c r="DB17" s="461" t="str">
        <f t="shared" si="75"/>
        <v/>
      </c>
      <c r="DC17" s="461" t="str">
        <f>IF(CY17="","",IF(AND($CA$3=$CA$1,CY17&lt;=$CT$1),0,ROUND(IF(DQ17=3,0,IF(DQ17=2,IF(DA17=VLOOKUP(DA17,'IN RPS-2015'!$I$2:$J$5,1),0,Main!$H$9)/2,IF(DA17=VLOOKUP(DA17,'IN RPS-2015'!$I$2:$J$5,1),0,Main!$H$9)))*(DAY(CZ17)-DAY(CY17)+1)/DAY(EOMONTH(CY17,0)),0)))</f>
        <v/>
      </c>
      <c r="DD17" s="461" t="str">
        <f>IF(CY17="","",IF(AND($CA$3=$CA$1,CY17&lt;=$CT$1),0,IF(DA17=VLOOKUP(DA17,'IN RPS-2015'!$I$2:$J$5,1),0,ROUND(DB17*VLOOKUP(CY17,$BZ$4:$CA$7,2)%,0))))</f>
        <v/>
      </c>
      <c r="DE17" s="461" t="str">
        <f>IF(CY17="","",IF(AND($CA$3=$CA$1,CY17&lt;=$CT$1),0,IF(OR(DQ17=3,DA17=VLOOKUP(DA17,'IN RPS-2015'!$I$2:$J$5,1)),0,ROUND(MIN(ROUND(DA17*VLOOKUP(CY17,$B$1:$G$4,2)%,0),VLOOKUP(CY17,$B$2:$I$4,IF($CA$3=$I$29,7,8),TRUE))*(DAY(CZ17)-DAY(CY17)+1)/DAY(EOMONTH(CY17,0)),0))))</f>
        <v/>
      </c>
      <c r="DF17" s="491" t="str">
        <f>IF(CY17="","",IF(AND($CA$3=$CA$1,CY17&lt;=$CT$1),0,IF(Main!$C$26="UGC",0,IF(OR(CY17&lt;DATE(2010,4,1),$I$6=VLOOKUP(CY17,$B$2:$G$4,5,TRUE),DA17=VLOOKUP(DA17,'IN RPS-2015'!$I$2:$J$5,1)),0,ROUND(IF(DQ17=3,0,IF(DQ17=2,MIN(ROUND(DA17*$G$13%,0),IF(CY17&lt;$J$152,$G$14,$G$15))/2,MIN(ROUND(DA17*$G$13%,0),IF(CY17&lt;$J$152,$G$14,$G$15))))*(DAY(CZ17)-DAY(CY17)+1)/DAY(EOMONTH(CY17,0)),0)))))</f>
        <v/>
      </c>
      <c r="DG17" s="461" t="str">
        <f>IF(CY17="","",IF(AND($CA$3=$CA$1,CY17&lt;=$CT$1),0,IF(Main!$C$26="UGC",0,IF(DA17=VLOOKUP(DA17,'IN RPS-2015'!$I$2:$J$5,1),0,ROUND(DB17*VLOOKUP(CY17,$BZ$11:$CA$12,2)%,0)))))</f>
        <v/>
      </c>
      <c r="DH17" s="461" t="str">
        <f>IF(CY17="","",IF(AND($CA$3=$CA$1,CY17&lt;=$CT$1),0,IF(Main!$C$26="UGC",0,IF(CY17&lt;DATE(2010,4,1),0,IF(OR(DQ17=2,DQ17=3,DA17=VLOOKUP(DA17,'IN RPS-2015'!$I$2:$J$5,1)),0,ROUND(IF(CY17&lt;$J$152,VLOOKUP(CY17,$B$1:$G$4,4),VLOOKUP(VLOOKUP(CY17,$B$1:$G$4,4),Main!$CE$2:$CF$5,2,FALSE))*(DAY(CZ17)-DAY(CY17)+1)/DAY(EOMONTH(CY17,0)),0))))))</f>
        <v/>
      </c>
      <c r="DI17" s="461" t="str">
        <f>IF(CY17="","",IF(AND($CA$3=$CA$1,CY17&lt;=$CT$1),0,IF(OR(DQ17=2,DQ17=3,$D$31=$D$28,DA17=VLOOKUP(DA17,'IN RPS-2015'!$I$2:$J$5,1)),0,ROUND(MIN(VLOOKUP(CX17,$A$27:$C$29,2,TRUE),ROUND(DA17*VLOOKUP(CX17,$A$27:$C$29,3,TRUE)%,0))*IF(CX17=$A$36,$C$36,IF(CX17=$A$37,$C$37,IF(CX17=$A$38,$C$38,IF(CX17=$A$39,$C$39,IF(CX17=$A$40,$C$40,IF(CX17=$A$41,$C$41,1))))))*(DAY(CZ17)-DAY(CY17)+1)/DAY(EOMONTH(CY17,0)),0))))</f>
        <v/>
      </c>
      <c r="DJ17" s="461" t="str">
        <f>IF(CY17="","",IF(AND($CA$3=$CA$1,CY17&lt;=$CT$1),0,IF(Main!$C$26="UGC",0,IF(OR(DQ17=3,DA17=VLOOKUP(DA17,'IN RPS-2015'!$I$2:$J$5,1)),0,ROUND(IF(DQ17=2,VLOOKUP(DA17,IF($CA$3=$I$29,$A$20:$E$23,$F$144:$J$147),IF($B$19=VLOOKUP(CY17,$B$2:$G$4,3,TRUE),2,IF($C$19=VLOOKUP(CY17,$B$2:$G$4,3,TRUE),3,IF($D$19=VLOOKUP(CY17,$B$2:$G$4,3,TRUE),4,5))),TRUE),VLOOKUP(DA17,IF($CA$3=$I$29,$A$20:$E$23,$F$144:$J$147),IF($B$19=VLOOKUP(CY17,$B$2:$G$4,3,TRUE),2,IF($C$19=VLOOKUP(CY17,$B$2:$G$4,3,TRUE),3,IF($D$19=VLOOKUP(CY17,$B$2:$G$4,3,TRUE),4,5))),TRUE))*(DAY(CZ17)-DAY(CY17)+1)/DAY(EOMONTH(CY17,0)),0)))))</f>
        <v/>
      </c>
      <c r="DK17" s="461" t="str">
        <f>IF(CY17="","",IF(AND($CA$3=$CA$1,CY17&lt;=$CT$1),0,IF(Main!$C$26="UGC",0,IF(OR(CX17&lt;DATE(2010,4,1),DQ17=3,DA17=VLOOKUP(DA17,'IN RPS-2015'!$I$2:$J$5,1)),0,ROUND(IF(DQ17=2,IF(CY17&lt;$J$152,Main!$L$9,Main!$CI$3)/2,IF(CY17&lt;$J$152,Main!$L$9,Main!$CI$3))*(DAY(CZ17)-DAY(CY17)+1)/DAY(EOMONTH(CY17,0)),0)))))</f>
        <v/>
      </c>
      <c r="DL17" s="461"/>
      <c r="DM17" s="461" t="str">
        <f>IF(CY17="","",IF(AND($CA$3=$CA$1,CY17&lt;=$CT$1),0,IF(Main!$C$26="UGC",0,IF(OR(DQ17=3,DA17=VLOOKUP(DA17,'IN RPS-2015'!$I$2:$J$5,1)),0,ROUND(IF(DQ17=2,VLOOKUP(DB17,IF(CY17&lt;$J$152,$A$154:$E$159,$F$154:$J$159),IF($B$10=VLOOKUP(CX17,$B$2:$G$4,6,TRUE),2,IF($B$10=VLOOKUP(CX17,$B$2:$G$4,6,TRUE),3,IF($D$10=VLOOKUP(CX17,$B$2:$G$4,6,TRUE),4,5))))/2,VLOOKUP(DB17,IF(CY17&lt;$J$152,$A$154:$E$159,$F$154:$J$159),IF($B$10=VLOOKUP(CX17,$B$2:$G$4,6,TRUE),2,IF($B$10=VLOOKUP(CX17,$B$2:$G$4,6,TRUE),3,IF($D$10=VLOOKUP(CX17,$B$2:$G$4,6,TRUE),4,5)))))*(DAY(CZ17)-DAY(CY17)+1)/DAY(EOMONTH(CY17,0)),0)))))</f>
        <v/>
      </c>
      <c r="DN17" s="461">
        <f t="shared" si="76"/>
        <v>0</v>
      </c>
      <c r="DO17" s="464" t="str">
        <f>IF(CY17="","",IF(AND($CA$3=$CA$1,CY17&lt;=$CT$1),0,IF(AND(Main!$F$22=Main!$CA$24,CY17&gt;$CT$1),ROUND(SUM(DB17,DD17)*10%,0),"")))</f>
        <v/>
      </c>
      <c r="DP17" s="464" t="str">
        <f>IF(CX17="","",IF(AND($CA$3=$CA$1,CY17&lt;=$CT$1),0,IF(OR(Main!$H$10=Main!$BH$4,Main!$H$10=Main!$BH$5),0,LOOKUP(DN17*DAY(EOMONTH(CY17,0))/(DAY(CZ17)-DAY(CY17)+1),$H$184:$I$189))))</f>
        <v/>
      </c>
      <c r="DQ17" s="457">
        <f t="shared" si="60"/>
        <v>1</v>
      </c>
      <c r="DR17" s="457">
        <f t="shared" si="77"/>
        <v>0</v>
      </c>
      <c r="DS17" s="497"/>
      <c r="DT17" s="497"/>
      <c r="DU17" s="457"/>
      <c r="DV17" s="461"/>
      <c r="DW17" s="499" t="str">
        <f t="shared" si="61"/>
        <v/>
      </c>
      <c r="DX17" s="500" t="str">
        <f t="shared" si="88"/>
        <v/>
      </c>
      <c r="DY17" s="484" t="str">
        <f>IF(DX17="","",MIN(EOMONTH(DX17,0),VLOOKUP(DX17,'IN RPS-2015'!$O$164:$P$202,2,TRUE)-1,LOOKUP(DX17,$E$47:$F$53)-1,IF(DX17&lt;$B$2,$B$2-1,'IN RPS-2015'!$Q$9),IF(DX17&lt;$B$3,$B$3-1,'IN RPS-2015'!$Q$9),IF(DX17&lt;$B$4,$B$4-1,'IN RPS-2015'!$Q$9),LOOKUP(DX17,$H$47:$I$53)))</f>
        <v/>
      </c>
      <c r="DZ17" s="490" t="str">
        <f>IF(DX17="","",VLOOKUP(DX17,'IN RPS-2015'!$P$164:$AA$202,11))</f>
        <v/>
      </c>
      <c r="EA17" s="461" t="str">
        <f t="shared" si="78"/>
        <v/>
      </c>
      <c r="EB17" s="461" t="str">
        <f>IF(DX17="","",ROUND(IF(EP17=3,0,IF(EP17=2,IF(DZ17=VLOOKUP(DZ17,'IN RPS-2015'!$I$2:$J$5,1),0,Main!$H$9)/2,IF(DZ17=VLOOKUP(DZ17,'IN RPS-2015'!$I$2:$J$5,1),0,Main!$H$9)))*(DAY(DY17)-DAY(DX17)+1)/DAY(EOMONTH(DX17,0)),0))</f>
        <v/>
      </c>
      <c r="EC17" s="461" t="str">
        <f>IF(DX17="","",IF(DZ17=VLOOKUP(DZ17,'IN RPS-2015'!$I$2:$J$5,1),0,ROUND(EA17*VLOOKUP(DX17,$DT$4:$DU$7,2)%,0)))</f>
        <v/>
      </c>
      <c r="ED17" s="461" t="str">
        <f>IF(DX17="","",IF(OR(EP17=3,DZ17=VLOOKUP(DZ17,'IN RPS-2015'!$I$2:$J$5,1)),0,ROUND(MIN(ROUND(DZ17*VLOOKUP(DX17,$B$1:$G$4,2)%,0),VLOOKUP(DX17,$B$2:$I$4,IF($DU$3=$I$29,7,8),TRUE))*(DAY(DY17)-DAY(DX17)+1)/DAY(EOMONTH(DX17,0)),0)))</f>
        <v/>
      </c>
      <c r="EE17" s="491" t="str">
        <f>IF(DX17="","",IF(Main!$C$26="UGC",0,IF(OR(DX17&lt;DATE(2010,4,1),$I$6=VLOOKUP(DX17,$B$2:$G$4,5,TRUE),DZ17=VLOOKUP(DZ17,'IN RPS-2015'!$I$2:$J$5,1)),0,ROUND(IF(EP17=3,0,IF(EP17=2,MIN(ROUND(DZ17*$G$13%,0),IF(DX17&lt;$I$152,$G$14,$G$15))/2,MIN(ROUND(DZ17*$G$13%,0),IF(DX17&lt;$I$152,$G$14,$G$15))))*(DAY(DY17)-DAY(DX17)+1)/DAY(EOMONTH(DX17,0)),0))))</f>
        <v/>
      </c>
      <c r="EF17" s="461" t="str">
        <f>IF(DX17="","",IF(Main!$C$26="UGC",0,IF(DZ17=VLOOKUP(DZ17,'IN RPS-2015'!$I$2:$J$5,1),0,ROUND(EA17*VLOOKUP(DX17,$DT$11:$DU$12,2)%,0))))</f>
        <v/>
      </c>
      <c r="EG17" s="461" t="str">
        <f>IF(DX17="","",IF(Main!$C$26="UGC",0,IF(DX17&lt;DATE(2010,4,1),0,IF(OR(EP17=2,EP17=3,DZ17=VLOOKUP(DZ17,'IN RPS-2015'!$I$2:$J$5,1)),0,ROUND(IF(DX17&lt;$I$152,VLOOKUP(DX17,$B$1:$G$4,4),VLOOKUP(VLOOKUP(DX17,$B$1:$G$4,4),Main!$CE$2:$CF$5,2,FALSE))*(DAY(DY17)-DAY(DX17)+1)/DAY(EOMONTH(DX17,0)),0)))))</f>
        <v/>
      </c>
      <c r="EH17" s="461" t="str">
        <f>IF(DX17="","",IF(OR(EP17=2,EP17=3,$D$31=$D$28,DZ17=VLOOKUP(DZ17,'IN RPS-2015'!$I$2:$J$5,1)),0,ROUND(MIN(IF(DX17&lt;$I$152,900,1350),ROUND(DZ17*VLOOKUP(DW17,$A$27:$C$29,3,TRUE)%,0))*IF(DW17=$A$36,$C$36,IF(DW17=$A$37,$C$37,IF(DW17=$A$38,$C$38,IF(DW17=$A$39,$C$39,IF(DW17=$A$40,$C$40,IF(DW17=$A$41,$C$41,1))))))*(DAY(DY17)-DAY(DX17)+1)/DAY(EOMONTH(DX17,0)),0)))</f>
        <v/>
      </c>
      <c r="EI17" s="461" t="str">
        <f>IF(DX17="","",IF(Main!$C$26="UGC",0,IF(OR(EP17=3,DZ17=VLOOKUP(DZ17,'IN RPS-2015'!$I$2:$J$5,1)),0,ROUND(IF(EP17=2,VLOOKUP(DZ17,IF($DU$3=$I$29,$A$20:$E$23,$F$144:$J$147),IF($B$19=VLOOKUP(DX17,$B$2:$G$4,3,TRUE),2,IF($C$19=VLOOKUP(DX17,$B$2:$G$4,3,TRUE),3,IF($D$19=VLOOKUP(DX17,$B$2:$G$4,3,TRUE),4,5))),TRUE),VLOOKUP(DZ17,IF($DU$3=$I$29,$A$20:$E$23,$F$144:$J$147),IF($B$19=VLOOKUP(DX17,$B$2:$G$4,3,TRUE),2,IF($C$19=VLOOKUP(DX17,$B$2:$G$4,3,TRUE),3,IF($D$19=VLOOKUP(DX17,$B$2:$G$4,3,TRUE),4,5))),TRUE))*(DAY(DY17)-DAY(DX17)+1)/DAY(EOMONTH(DX17,0)),0))))</f>
        <v/>
      </c>
      <c r="EJ17" s="461" t="str">
        <f>IF(DX17="","",IF(Main!$C$26="UGC",0,IF(OR(DW17&lt;DATE(2010,4,1),EP17=3,DZ17=VLOOKUP(DZ17,'IN RPS-2015'!$I$2:$J$5,1)),0,ROUND(IF(EP17=2,IF(DX17&lt;$I$152,Main!$L$9,Main!$CI$3)/2,IF(DX17&lt;$I$152,Main!$L$9,Main!$CI$3))*(DAY(DY17)-DAY(DX17)+1)/DAY(EOMONTH(DX17,0)),0))))</f>
        <v/>
      </c>
      <c r="EK17" s="461"/>
      <c r="EL17" s="461" t="str">
        <f>IF(DX17="","",IF(Main!$C$26="UGC",0,IF(OR(EP17=3,DZ17=VLOOKUP(DZ17,'IN RPS-2015'!$I$2:$J$5,1)),0,ROUND(IF(EP17=2,VLOOKUP(EA17,IF(DX17&lt;$I$152,$A$154:$E$159,$F$154:$J$159),IF($B$10=VLOOKUP(DW17,$B$2:$G$4,6,TRUE),2,IF($B$10=VLOOKUP(DW17,$B$2:$G$4,6,TRUE),3,IF($D$10=VLOOKUP(DW17,$B$2:$G$4,6,TRUE),4,5))))/2,VLOOKUP(EA17,IF(DX17&lt;$I$152,$A$154:$E$159,$F$154:$J$159),IF($B$10=VLOOKUP(DW17,$B$2:$G$4,6,TRUE),2,IF($B$10=VLOOKUP(DW17,$B$2:$G$4,6,TRUE),3,IF($D$10=VLOOKUP(DW17,$B$2:$G$4,6,TRUE),4,5)))))*(DAY(DY17)-DAY(DX17)+1)/DAY(EOMONTH(DX17,0)),0))))</f>
        <v/>
      </c>
      <c r="EM17" s="461">
        <f t="shared" si="79"/>
        <v>0</v>
      </c>
      <c r="EN17" s="464" t="str">
        <f>IF(DX17="","",IF(AND(Main!$F$22=Main!$CA$24,DX17&gt;$EN$1),ROUND(SUM(EA17,EC17)*10%,0),""))</f>
        <v/>
      </c>
      <c r="EO17" s="464" t="str">
        <f>IF(DW17="","",IF(EA17=0,0,IF(OR(Main!$H$10=Main!$BH$4,Main!$H$10=Main!$BH$5),0,LOOKUP(EM17*DAY(EOMONTH(DX17,0))/(DAY(DY17)-DAY(DX17)+1),$H$184:$I$189))))</f>
        <v/>
      </c>
      <c r="EP17" s="457">
        <f t="shared" si="62"/>
        <v>1</v>
      </c>
      <c r="ER17" s="497"/>
      <c r="ET17" s="461"/>
      <c r="EU17" s="499" t="str">
        <f t="shared" si="63"/>
        <v/>
      </c>
      <c r="EV17" s="500" t="str">
        <f t="shared" si="89"/>
        <v/>
      </c>
      <c r="EW17" s="484" t="str">
        <f>IF(EV17="","",MIN(EOMONTH(EV17,0),VLOOKUP(EV17,'IN RPS-2015'!$O$164:$P$202,2,TRUE)-1,LOOKUP(EV17,$E$47:$F$53)-1,IF(EV17&lt;$B$2,$B$2-1,'IN RPS-2015'!$Q$9),IF(EV17&lt;$B$3,$B$3-1,'IN RPS-2015'!$Q$9),IF(EV17&lt;$B$4,$B$4-1,'IN RPS-2015'!$Q$9),LOOKUP(EV17,$H$47:$I$53)))</f>
        <v/>
      </c>
      <c r="EX17" s="490" t="str">
        <f>IF(EV17="","",VLOOKUP(EV17,'IN RPS-2015'!$P$164:$AA$202,12))</f>
        <v/>
      </c>
      <c r="EY17" s="461" t="str">
        <f t="shared" si="80"/>
        <v/>
      </c>
      <c r="EZ17" s="461" t="str">
        <f>IF(EV17="","",ROUND(IF(FN17=3,0,IF(FN17=2,IF(EX17=VLOOKUP(EX17,'IN RPS-2015'!$I$2:$J$5,1),0,Main!$H$9)/2,IF(EX17=VLOOKUP(EX17,'IN RPS-2015'!$I$2:$J$5,1),0,Main!$H$9)))*(DAY(EW17)-DAY(EV17)+1)/DAY(EOMONTH(EV17,0)),0))</f>
        <v/>
      </c>
      <c r="FA17" s="461" t="str">
        <f>IF(EV17="","",IF(EX17=VLOOKUP(EX17,'IN RPS-2015'!$I$2:$J$5,1),0,ROUND(EY17*VLOOKUP(EV17,$ER$4:$ES$7,2)%,0)))</f>
        <v/>
      </c>
      <c r="FB17" s="461" t="str">
        <f>IF(EV17="","",IF(OR(FN17=3,EX17=VLOOKUP(EX17,'IN RPS-2015'!$I$2:$J$5,1)),0,ROUND(MIN(ROUND(EX17*VLOOKUP(EV17,$B$1:$G$4,2)%,0),VLOOKUP(EV17,$B$2:$I$4,IF($ES$3=$I$29,7,8),TRUE))*(DAY(EW17)-DAY(EV17)+1)/DAY(EOMONTH(EV17,0)),0)))</f>
        <v/>
      </c>
      <c r="FC17" s="491" t="str">
        <f>IF(EV17="","",IF(Main!$C$26="UGC",0,IF(OR(EV17&lt;DATE(2010,4,1),$I$6=VLOOKUP(EV17,$B$2:$G$4,5,TRUE),EX17=VLOOKUP(EX17,'IN RPS-2015'!$I$2:$J$5,1)),0,ROUND(IF(FN17=3,0,IF(FN17=2,MIN(ROUND(EX17*$G$13%,0),IF(EV17&lt;$J$152,$G$14,$G$15))/2,MIN(ROUND(EX17*$G$13%,0),IF(EV17&lt;$J$152,$G$14,$G$15))))*(DAY(EW17)-DAY(EV17)+1)/DAY(EOMONTH(EV17,0)),0))))</f>
        <v/>
      </c>
      <c r="FD17" s="461" t="str">
        <f>IF(EV17="","",IF(Main!$C$26="UGC",0,IF(EX17=VLOOKUP(EX17,'IN RPS-2015'!$I$2:$J$5,1),0,ROUND(EY17*VLOOKUP(EV17,$ER$11:$ES$12,2)%,0))))</f>
        <v/>
      </c>
      <c r="FE17" s="461" t="str">
        <f>IF(EV17="","",IF(Main!$C$26="UGC",0,IF(EV17&lt;DATE(2010,4,1),0,IF(OR(FN17=2,FN17=3,EX17=VLOOKUP(EX17,'IN RPS-2015'!$I$2:$J$5,1)),0,ROUND(IF(EV17&lt;$J$152,VLOOKUP(EV17,$B$1:$G$4,4),VLOOKUP(VLOOKUP(EV17,$B$1:$G$4,4),Main!$CE$2:$CF$5,2,FALSE))*(DAY(EW17)-DAY(EV17)+1)/DAY(EOMONTH(EV17,0)),0)))))</f>
        <v/>
      </c>
      <c r="FF17" s="461" t="str">
        <f>IF(EV17="","",IF(OR(FN17=2,FN17=3,$D$31=$D$28,EX17=VLOOKUP(EX17,'IN RPS-2015'!$I$2:$J$5,1)),0,ROUND(MIN(VLOOKUP(EU17,$A$27:$C$29,2,TRUE),ROUND(EX17*VLOOKUP(EU17,$A$27:$C$29,3,TRUE)%,0))*IF(EU17=$A$36,$C$36,IF(EU17=$A$37,$C$37,IF(EU17=$A$38,$C$38,IF(EU17=$A$39,$C$39,IF(EU17=$A$40,$C$40,IF(EU17=$A$41,$C$41,1))))))*(DAY(EW17)-DAY(EV17)+1)/DAY(EOMONTH(EV17,0)),0)))</f>
        <v/>
      </c>
      <c r="FG17" s="461" t="str">
        <f>IF(EV17="","",IF(Main!$C$26="UGC",0,IF(OR(FN17=3,EX17=VLOOKUP(EX17,'IN RPS-2015'!$I$2:$J$5,1)),0,ROUND(IF(FN17=2,VLOOKUP(EX17,IF($ES$3=$I$29,$A$20:$E$23,$F$144:$J$147),IF($B$19=VLOOKUP(EV17,$B$2:$G$4,3,TRUE),2,IF($C$19=VLOOKUP(EV17,$B$2:$G$4,3,TRUE),3,IF($D$19=VLOOKUP(EV17,$B$2:$G$4,3,TRUE),4,5))),TRUE),VLOOKUP(EX17,IF($ES$3=$I$29,$A$20:$E$23,$F$144:$J$147),IF($B$19=VLOOKUP(EV17,$B$2:$G$4,3,TRUE),2,IF($C$19=VLOOKUP(EV17,$B$2:$G$4,3,TRUE),3,IF($D$19=VLOOKUP(EV17,$B$2:$G$4,3,TRUE),4,5))),TRUE))*(DAY(EW17)-DAY(EV17)+1)/DAY(EOMONTH(EV17,0)),0))))</f>
        <v/>
      </c>
      <c r="FH17" s="461" t="str">
        <f>IF(EV17="","",IF(Main!$C$26="UGC",0,IF(OR(EU17&lt;DATE(2010,4,1),FN17=3,EX17=VLOOKUP(EX17,'IN RPS-2015'!$I$2:$J$5,1)),0,ROUND(IF(FN17=2,IF(EV17&lt;$J$152,Main!$L$9,Main!$CI$3)/2,IF(EV17&lt;$J$152,Main!$L$9,Main!$CI$3))*(DAY(EW17)-DAY(EV17)+1)/DAY(EOMONTH(EV17,0)),0))))</f>
        <v/>
      </c>
      <c r="FI17" s="461"/>
      <c r="FJ17" s="461" t="str">
        <f>IF(EV17="","",IF(Main!$C$26="UGC",0,IF(OR(FN17=3,EX17=VLOOKUP(EX17,'IN RPS-2015'!$I$2:$J$5,1)),0,ROUND(IF(FN17=2,VLOOKUP(EY17,IF(EV17&lt;$J$152,$A$154:$E$159,$F$154:$J$159),IF($B$10=VLOOKUP(EU17,$B$2:$G$4,6,TRUE),2,IF($B$10=VLOOKUP(EU17,$B$2:$G$4,6,TRUE),3,IF($D$10=VLOOKUP(EU17,$B$2:$G$4,6,TRUE),4,5))))/2,VLOOKUP(EY17,IF(EV17&lt;$J$152,$A$154:$E$159,$F$154:$J$159),IF($B$10=VLOOKUP(EU17,$B$2:$G$4,6,TRUE),2,IF($B$10=VLOOKUP(EU17,$B$2:$G$4,6,TRUE),3,IF($D$10=VLOOKUP(EU17,$B$2:$G$4,6,TRUE),4,5)))))*(DAY(EW17)-DAY(EV17)+1)/DAY(EOMONTH(EV17,0)),0))))</f>
        <v/>
      </c>
      <c r="FK17" s="461">
        <f t="shared" si="81"/>
        <v>0</v>
      </c>
      <c r="FL17" s="464" t="str">
        <f>IF(EV17="","",IF(AND(Main!$F$22=Main!$CA$24,EV17&gt;$FL$1),ROUND(SUM(EY17,FA17)*10%,0),""))</f>
        <v/>
      </c>
      <c r="FM17" s="464" t="str">
        <f>IF(EU17="","",IF(EY17=0,0,IF(OR(Main!$H$10=Main!$BH$4,Main!$H$10=Main!$BH$5),0,LOOKUP(FK17*DAY(EOMONTH(EV17,0))/(DAY(EW17)-DAY(EV17)+1),$H$184:$I$189))))</f>
        <v/>
      </c>
      <c r="FN17" s="457">
        <f t="shared" si="64"/>
        <v>1</v>
      </c>
    </row>
    <row r="18" spans="1:170">
      <c r="A18" s="7" t="s">
        <v>338</v>
      </c>
      <c r="B18" s="7"/>
      <c r="C18" s="7"/>
      <c r="D18" s="7"/>
      <c r="K18" s="494" t="str">
        <f t="shared" si="65"/>
        <v/>
      </c>
      <c r="L18" s="495" t="str">
        <f t="shared" si="82"/>
        <v/>
      </c>
      <c r="M18" s="484" t="str">
        <f>IF(L18="","",MIN(EOMONTH(L18,0),VLOOKUP(L18,'IN RPS-2015'!$O$164:$P$202,2,TRUE)-1,LOOKUP(L18,$E$47:$F$53)-1,IF(L18&lt;$B$2,$B$2-1,'IN RPS-2015'!$Q$9),IF(L18&lt;$B$3,$B$3-1,'IN RPS-2015'!$Q$9),IF(L18&lt;$B$4,$B$4-1,'IN RPS-2015'!$Q$9),LOOKUP(L18,$H$47:$I$53)))</f>
        <v/>
      </c>
      <c r="N18" s="496" t="str">
        <f>IF(L18="","",VLOOKUP(L18,'Advance Tax'!$A$3:$C$14,3))</f>
        <v/>
      </c>
      <c r="O18" s="509" t="str">
        <f t="shared" si="52"/>
        <v/>
      </c>
      <c r="P18" s="497" t="str">
        <f>IF(L18="","",ROUND(IF(AD18=3,0,IF(AD18=2,IF(N18=VLOOKUP(N18,'IN RPS-2015'!$I$2:$J$5,1),0,Main!$H$9)/2,IF(N18=VLOOKUP(N18,'IN RPS-2015'!$I$2:$J$5,1),0,Main!$H$9)))*(DAY(M18)-DAY(L18)+1)/DAY(EOMONTH(L18,0)),0))</f>
        <v/>
      </c>
      <c r="Q18" s="457" t="str">
        <f>IF(L18="","",IF(N18=VLOOKUP(N18,'IN RPS-2015'!$I$2:$J$5,1),0,ROUND(O18*IF(L18&lt;Main!$C$27,VLOOKUP(L18,$H$9:$J$12,3),VLOOKUP(L18,$H$9:$J$12,2))%,0)))</f>
        <v/>
      </c>
      <c r="R18" s="457" t="str">
        <f>IF(L18="","",IF(OR(AD18=3,N18=VLOOKUP(N18,'IN RPS-2015'!$I$2:$J$5,1)),0,ROUND(MIN(ROUND(N18*VLOOKUP(L18,$B$1:$G$4,2)%,0),VLOOKUP(L18,$B$2:$I$4,IF(L18&lt;$G$7,7,8),TRUE))*(DAY(M18)-DAY(L18)+1)/DAY(EOMONTH(L18,0)),0)))</f>
        <v/>
      </c>
      <c r="S18" s="486" t="str">
        <f>IF(L18="","",IF(Main!$C$26="UGC",0,IF(OR(L18&lt;DATE(2010,4,1),$I$6=VLOOKUP(L18,$B$2:$G$4,5,TRUE),N18=VLOOKUP(N18,'IN RPS-2015'!$I$2:$J$5,1)),0,ROUND(IF(AD18=3,0,IF(AD18=2,MIN(ROUND(N18*$G$13%,0),IF(L18&lt;$J$152,$G$14,$G$15))/2,MIN(ROUND(N18*$G$13%,0),IF(L18&lt;$J$152,$G$14,$G$15))))*(DAY(M18)-DAY(L18)+1)/DAY(EOMONTH(L18,0)),0))))</f>
        <v/>
      </c>
      <c r="T18" s="457" t="str">
        <f>IF(L18="","",IF(Main!$C$26="UGC",0,IF(N18=VLOOKUP(N18,'IN RPS-2015'!$I$2:$J$5,1),0,ROUND(O18*VLOOKUP(L18,$H$205:$I$206,2)%,0))))</f>
        <v/>
      </c>
      <c r="U18" s="457" t="str">
        <f>IF(L18="","",IF(Main!$C$26="UGC",0,IF(L18&lt;DATE(2010,4,1),0,IF(OR(AD18=2,AD18=3,N18=VLOOKUP(N18,'IN RPS-2015'!$I$2:$J$5,1)),0,ROUND(IF(L18&lt;$J$152,VLOOKUP(L18,$B$1:$G$4,4),VLOOKUP(VLOOKUP(L18,$B$1:$G$4,4),Main!$CE$2:$CF$5,2,FALSE))*(DAY(M18)-DAY(L18)+1)/DAY(EOMONTH(L18,0)),0)))))</f>
        <v/>
      </c>
      <c r="V18" s="457" t="str">
        <f>IF(L18="","",IF(OR(AD18=2,AD18=3,$D$31=$D$28,N18=VLOOKUP(N18,'IN RPS-2015'!$I$2:$J$5,1)),0,ROUND(MIN(VLOOKUP(K18,$A$27:$C$29,2,TRUE),ROUND(N18*VLOOKUP(K18,$A$27:$C$29,3,TRUE)%,0))*IF(K18=$A$36,$C$36,IF(K18=$A$37,$C$37,IF(K18=$A$38,$C$38,IF(K18=$A$39,$C$39,IF(K18=$A$40,$C$40,IF(K18=$A$41,$C$41,1))))))*(DAY(M18)-DAY(L18)+1)/DAY(EOMONTH(L18,0)),0)))</f>
        <v/>
      </c>
      <c r="W18" s="457" t="str">
        <f>IF(L18="","",IF(Main!$C$26="UGC",0,IF(OR(AD18=3,N18=VLOOKUP(N18,'IN RPS-2015'!$I$2:$J$5,1)),0,ROUND(IF(AD18=2,VLOOKUP(N18,IF(L18&lt;$G$7,$A$20:$E$23,$F$144:$J$147),IF($B$19=VLOOKUP(L18,$B$2:$G$4,3,TRUE),2,IF($C$19=VLOOKUP(L18,$B$2:$G$4,3,TRUE),3,IF($D$19=VLOOKUP(L18,$B$2:$G$4,3,TRUE),4,5))),TRUE),VLOOKUP(N18,IF(L18&lt;$G$7,$A$20:$E$23,$F$144:$J$147),IF($B$19=VLOOKUP(L18,$B$2:$G$4,3,TRUE),2,IF($C$19=VLOOKUP(L18,$B$2:$G$4,3,TRUE),3,IF($D$19=VLOOKUP(L18,$B$2:$G$4,3,TRUE),4,5))),TRUE))*(DAY(M18)-DAY(L18)+1)/DAY(EOMONTH(L18,0)),0))))</f>
        <v/>
      </c>
      <c r="X18" s="457" t="str">
        <f>IF(L18="","",IF(Main!$C$26="UGC",0,IF(OR(K18&lt;DATE(2010,4,1),AD18=3,N18=VLOOKUP(N18,'IN RPS-2015'!$I$2:$J$5,1)),0,ROUND(IF(AD18=2,IF(L18&lt;$J$152,Main!$L$9,Main!$CI$3)/2,IF(L18&lt;$J$152,Main!$L$9,Main!$CI$3))*(DAY(M18)-DAY(L18)+1)/DAY(EOMONTH(L18,0)),0))))</f>
        <v/>
      </c>
      <c r="Y18" s="497"/>
      <c r="Z18" s="457" t="str">
        <f>IF(L18="","",IF(Main!$C$26="UGC",0,IF(OR(AD18=3,N18=VLOOKUP(N18,'IN RPS-2015'!$I$2:$J$5,1)),0,ROUND(IF(AD18=2,VLOOKUP(O18,IF(L18&lt;$J$152,$A$154:$E$159,$F$154:$J$159),IF($B$10=VLOOKUP(K18,$B$2:$G$4,6,TRUE),2,IF($B$10=VLOOKUP(K18,$B$2:$G$4,6,TRUE),3,IF($D$10=VLOOKUP(K18,$B$2:$G$4,6,TRUE),4,5))))/2,VLOOKUP(O18,IF(L18&lt;$J$152,$A$154:$E$159,$F$154:$J$159),IF($B$10=VLOOKUP(K18,$B$2:$G$4,6,TRUE),2,IF($B$10=VLOOKUP(K18,$B$2:$G$4,6,TRUE),3,IF($D$10=VLOOKUP(K18,$B$2:$G$4,6,TRUE),4,5)))))*(DAY(M18)-DAY(L18)+1)/DAY(EOMONTH(L18,0)),0))))</f>
        <v/>
      </c>
      <c r="AA18" s="497">
        <f t="shared" si="83"/>
        <v>0</v>
      </c>
      <c r="AB18" s="497"/>
      <c r="AC18" s="497"/>
      <c r="AD18" s="497">
        <f t="shared" si="53"/>
        <v>1</v>
      </c>
      <c r="AE18" s="497"/>
      <c r="AF18" s="497"/>
      <c r="AH18" s="461"/>
      <c r="AI18" s="499" t="str">
        <f t="shared" si="54"/>
        <v/>
      </c>
      <c r="AJ18" s="500" t="str">
        <f t="shared" si="84"/>
        <v/>
      </c>
      <c r="AK18" s="484" t="str">
        <f>IF(AJ18="","",MIN(EOMONTH(AJ18,0),VLOOKUP(AJ18,'IN RPS-2015'!$O$164:$P$202,2,TRUE)-1,LOOKUP(AJ18,$E$47:$F$53)-1,IF(AJ18&lt;$B$2,$B$2-1,'IN RPS-2015'!$Q$9),IF(AJ18&lt;$B$3,$B$3-1,'IN RPS-2015'!$Q$9),IF(AJ18&lt;$B$4,$B$4-1,'IN RPS-2015'!$Q$9),LOOKUP(AJ18,$H$47:$I$53)))</f>
        <v/>
      </c>
      <c r="AL18" s="490" t="str">
        <f>IF(AJ18="","",VLOOKUP(AJ18,'IN RPS-2015'!$P$164:$AA$202,9))</f>
        <v/>
      </c>
      <c r="AM18" s="461" t="str">
        <f t="shared" si="66"/>
        <v/>
      </c>
      <c r="AN18" s="461" t="str">
        <f>IF(AJ18="","",IF(AND($AG$3=$AG$1,AJ18&lt;=$AZ$1),0,ROUND(IF(BB18=3,0,IF(BB18=2,IF(AL18=VLOOKUP(AL18,'IN RPS-2015'!$I$2:$J$5,1),0,Main!$H$9)/2,IF(AL18=VLOOKUP(AL18,'IN RPS-2015'!$I$2:$J$5,1),0,Main!$H$9)))*(DAY(AK18)-DAY(AJ18)+1)/DAY(EOMONTH(AJ18,0)),0)))</f>
        <v/>
      </c>
      <c r="AO18" s="461" t="str">
        <f>IF(AJ18="","",IF(AND($AG$3=$AG$1,AJ18&lt;=$AZ$1),0,IF(AL18=VLOOKUP(AL18,'IN RPS-2015'!$I$2:$J$5,1),0,ROUND(AM18*VLOOKUP(AJ18,$AF$4:$AG$7,2)%,0))))</f>
        <v/>
      </c>
      <c r="AP18" s="461" t="str">
        <f>IF(AJ18="","",IF(AND($AG$3=$AG$1,AJ18&lt;=$AZ$1),0,IF(OR(BB18=3,AL18=VLOOKUP(AL18,'IN RPS-2015'!$I$2:$J$5,1)),0,ROUND(MIN(ROUND(AL18*VLOOKUP(AJ18,$B$1:$G$4,2)%,0),VLOOKUP(AJ18,$B$2:$I$4,IF($AG$3=$I$29,7,8),TRUE))*(DAY(AK18)-DAY(AJ18)+1)/DAY(EOMONTH(AJ18,0)),0))))</f>
        <v/>
      </c>
      <c r="AQ18" s="491" t="str">
        <f>IF(AJ18="","",IF(AND($AG$3=$AG$1,AJ18&lt;=$AZ$1),0,IF(Main!$C$26="UGC",0,IF(OR(AJ18&lt;DATE(2010,4,1),$I$6=VLOOKUP(AJ18,$B$2:$G$4,5,TRUE),AL18=VLOOKUP(AL18,'IN RPS-2015'!$I$2:$J$5,1)),0,ROUND(IF(BB18=3,0,IF(BB18=2,MIN(ROUND(AL18*$G$13%,0),IF(AJ18&lt;$J$152,$G$14,$G$15))/2,MIN(ROUND(AL18*$G$13%,0),IF(AJ18&lt;$J$152,$G$14,$G$15))))*(DAY(AK18)-DAY(AJ18)+1)/DAY(EOMONTH(AJ18,0)),0)))))</f>
        <v/>
      </c>
      <c r="AR18" s="461" t="str">
        <f>IF(AJ18="","",IF(AND($AG$3=$AG$1,AJ18&lt;=$AZ$1),0,IF(Main!$C$26="UGC",0,IF(AL18=VLOOKUP(AL18,'IN RPS-2015'!$I$2:$J$5,1),0,ROUND(AM18*VLOOKUP(AJ18,$AF$11:$AG$12,2)%,0)))))</f>
        <v/>
      </c>
      <c r="AS18" s="461" t="str">
        <f>IF(AJ18="","",IF(AND($AG$3=$AG$1,AJ18&lt;=$AZ$1),0,IF(Main!$C$26="UGC",0,IF(AJ18&lt;DATE(2010,4,1),0,IF(OR(BB18=2,BB18=3,AL18=VLOOKUP(AL18,'IN RPS-2015'!$I$2:$J$5,1)),0,ROUND(IF(AJ18&lt;$J$152,VLOOKUP(AJ18,$B$1:$G$4,4),VLOOKUP(VLOOKUP(AJ18,$B$1:$G$4,4),Main!$CE$2:$CF$5,2,FALSE))*(DAY(AK18)-DAY(AJ18)+1)/DAY(EOMONTH(AJ18,0)),0))))))</f>
        <v/>
      </c>
      <c r="AT18" s="461" t="str">
        <f>IF(AJ18="","",IF(AND($AG$3=$AG$1,AJ18&lt;=$AZ$1),0,IF(OR(BB18=2,BB18=3,$D$31=$D$28,AL18=VLOOKUP(AL18,'IN RPS-2015'!$I$2:$J$5,1)),0,ROUND(MIN(VLOOKUP(AI18,$A$27:$C$29,2,TRUE),ROUND(AL18*VLOOKUP(AI18,$A$27:$C$29,3,TRUE)%,0))*IF(AI18=$A$36,$C$36,IF(AI18=$A$37,$C$37,IF(AI18=$A$38,$C$38,IF(AI18=$A$39,$C$39,IF(AI18=$A$40,$C$40,IF(AI18=$A$41,$C$41,1))))))*(DAY(AK18)-DAY(AJ18)+1)/DAY(EOMONTH(AJ18,0)),0))))</f>
        <v/>
      </c>
      <c r="AU18" s="461" t="str">
        <f>IF(AJ18="","",IF(AND($AG$3=$AG$1,AJ18&lt;=$AZ$1),0,IF(Main!$C$26="UGC",0,IF(OR(BB18=3,AL18=VLOOKUP(AL18,'IN RPS-2015'!$I$2:$J$5,1)),0,ROUND(IF(BB18=2,VLOOKUP(AL18,IF($AG$3=$I$29,$A$20:$E$23,$F$144:$J$147),IF($B$19=VLOOKUP(AJ18,$B$2:$G$4,3,TRUE),2,IF($C$19=VLOOKUP(AJ18,$B$2:$G$4,3,TRUE),3,IF($D$19=VLOOKUP(AJ18,$B$2:$G$4,3,TRUE),4,5))),TRUE),VLOOKUP(AL18,IF($AG$3=$I$29,$A$20:$E$23,$F$144:$J$147),IF($B$19=VLOOKUP(AJ18,$B$2:$G$4,3,TRUE),2,IF($C$19=VLOOKUP(AJ18,$B$2:$G$4,3,TRUE),3,IF($D$19=VLOOKUP(AJ18,$B$2:$G$4,3,TRUE),4,5))),TRUE))*(DAY(AK18)-DAY(AJ18)+1)/DAY(EOMONTH(AJ18,0)),0)))))</f>
        <v/>
      </c>
      <c r="AV18" s="461" t="str">
        <f>IF(AJ18="","",IF(AND($AG$3=$AG$1,AJ18&lt;=$AZ$1),0,IF(Main!$C$26="UGC",0,IF(OR(AI18&lt;DATE(2010,4,1),BB18=3,AL18=VLOOKUP(AL18,'IN RPS-2015'!$I$2:$J$5,1)),0,ROUND(IF(BB18=2,IF(AJ18&lt;$J$152,Main!$L$9,Main!$CI$3)/2,IF(AJ18&lt;$J$152,Main!$L$9,Main!$CI$3))*(DAY(AK18)-DAY(AJ18)+1)/DAY(EOMONTH(AJ18,0)),0)))))</f>
        <v/>
      </c>
      <c r="AW18" s="461"/>
      <c r="AX18" s="461" t="str">
        <f>IF(AJ18="","",IF(AND($AG$3=$AG$1,AJ18&lt;=$AZ$1),0,IF(Main!$C$26="UGC",0,IF(OR(BB18=3,AL18=VLOOKUP(AL18,'IN RPS-2015'!$I$2:$J$5,1)),0,ROUND(IF(BB18=2,VLOOKUP(AM18,IF(AJ18&lt;$J$152,$A$154:$E$159,$F$154:$J$159),IF($B$10=VLOOKUP(AI18,$B$2:$G$4,6,TRUE),2,IF($B$10=VLOOKUP(AI18,$B$2:$G$4,6,TRUE),3,IF($D$10=VLOOKUP(AI18,$B$2:$G$4,6,TRUE),4,5))))/2,VLOOKUP(AM18,IF(AJ18&lt;$J$152,$A$154:$E$159,$F$154:$J$159),IF($B$10=VLOOKUP(AI18,$B$2:$G$4,6,TRUE),2,IF($B$10=VLOOKUP(AI18,$B$2:$G$4,6,TRUE),3,IF($D$10=VLOOKUP(AI18,$B$2:$G$4,6,TRUE),4,5)))))*(DAY(AK18)-DAY(AJ18)+1)/DAY(EOMONTH(AJ18,0)),0)))))</f>
        <v/>
      </c>
      <c r="AY18" s="461">
        <f t="shared" si="67"/>
        <v>0</v>
      </c>
      <c r="AZ18" s="464" t="str">
        <f>IF(AJ18="","",IF(AND($AG$3=$AG$1,AJ18&lt;=$AZ$1),0,IF(AND(Main!$F$22=Main!$CA$24,AJ18&gt;$AZ$1),ROUND(SUM(AM18,AO18)*10%,0),"")))</f>
        <v/>
      </c>
      <c r="BA18" s="464" t="str">
        <f>IF(AI18="","",IF(AND($AG$3=$AG$1,AJ18&lt;=$AZ$1),0,IF(OR(Main!$H$10=Main!$BH$4,Main!$H$10=Main!$BH$5),0,LOOKUP(AY18*DAY(EOMONTH(AJ18,0))/(DAY(AK18)-DAY(AJ18)+1),$H$184:$I$189))))</f>
        <v/>
      </c>
      <c r="BB18" s="497">
        <f t="shared" si="55"/>
        <v>1</v>
      </c>
      <c r="BC18" s="464"/>
      <c r="BD18" s="501" t="str">
        <f t="shared" si="56"/>
        <v/>
      </c>
      <c r="BE18" s="502" t="str">
        <f t="shared" si="85"/>
        <v/>
      </c>
      <c r="BF18" s="484" t="str">
        <f>IF(BE18="","",MIN(EOMONTH(BE18,0),VLOOKUP(BE18,'IN RPS-2015'!$O$164:$P$202,2,TRUE)-1,LOOKUP(BE18,$E$47:$F$53)-1,IF(BE18&lt;$B$2,$B$2-1,'IN RPS-2015'!$Q$9),IF(BE18&lt;$B$3,$B$3-1,'IN RPS-2015'!$Q$9),IF(BE18&lt;$B$4,$B$4-1,'IN RPS-2015'!$Q$9),LOOKUP(BE18,$H$47:$I$53)))</f>
        <v/>
      </c>
      <c r="BG18" s="493" t="str">
        <f>IF(BE18="","",VLOOKUP(BE18,'IN RPS-2015'!$P$164:$AA$202,10))</f>
        <v/>
      </c>
      <c r="BH18" s="461" t="str">
        <f t="shared" si="68"/>
        <v/>
      </c>
      <c r="BI18" s="461" t="str">
        <f>IF(BE18="","",IF(AND($AG$3=$AG$1,BE18&lt;=$AZ$1),0,ROUND(IF(BW18=3,0,IF(BW18=2,IF(BG18=VLOOKUP(BG18,'IN RPS-2015'!$I$2:$J$5,1),0,Main!$H$9)/2,IF(BG18=VLOOKUP(BG18,'IN RPS-2015'!$I$2:$J$5,1),0,Main!$H$9)))*(DAY(BF18)-DAY(BE18)+1)/DAY(EOMONTH(BE18,0)),0)))</f>
        <v/>
      </c>
      <c r="BJ18" s="461" t="str">
        <f>IF(BE18="","",IF(AND($AG$3=$AG$1,BE18&lt;=$AZ$1),0,IF(BG18=VLOOKUP(BG18,'IN RPS-2015'!$I$2:$J$5,1),0,ROUND(BH18*VLOOKUP(BE18,$AF$4:$AG$7,2)%,0))))</f>
        <v/>
      </c>
      <c r="BK18" s="461" t="str">
        <f>IF(BE18="","",IF(AND($AG$3=$AG$1,BE18&lt;=$AZ$1),0,IF(OR(BW18=3,BG18=VLOOKUP(BG18,'IN RPS-2015'!$I$2:$J$5,1)),0,ROUND(MIN(ROUND(BG18*VLOOKUP(BE18,$B$1:$G$4,2)%,0),VLOOKUP(BE18,$B$2:$I$4,IF($AG$3=$I$29,7,8),TRUE))*(DAY(BF18)-DAY(BE18)+1)/DAY(EOMONTH(BE18,0)),0))))</f>
        <v/>
      </c>
      <c r="BL18" s="491" t="str">
        <f>IF(BE18="","",IF(AND($AG$3=$AG$1,BE18&lt;=$AZ$1),0,IF(Main!$C$26="UGC",0,IF(OR(BE18&lt;DATE(2010,4,1),$I$6=VLOOKUP(BE18,$B$2:$G$4,5,TRUE),BG18=VLOOKUP(BG18,'IN RPS-2015'!$I$2:$J$5,1)),0,ROUND(IF(BW18=3,0,IF(BW18=2,MIN(ROUND(BG18*$G$13%,0),IF(BE18&lt;$J$152,$G$14,$G$15))/2,MIN(ROUND(BG18*$G$13%,0),IF(BE18&lt;$J$152,$G$14,$G$15))))*(DAY(BF18)-DAY(BE18)+1)/DAY(EOMONTH(BE18,0)),0)))))</f>
        <v/>
      </c>
      <c r="BM18" s="461" t="str">
        <f>IF(BE18="","",IF(AND($AG$3=$AG$1,BE18&lt;=$AZ$1),0,IF(Main!$C$26="UGC",0,IF(BG18=VLOOKUP(BG18,'IN RPS-2015'!$I$2:$J$5,1),0,ROUND(BH18*VLOOKUP(BE18,$AF$11:$AG$12,2)%,0)))))</f>
        <v/>
      </c>
      <c r="BN18" s="461" t="str">
        <f>IF(BE18="","",IF(AND($AG$3=$AG$1,BE18&lt;=$AZ$1),0,IF(Main!$C$26="UGC",0,IF(BE18&lt;DATE(2010,4,1),0,IF(OR(BW18=2,BW18=3,BG18=VLOOKUP(BG18,'IN RPS-2015'!$I$2:$J$5,1)),0,ROUND(IF(BE18&lt;$J$152,VLOOKUP(BE18,$B$1:$G$4,4),VLOOKUP(VLOOKUP(BE18,$B$1:$G$4,4),Main!$CE$2:$CF$5,2,FALSE))*(DAY(BF18)-DAY(BE18)+1)/DAY(EOMONTH(BE18,0)),0))))))</f>
        <v/>
      </c>
      <c r="BO18" s="461" t="str">
        <f>IF(BE18="","",IF(AND($AG$3=$AG$1,BE18&lt;=$AZ$1),0,IF(OR(BW18=2,BW18=3,$D$31=$D$28,BG18=VLOOKUP(BG18,'IN RPS-2015'!$I$2:$J$5,1)),0,ROUND(MIN(VLOOKUP(BD18,$A$27:$C$29,2,TRUE),ROUND(BG18*VLOOKUP(BD18,$A$27:$C$29,3,TRUE)%,0))*IF(BD18=$A$36,$C$36,IF(BD18=$A$37,$C$37,IF(BD18=$A$38,$C$38,IF(BD18=$A$39,$C$39,IF(BD18=$A$40,$C$40,IF(BD18=$A$41,$C$41,1))))))*(DAY(BF18)-DAY(BE18)+1)/DAY(EOMONTH(BE18,0)),0))))</f>
        <v/>
      </c>
      <c r="BP18" s="461" t="str">
        <f>IF(BE18="","",IF(AND($AG$3=$AG$1,BE18&lt;=$AZ$1),0,IF(Main!$C$26="UGC",0,IF(OR(BW18=3,BG18=VLOOKUP(BG18,'IN RPS-2015'!$I$2:$J$5,1)),0,ROUND(IF(BW18=2,VLOOKUP(BG18,IF($AG$3=$I$29,$A$20:$E$23,$F$144:$J$147),IF($B$19=VLOOKUP(BE18,$B$2:$G$4,3,TRUE),2,IF($C$19=VLOOKUP(BE18,$B$2:$G$4,3,TRUE),3,IF($D$19=VLOOKUP(BE18,$B$2:$G$4,3,TRUE),4,5))),TRUE),VLOOKUP(BG18,IF($AG$3=$I$29,$A$20:$E$23,$F$144:$J$147),IF($B$19=VLOOKUP(BE18,$B$2:$G$4,3,TRUE),2,IF($C$19=VLOOKUP(BE18,$B$2:$G$4,3,TRUE),3,IF($D$19=VLOOKUP(BE18,$B$2:$G$4,3,TRUE),4,5))),TRUE))*(DAY(BF18)-DAY(BE18)+1)/DAY(EOMONTH(BE18,0)),0)))))</f>
        <v/>
      </c>
      <c r="BQ18" s="461" t="str">
        <f>IF(BE18="","",IF(AND($AG$3=$AG$1,BE18&lt;=$AZ$1),0,IF(Main!$C$26="UGC",0,IF(OR(BD18&lt;DATE(2010,4,1),BW18=3,BG18=VLOOKUP(BG18,'IN RPS-2015'!$I$2:$J$5,1)),0,ROUND(IF(BW18=2,IF(BE18&lt;$J$152,Main!$L$9,Main!$CI$3)/2,IF(BE18&lt;$J$152,Main!$L$9,Main!$CI$3))*(DAY(BF18)-DAY(BE18)+1)/DAY(EOMONTH(BE18,0)),0)))))</f>
        <v/>
      </c>
      <c r="BR18" s="461"/>
      <c r="BS18" s="461" t="str">
        <f>IF(BE18="","",IF(AND($AG$3=$AG$1,BE18&lt;=$AZ$1),0,IF(Main!$C$26="UGC",0,IF(OR(BW18=3,BG18=VLOOKUP(BG18,'IN RPS-2015'!$I$2:$J$5,1)),0,ROUND(IF(BW18=2,VLOOKUP(BH18,IF(BE18&lt;$J$152,$A$154:$E$159,$F$154:$J$159),IF($B$10=VLOOKUP(BD18,$B$2:$G$4,6,TRUE),2,IF($B$10=VLOOKUP(BD18,$B$2:$G$4,6,TRUE),3,IF($D$10=VLOOKUP(BD18,$B$2:$G$4,6,TRUE),4,5))))/2,VLOOKUP(BH18,IF(BE18&lt;$J$152,$A$154:$E$159,$F$154:$J$159),IF($B$10=VLOOKUP(BD18,$B$2:$G$4,6,TRUE),2,IF($B$10=VLOOKUP(BD18,$B$2:$G$4,6,TRUE),3,IF($D$10=VLOOKUP(BD18,$B$2:$G$4,6,TRUE),4,5)))))*(DAY(BF18)-DAY(BE18)+1)/DAY(EOMONTH(BE18,0)),0)))))</f>
        <v/>
      </c>
      <c r="BT18" s="461">
        <f t="shared" si="69"/>
        <v>0</v>
      </c>
      <c r="BU18" s="464" t="str">
        <f>IF(BE18="","",IF(AND($AG$3=$AG$1,BE18&lt;=$AZ$1),0,IF(AND(Main!$F$22=Main!$CA$24,BE18&gt;$AZ$1),ROUND(SUM(BH18,BJ18)*10%,0),"")))</f>
        <v/>
      </c>
      <c r="BV18" s="464" t="str">
        <f>IF(BD18="","",IF(AND($AG$3=$AG$1,BE18&lt;=$AZ$1),0,IF(OR(Main!$H$10=Main!$BH$4,Main!$H$10=Main!$BH$5),0,LOOKUP(BT18*DAY(EOMONTH(BE18,0))/(DAY(BF18)-DAY(BE18)+1),$H$184:$I$189))))</f>
        <v/>
      </c>
      <c r="BW18" s="503">
        <f t="shared" si="70"/>
        <v>1</v>
      </c>
      <c r="BX18" s="457">
        <f t="shared" si="71"/>
        <v>0</v>
      </c>
      <c r="BY18" s="497"/>
      <c r="BZ18" s="497"/>
      <c r="CA18" s="457"/>
      <c r="CB18" s="461"/>
      <c r="CC18" s="499" t="str">
        <f t="shared" si="57"/>
        <v/>
      </c>
      <c r="CD18" s="500" t="str">
        <f t="shared" si="86"/>
        <v/>
      </c>
      <c r="CE18" s="484" t="str">
        <f>IF(CD18="","",MIN(EOMONTH(CD18,0),VLOOKUP(CD18,'IN RPS-2015'!$O$164:$P$202,2,TRUE)-1,LOOKUP(CD18,$E$47:$F$53)-1,IF(CD18&lt;$B$2,$B$2-1,'IN RPS-2015'!$Q$9),IF(CD18&lt;$B$3,$B$3-1,'IN RPS-2015'!$Q$9),IF(CD18&lt;$B$4,$B$4-1,'IN RPS-2015'!$Q$9),LOOKUP(CD18,$H$47:$I$53)))</f>
        <v/>
      </c>
      <c r="CF18" s="490" t="str">
        <f>IF(CD18="","",VLOOKUP(CD18,'IN RPS-2015'!$T$207:$Y$222,5))</f>
        <v/>
      </c>
      <c r="CG18" s="461" t="str">
        <f t="shared" si="72"/>
        <v/>
      </c>
      <c r="CH18" s="461" t="str">
        <f>IF(CD18="","",IF(AND($CA$3=$CA$1,CD18&lt;=$CT$1),0,ROUND(IF(CV18=3,0,IF(CV18=2,IF(CF18=VLOOKUP(CF18,'IN RPS-2015'!$I$2:$J$5,1),0,Main!$H$9)/2,IF(CF18=VLOOKUP(CF18,'IN RPS-2015'!$I$2:$J$5,1),0,Main!$H$9)))*(DAY(CE18)-DAY(CD18)+1)/DAY(EOMONTH(CD18,0)),0)))</f>
        <v/>
      </c>
      <c r="CI18" s="461" t="str">
        <f>IF(CD18="","",IF(AND($CA$3=$CA$1,CD18&lt;=$CT$1),0,IF(CF18=VLOOKUP(CF18,'IN RPS-2015'!$I$2:$J$5,1),0,ROUND(CG18*VLOOKUP(CD18,$BZ$4:$CA$7,2)%,0))))</f>
        <v/>
      </c>
      <c r="CJ18" s="461" t="str">
        <f>IF(CD18="","",IF(AND($CA$3=$CA$1,CD18&lt;=$CT$1),0,IF(OR(CV18=3,CF18=VLOOKUP(CF18,'IN RPS-2015'!$I$2:$J$5,1)),0,ROUND(MIN(ROUND(CF18*VLOOKUP(CD18,$B$1:$G$4,2)%,0),VLOOKUP(CD18,$B$2:$I$4,IF($CA$3=$I$29,7,8),TRUE))*(DAY(CE18)-DAY(CD18)+1)/DAY(EOMONTH(CD18,0)),0))))</f>
        <v/>
      </c>
      <c r="CK18" s="491" t="str">
        <f>IF(CD18="","",IF(AND($CA$3=$CA$1,CD18&lt;=$CT$1),0,IF(Main!$C$26="UGC",0,IF(OR(CD18&lt;DATE(2010,4,1),$I$6=VLOOKUP(CD18,$B$2:$G$4,5,TRUE),CF18=VLOOKUP(CF18,'IN RPS-2015'!$I$2:$J$5,1)),0,ROUND(IF(CV18=3,0,IF(CV18=2,MIN(ROUND(CF18*$G$13%,0),IF(CD18&lt;$J$152,$G$14,$G$15))/2,MIN(ROUND(CF18*$G$13%,0),IF(CD18&lt;$J$152,$G$14,$G$15))))*(DAY(CE18)-DAY(CD18)+1)/DAY(EOMONTH(CD18,0)),0)))))</f>
        <v/>
      </c>
      <c r="CL18" s="461" t="str">
        <f>IF(CD18="","",IF(AND($CA$3=$CA$1,CD18&lt;=$CT$1),0,IF(Main!$C$26="UGC",0,IF(CF18=VLOOKUP(CF18,'IN RPS-2015'!$I$2:$J$5,1),0,ROUND(CG18*VLOOKUP(CD18,$BZ$11:$CA$12,2)%,0)))))</f>
        <v/>
      </c>
      <c r="CM18" s="461" t="str">
        <f>IF(CD18="","",IF(AND($CA$3=$CA$1,CD18&lt;=$CT$1),0,IF(Main!$C$26="UGC",0,IF(CD18&lt;DATE(2010,4,1),0,IF(OR(CV18=2,CV18=3,CF18=VLOOKUP(CF18,'IN RPS-2015'!$I$2:$J$5,1)),0,ROUND(IF(CD18&lt;$J$152,VLOOKUP(CD18,$B$1:$G$4,4),VLOOKUP(VLOOKUP(CD18,$B$1:$G$4,4),Main!$CE$2:$CF$5,2,FALSE))*(DAY(CE18)-DAY(CD18)+1)/DAY(EOMONTH(CD18,0)),0))))))</f>
        <v/>
      </c>
      <c r="CN18" s="461" t="str">
        <f>IF(CD18="","",IF(AND($CA$3=$CA$1,CD18&lt;=$CT$1),0,IF(OR(CV18=2,CV18=3,$D$31=$D$28,CF18=VLOOKUP(CF18,'IN RPS-2015'!$I$2:$J$5,1)),0,ROUND(MIN(VLOOKUP(CC18,$A$27:$C$29,2,TRUE),ROUND(CF18*VLOOKUP(CC18,$A$27:$C$29,3,TRUE)%,0))*IF(CC18=$A$36,$C$36,IF(CC18=$A$37,$C$37,IF(CC18=$A$38,$C$38,IF(CC18=$A$39,$C$39,IF(CC18=$A$40,$C$40,IF(CC18=$A$41,$C$41,1))))))*(DAY(CE18)-DAY(CD18)+1)/DAY(EOMONTH(CD18,0)),0))))</f>
        <v/>
      </c>
      <c r="CO18" s="461" t="str">
        <f>IF(CD18="","",IF(AND($CA$3=$CA$1,CD18&lt;=$CT$1),0,IF(Main!$C$26="UGC",0,IF(OR(CV18=3,CF18=VLOOKUP(CF18,'IN RPS-2015'!$I$2:$J$5,1)),0,ROUND(IF(CV18=2,VLOOKUP(CF18,IF($CA$3=$I$29,$A$20:$E$23,$F$144:$J$147),IF($B$19=VLOOKUP(CD18,$B$2:$G$4,3,TRUE),2,IF($C$19=VLOOKUP(CD18,$B$2:$G$4,3,TRUE),3,IF($D$19=VLOOKUP(CD18,$B$2:$G$4,3,TRUE),4,5))),TRUE),VLOOKUP(CF18,IF($CA$3=$I$29,$A$20:$E$23,$F$144:$J$147),IF($B$19=VLOOKUP(CD18,$B$2:$G$4,3,TRUE),2,IF($C$19=VLOOKUP(CD18,$B$2:$G$4,3,TRUE),3,IF($D$19=VLOOKUP(CD18,$B$2:$G$4,3,TRUE),4,5))),TRUE))*(DAY(CE18)-DAY(CD18)+1)/DAY(EOMONTH(CD18,0)),0)))))</f>
        <v/>
      </c>
      <c r="CP18" s="461" t="str">
        <f>IF(CD18="","",IF(AND($CA$3=$CA$1,CD18&lt;=$CT$1),0,IF(Main!$C$26="UGC",0,IF(OR(CC18&lt;DATE(2010,4,1),CV18=3,CF18=VLOOKUP(CF18,'IN RPS-2015'!$I$2:$J$5,1)),0,ROUND(IF(CV18=2,IF(CD18&lt;$J$152,Main!$L$9,Main!$CI$3)/2,IF(CD18&lt;$J$152,Main!$L$9,Main!$CI$3))*(DAY(CE18)-DAY(CD18)+1)/DAY(EOMONTH(CD18,0)),0)))))</f>
        <v/>
      </c>
      <c r="CQ18" s="461"/>
      <c r="CR18" s="461" t="str">
        <f>IF(CD18="","",IF(AND($CA$3=$CA$1,CD18&lt;=$CT$1),0,IF(Main!$C$26="UGC",0,IF(OR(CV18=3,CF18=VLOOKUP(CF18,'IN RPS-2015'!$I$2:$J$5,1)),0,ROUND(IF(CV18=2,VLOOKUP(CG18,IF(CD18&lt;$J$152,$A$154:$E$159,$F$154:$J$159),IF($B$10=VLOOKUP(CC18,$B$2:$G$4,6,TRUE),2,IF($B$10=VLOOKUP(CC18,$B$2:$G$4,6,TRUE),3,IF($D$10=VLOOKUP(CC18,$B$2:$G$4,6,TRUE),4,5))))/2,VLOOKUP(CG18,IF(CD18&lt;$J$152,$A$154:$E$159,$F$154:$J$159),IF($B$10=VLOOKUP(CC18,$B$2:$G$4,6,TRUE),2,IF($B$10=VLOOKUP(CC18,$B$2:$G$4,6,TRUE),3,IF($D$10=VLOOKUP(CC18,$B$2:$G$4,6,TRUE),4,5)))))*(DAY(CE18)-DAY(CD18)+1)/DAY(EOMONTH(CD18,0)),0)))))</f>
        <v/>
      </c>
      <c r="CS18" s="461">
        <f t="shared" si="73"/>
        <v>0</v>
      </c>
      <c r="CT18" s="464" t="str">
        <f>IF(CD18="","",IF(AND($CA$3=$CA$1,CD18&lt;=$CT$1),0,IF(AND(Main!$F$22=Main!$CA$24,CD18&gt;$CT$1),ROUND(SUM(CG18,CI18)*10%,0),"")))</f>
        <v/>
      </c>
      <c r="CU18" s="464" t="str">
        <f>IF(CC18="","",IF(CG18=0,0,IF(OR(Main!$H$10=Main!$BH$4,Main!$H$10=Main!$BH$5),0,LOOKUP(CS18*DAY(EOMONTH(CD18,0))/(DAY(CE18)-DAY(CD18)+1),$H$184:$I$189))))</f>
        <v/>
      </c>
      <c r="CV18" s="457">
        <f t="shared" si="74"/>
        <v>1</v>
      </c>
      <c r="CW18" s="464"/>
      <c r="CX18" s="501" t="str">
        <f t="shared" si="59"/>
        <v/>
      </c>
      <c r="CY18" s="502" t="str">
        <f t="shared" si="87"/>
        <v/>
      </c>
      <c r="CZ18" s="484" t="str">
        <f>IF(CY18="","",MIN(EOMONTH(CY18,0),VLOOKUP(CY18,'IN RPS-2015'!$O$164:$P$202,2,TRUE)-1,LOOKUP(CY18,$E$47:$F$53)-1,IF(CY18&lt;$B$2,$B$2-1,'IN RPS-2015'!$Q$9),IF(CY18&lt;$B$3,$B$3-1,'IN RPS-2015'!$Q$9),IF(CY18&lt;$B$4,$B$4-1,'IN RPS-2015'!$Q$9),LOOKUP(CY18,$H$47:$I$53)))</f>
        <v/>
      </c>
      <c r="DA18" s="493" t="str">
        <f>IF(CY18="","",VLOOKUP(CY18,'IN RPS-2015'!$T$207:$Y$222,6))</f>
        <v/>
      </c>
      <c r="DB18" s="461" t="str">
        <f t="shared" si="75"/>
        <v/>
      </c>
      <c r="DC18" s="461" t="str">
        <f>IF(CY18="","",IF(AND($CA$3=$CA$1,CY18&lt;=$CT$1),0,ROUND(IF(DQ18=3,0,IF(DQ18=2,IF(DA18=VLOOKUP(DA18,'IN RPS-2015'!$I$2:$J$5,1),0,Main!$H$9)/2,IF(DA18=VLOOKUP(DA18,'IN RPS-2015'!$I$2:$J$5,1),0,Main!$H$9)))*(DAY(CZ18)-DAY(CY18)+1)/DAY(EOMONTH(CY18,0)),0)))</f>
        <v/>
      </c>
      <c r="DD18" s="461" t="str">
        <f>IF(CY18="","",IF(AND($CA$3=$CA$1,CY18&lt;=$CT$1),0,IF(DA18=VLOOKUP(DA18,'IN RPS-2015'!$I$2:$J$5,1),0,ROUND(DB18*VLOOKUP(CY18,$BZ$4:$CA$7,2)%,0))))</f>
        <v/>
      </c>
      <c r="DE18" s="461" t="str">
        <f>IF(CY18="","",IF(AND($CA$3=$CA$1,CY18&lt;=$CT$1),0,IF(OR(DQ18=3,DA18=VLOOKUP(DA18,'IN RPS-2015'!$I$2:$J$5,1)),0,ROUND(MIN(ROUND(DA18*VLOOKUP(CY18,$B$1:$G$4,2)%,0),VLOOKUP(CY18,$B$2:$I$4,IF($CA$3=$I$29,7,8),TRUE))*(DAY(CZ18)-DAY(CY18)+1)/DAY(EOMONTH(CY18,0)),0))))</f>
        <v/>
      </c>
      <c r="DF18" s="491" t="str">
        <f>IF(CY18="","",IF(AND($CA$3=$CA$1,CY18&lt;=$CT$1),0,IF(Main!$C$26="UGC",0,IF(OR(CY18&lt;DATE(2010,4,1),$I$6=VLOOKUP(CY18,$B$2:$G$4,5,TRUE),DA18=VLOOKUP(DA18,'IN RPS-2015'!$I$2:$J$5,1)),0,ROUND(IF(DQ18=3,0,IF(DQ18=2,MIN(ROUND(DA18*$G$13%,0),IF(CY18&lt;$J$152,$G$14,$G$15))/2,MIN(ROUND(DA18*$G$13%,0),IF(CY18&lt;$J$152,$G$14,$G$15))))*(DAY(CZ18)-DAY(CY18)+1)/DAY(EOMONTH(CY18,0)),0)))))</f>
        <v/>
      </c>
      <c r="DG18" s="461" t="str">
        <f>IF(CY18="","",IF(AND($CA$3=$CA$1,CY18&lt;=$CT$1),0,IF(Main!$C$26="UGC",0,IF(DA18=VLOOKUP(DA18,'IN RPS-2015'!$I$2:$J$5,1),0,ROUND(DB18*VLOOKUP(CY18,$BZ$11:$CA$12,2)%,0)))))</f>
        <v/>
      </c>
      <c r="DH18" s="461" t="str">
        <f>IF(CY18="","",IF(AND($CA$3=$CA$1,CY18&lt;=$CT$1),0,IF(Main!$C$26="UGC",0,IF(CY18&lt;DATE(2010,4,1),0,IF(OR(DQ18=2,DQ18=3,DA18=VLOOKUP(DA18,'IN RPS-2015'!$I$2:$J$5,1)),0,ROUND(IF(CY18&lt;$J$152,VLOOKUP(CY18,$B$1:$G$4,4),VLOOKUP(VLOOKUP(CY18,$B$1:$G$4,4),Main!$CE$2:$CF$5,2,FALSE))*(DAY(CZ18)-DAY(CY18)+1)/DAY(EOMONTH(CY18,0)),0))))))</f>
        <v/>
      </c>
      <c r="DI18" s="461" t="str">
        <f>IF(CY18="","",IF(AND($CA$3=$CA$1,CY18&lt;=$CT$1),0,IF(OR(DQ18=2,DQ18=3,$D$31=$D$28,DA18=VLOOKUP(DA18,'IN RPS-2015'!$I$2:$J$5,1)),0,ROUND(MIN(VLOOKUP(CX18,$A$27:$C$29,2,TRUE),ROUND(DA18*VLOOKUP(CX18,$A$27:$C$29,3,TRUE)%,0))*IF(CX18=$A$36,$C$36,IF(CX18=$A$37,$C$37,IF(CX18=$A$38,$C$38,IF(CX18=$A$39,$C$39,IF(CX18=$A$40,$C$40,IF(CX18=$A$41,$C$41,1))))))*(DAY(CZ18)-DAY(CY18)+1)/DAY(EOMONTH(CY18,0)),0))))</f>
        <v/>
      </c>
      <c r="DJ18" s="461" t="str">
        <f>IF(CY18="","",IF(AND($CA$3=$CA$1,CY18&lt;=$CT$1),0,IF(Main!$C$26="UGC",0,IF(OR(DQ18=3,DA18=VLOOKUP(DA18,'IN RPS-2015'!$I$2:$J$5,1)),0,ROUND(IF(DQ18=2,VLOOKUP(DA18,IF($CA$3=$I$29,$A$20:$E$23,$F$144:$J$147),IF($B$19=VLOOKUP(CY18,$B$2:$G$4,3,TRUE),2,IF($C$19=VLOOKUP(CY18,$B$2:$G$4,3,TRUE),3,IF($D$19=VLOOKUP(CY18,$B$2:$G$4,3,TRUE),4,5))),TRUE),VLOOKUP(DA18,IF($CA$3=$I$29,$A$20:$E$23,$F$144:$J$147),IF($B$19=VLOOKUP(CY18,$B$2:$G$4,3,TRUE),2,IF($C$19=VLOOKUP(CY18,$B$2:$G$4,3,TRUE),3,IF($D$19=VLOOKUP(CY18,$B$2:$G$4,3,TRUE),4,5))),TRUE))*(DAY(CZ18)-DAY(CY18)+1)/DAY(EOMONTH(CY18,0)),0)))))</f>
        <v/>
      </c>
      <c r="DK18" s="461" t="str">
        <f>IF(CY18="","",IF(AND($CA$3=$CA$1,CY18&lt;=$CT$1),0,IF(Main!$C$26="UGC",0,IF(OR(CX18&lt;DATE(2010,4,1),DQ18=3,DA18=VLOOKUP(DA18,'IN RPS-2015'!$I$2:$J$5,1)),0,ROUND(IF(DQ18=2,IF(CY18&lt;$J$152,Main!$L$9,Main!$CI$3)/2,IF(CY18&lt;$J$152,Main!$L$9,Main!$CI$3))*(DAY(CZ18)-DAY(CY18)+1)/DAY(EOMONTH(CY18,0)),0)))))</f>
        <v/>
      </c>
      <c r="DL18" s="461"/>
      <c r="DM18" s="461" t="str">
        <f>IF(CY18="","",IF(AND($CA$3=$CA$1,CY18&lt;=$CT$1),0,IF(Main!$C$26="UGC",0,IF(OR(DQ18=3,DA18=VLOOKUP(DA18,'IN RPS-2015'!$I$2:$J$5,1)),0,ROUND(IF(DQ18=2,VLOOKUP(DB18,IF(CY18&lt;$J$152,$A$154:$E$159,$F$154:$J$159),IF($B$10=VLOOKUP(CX18,$B$2:$G$4,6,TRUE),2,IF($B$10=VLOOKUP(CX18,$B$2:$G$4,6,TRUE),3,IF($D$10=VLOOKUP(CX18,$B$2:$G$4,6,TRUE),4,5))))/2,VLOOKUP(DB18,IF(CY18&lt;$J$152,$A$154:$E$159,$F$154:$J$159),IF($B$10=VLOOKUP(CX18,$B$2:$G$4,6,TRUE),2,IF($B$10=VLOOKUP(CX18,$B$2:$G$4,6,TRUE),3,IF($D$10=VLOOKUP(CX18,$B$2:$G$4,6,TRUE),4,5)))))*(DAY(CZ18)-DAY(CY18)+1)/DAY(EOMONTH(CY18,0)),0)))))</f>
        <v/>
      </c>
      <c r="DN18" s="461">
        <f t="shared" si="76"/>
        <v>0</v>
      </c>
      <c r="DO18" s="464" t="str">
        <f>IF(CY18="","",IF(AND($CA$3=$CA$1,CY18&lt;=$CT$1),0,IF(AND(Main!$F$22=Main!$CA$24,CY18&gt;$CT$1),ROUND(SUM(DB18,DD18)*10%,0),"")))</f>
        <v/>
      </c>
      <c r="DP18" s="464" t="str">
        <f>IF(CX18="","",IF(AND($CA$3=$CA$1,CY18&lt;=$CT$1),0,IF(OR(Main!$H$10=Main!$BH$4,Main!$H$10=Main!$BH$5),0,LOOKUP(DN18*DAY(EOMONTH(CY18,0))/(DAY(CZ18)-DAY(CY18)+1),$H$184:$I$189))))</f>
        <v/>
      </c>
      <c r="DQ18" s="457">
        <f t="shared" si="60"/>
        <v>1</v>
      </c>
      <c r="DR18" s="457">
        <f t="shared" si="77"/>
        <v>0</v>
      </c>
      <c r="DS18" s="497"/>
      <c r="DT18" s="497"/>
      <c r="DU18" s="457"/>
      <c r="DV18" s="461"/>
      <c r="DW18" s="499" t="str">
        <f t="shared" si="61"/>
        <v/>
      </c>
      <c r="DX18" s="500" t="str">
        <f t="shared" si="88"/>
        <v/>
      </c>
      <c r="DY18" s="484" t="str">
        <f>IF(DX18="","",MIN(EOMONTH(DX18,0),VLOOKUP(DX18,'IN RPS-2015'!$O$164:$P$202,2,TRUE)-1,LOOKUP(DX18,$E$47:$F$53)-1,IF(DX18&lt;$B$2,$B$2-1,'IN RPS-2015'!$Q$9),IF(DX18&lt;$B$3,$B$3-1,'IN RPS-2015'!$Q$9),IF(DX18&lt;$B$4,$B$4-1,'IN RPS-2015'!$Q$9),LOOKUP(DX18,$H$47:$I$53)))</f>
        <v/>
      </c>
      <c r="DZ18" s="490" t="str">
        <f>IF(DX18="","",VLOOKUP(DX18,'IN RPS-2015'!$P$164:$AA$202,11))</f>
        <v/>
      </c>
      <c r="EA18" s="461" t="str">
        <f t="shared" si="78"/>
        <v/>
      </c>
      <c r="EB18" s="461" t="str">
        <f>IF(DX18="","",ROUND(IF(EP18=3,0,IF(EP18=2,IF(DZ18=VLOOKUP(DZ18,'IN RPS-2015'!$I$2:$J$5,1),0,Main!$H$9)/2,IF(DZ18=VLOOKUP(DZ18,'IN RPS-2015'!$I$2:$J$5,1),0,Main!$H$9)))*(DAY(DY18)-DAY(DX18)+1)/DAY(EOMONTH(DX18,0)),0))</f>
        <v/>
      </c>
      <c r="EC18" s="461" t="str">
        <f>IF(DX18="","",IF(DZ18=VLOOKUP(DZ18,'IN RPS-2015'!$I$2:$J$5,1),0,ROUND(EA18*VLOOKUP(DX18,$DT$4:$DU$7,2)%,0)))</f>
        <v/>
      </c>
      <c r="ED18" s="461" t="str">
        <f>IF(DX18="","",IF(OR(EP18=3,DZ18=VLOOKUP(DZ18,'IN RPS-2015'!$I$2:$J$5,1)),0,ROUND(MIN(ROUND(DZ18*VLOOKUP(DX18,$B$1:$G$4,2)%,0),VLOOKUP(DX18,$B$2:$I$4,IF($DU$3=$I$29,7,8),TRUE))*(DAY(DY18)-DAY(DX18)+1)/DAY(EOMONTH(DX18,0)),0)))</f>
        <v/>
      </c>
      <c r="EE18" s="491" t="str">
        <f>IF(DX18="","",IF(Main!$C$26="UGC",0,IF(OR(DX18&lt;DATE(2010,4,1),$I$6=VLOOKUP(DX18,$B$2:$G$4,5,TRUE),DZ18=VLOOKUP(DZ18,'IN RPS-2015'!$I$2:$J$5,1)),0,ROUND(IF(EP18=3,0,IF(EP18=2,MIN(ROUND(DZ18*$G$13%,0),IF(DX18&lt;$I$152,$G$14,$G$15))/2,MIN(ROUND(DZ18*$G$13%,0),IF(DX18&lt;$I$152,$G$14,$G$15))))*(DAY(DY18)-DAY(DX18)+1)/DAY(EOMONTH(DX18,0)),0))))</f>
        <v/>
      </c>
      <c r="EF18" s="461" t="str">
        <f>IF(DX18="","",IF(Main!$C$26="UGC",0,IF(DZ18=VLOOKUP(DZ18,'IN RPS-2015'!$I$2:$J$5,1),0,ROUND(EA18*VLOOKUP(DX18,$DT$11:$DU$12,2)%,0))))</f>
        <v/>
      </c>
      <c r="EG18" s="461" t="str">
        <f>IF(DX18="","",IF(Main!$C$26="UGC",0,IF(DX18&lt;DATE(2010,4,1),0,IF(OR(EP18=2,EP18=3,DZ18=VLOOKUP(DZ18,'IN RPS-2015'!$I$2:$J$5,1)),0,ROUND(IF(DX18&lt;$I$152,VLOOKUP(DX18,$B$1:$G$4,4),VLOOKUP(VLOOKUP(DX18,$B$1:$G$4,4),Main!$CE$2:$CF$5,2,FALSE))*(DAY(DY18)-DAY(DX18)+1)/DAY(EOMONTH(DX18,0)),0)))))</f>
        <v/>
      </c>
      <c r="EH18" s="461" t="str">
        <f>IF(DX18="","",IF(OR(EP18=2,EP18=3,$D$31=$D$28,DZ18=VLOOKUP(DZ18,'IN RPS-2015'!$I$2:$J$5,1)),0,ROUND(MIN(IF(DX18&lt;$I$152,900,1350),ROUND(DZ18*VLOOKUP(DW18,$A$27:$C$29,3,TRUE)%,0))*IF(DW18=$A$36,$C$36,IF(DW18=$A$37,$C$37,IF(DW18=$A$38,$C$38,IF(DW18=$A$39,$C$39,IF(DW18=$A$40,$C$40,IF(DW18=$A$41,$C$41,1))))))*(DAY(DY18)-DAY(DX18)+1)/DAY(EOMONTH(DX18,0)),0)))</f>
        <v/>
      </c>
      <c r="EI18" s="461" t="str">
        <f>IF(DX18="","",IF(Main!$C$26="UGC",0,IF(OR(EP18=3,DZ18=VLOOKUP(DZ18,'IN RPS-2015'!$I$2:$J$5,1)),0,ROUND(IF(EP18=2,VLOOKUP(DZ18,IF($DU$3=$I$29,$A$20:$E$23,$F$144:$J$147),IF($B$19=VLOOKUP(DX18,$B$2:$G$4,3,TRUE),2,IF($C$19=VLOOKUP(DX18,$B$2:$G$4,3,TRUE),3,IF($D$19=VLOOKUP(DX18,$B$2:$G$4,3,TRUE),4,5))),TRUE),VLOOKUP(DZ18,IF($DU$3=$I$29,$A$20:$E$23,$F$144:$J$147),IF($B$19=VLOOKUP(DX18,$B$2:$G$4,3,TRUE),2,IF($C$19=VLOOKUP(DX18,$B$2:$G$4,3,TRUE),3,IF($D$19=VLOOKUP(DX18,$B$2:$G$4,3,TRUE),4,5))),TRUE))*(DAY(DY18)-DAY(DX18)+1)/DAY(EOMONTH(DX18,0)),0))))</f>
        <v/>
      </c>
      <c r="EJ18" s="461" t="str">
        <f>IF(DX18="","",IF(Main!$C$26="UGC",0,IF(OR(DW18&lt;DATE(2010,4,1),EP18=3,DZ18=VLOOKUP(DZ18,'IN RPS-2015'!$I$2:$J$5,1)),0,ROUND(IF(EP18=2,IF(DX18&lt;$I$152,Main!$L$9,Main!$CI$3)/2,IF(DX18&lt;$I$152,Main!$L$9,Main!$CI$3))*(DAY(DY18)-DAY(DX18)+1)/DAY(EOMONTH(DX18,0)),0))))</f>
        <v/>
      </c>
      <c r="EK18" s="461"/>
      <c r="EL18" s="461" t="str">
        <f>IF(DX18="","",IF(Main!$C$26="UGC",0,IF(OR(EP18=3,DZ18=VLOOKUP(DZ18,'IN RPS-2015'!$I$2:$J$5,1)),0,ROUND(IF(EP18=2,VLOOKUP(EA18,IF(DX18&lt;$I$152,$A$154:$E$159,$F$154:$J$159),IF($B$10=VLOOKUP(DW18,$B$2:$G$4,6,TRUE),2,IF($B$10=VLOOKUP(DW18,$B$2:$G$4,6,TRUE),3,IF($D$10=VLOOKUP(DW18,$B$2:$G$4,6,TRUE),4,5))))/2,VLOOKUP(EA18,IF(DX18&lt;$I$152,$A$154:$E$159,$F$154:$J$159),IF($B$10=VLOOKUP(DW18,$B$2:$G$4,6,TRUE),2,IF($B$10=VLOOKUP(DW18,$B$2:$G$4,6,TRUE),3,IF($D$10=VLOOKUP(DW18,$B$2:$G$4,6,TRUE),4,5)))))*(DAY(DY18)-DAY(DX18)+1)/DAY(EOMONTH(DX18,0)),0))))</f>
        <v/>
      </c>
      <c r="EM18" s="461">
        <f t="shared" si="79"/>
        <v>0</v>
      </c>
      <c r="EN18" s="464" t="str">
        <f>IF(DX18="","",IF(AND(Main!$F$22=Main!$CA$24,DX18&gt;$EN$1),ROUND(SUM(EA18,EC18)*10%,0),""))</f>
        <v/>
      </c>
      <c r="EO18" s="464" t="str">
        <f>IF(DW18="","",IF(EA18=0,0,IF(OR(Main!$H$10=Main!$BH$4,Main!$H$10=Main!$BH$5),0,LOOKUP(EM18*DAY(EOMONTH(DX18,0))/(DAY(DY18)-DAY(DX18)+1),$H$184:$I$189))))</f>
        <v/>
      </c>
      <c r="EP18" s="457">
        <f t="shared" si="62"/>
        <v>1</v>
      </c>
      <c r="ER18" s="497"/>
      <c r="ET18" s="461"/>
      <c r="EU18" s="499" t="str">
        <f t="shared" si="63"/>
        <v/>
      </c>
      <c r="EV18" s="500" t="str">
        <f t="shared" si="89"/>
        <v/>
      </c>
      <c r="EW18" s="484" t="str">
        <f>IF(EV18="","",MIN(EOMONTH(EV18,0),VLOOKUP(EV18,'IN RPS-2015'!$O$164:$P$202,2,TRUE)-1,LOOKUP(EV18,$E$47:$F$53)-1,IF(EV18&lt;$B$2,$B$2-1,'IN RPS-2015'!$Q$9),IF(EV18&lt;$B$3,$B$3-1,'IN RPS-2015'!$Q$9),IF(EV18&lt;$B$4,$B$4-1,'IN RPS-2015'!$Q$9),LOOKUP(EV18,$H$47:$I$53)))</f>
        <v/>
      </c>
      <c r="EX18" s="490" t="str">
        <f>IF(EV18="","",VLOOKUP(EV18,'IN RPS-2015'!$P$164:$AA$202,12))</f>
        <v/>
      </c>
      <c r="EY18" s="461" t="str">
        <f t="shared" si="80"/>
        <v/>
      </c>
      <c r="EZ18" s="461" t="str">
        <f>IF(EV18="","",ROUND(IF(FN18=3,0,IF(FN18=2,IF(EX18=VLOOKUP(EX18,'IN RPS-2015'!$I$2:$J$5,1),0,Main!$H$9)/2,IF(EX18=VLOOKUP(EX18,'IN RPS-2015'!$I$2:$J$5,1),0,Main!$H$9)))*(DAY(EW18)-DAY(EV18)+1)/DAY(EOMONTH(EV18,0)),0))</f>
        <v/>
      </c>
      <c r="FA18" s="461" t="str">
        <f>IF(EV18="","",IF(EX18=VLOOKUP(EX18,'IN RPS-2015'!$I$2:$J$5,1),0,ROUND(EY18*VLOOKUP(EV18,$ER$4:$ES$7,2)%,0)))</f>
        <v/>
      </c>
      <c r="FB18" s="461" t="str">
        <f>IF(EV18="","",IF(OR(FN18=3,EX18=VLOOKUP(EX18,'IN RPS-2015'!$I$2:$J$5,1)),0,ROUND(MIN(ROUND(EX18*VLOOKUP(EV18,$B$1:$G$4,2)%,0),VLOOKUP(EV18,$B$2:$I$4,IF($ES$3=$I$29,7,8),TRUE))*(DAY(EW18)-DAY(EV18)+1)/DAY(EOMONTH(EV18,0)),0)))</f>
        <v/>
      </c>
      <c r="FC18" s="491" t="str">
        <f>IF(EV18="","",IF(Main!$C$26="UGC",0,IF(OR(EV18&lt;DATE(2010,4,1),$I$6=VLOOKUP(EV18,$B$2:$G$4,5,TRUE),EX18=VLOOKUP(EX18,'IN RPS-2015'!$I$2:$J$5,1)),0,ROUND(IF(FN18=3,0,IF(FN18=2,MIN(ROUND(EX18*$G$13%,0),IF(EV18&lt;$J$152,$G$14,$G$15))/2,MIN(ROUND(EX18*$G$13%,0),IF(EV18&lt;$J$152,$G$14,$G$15))))*(DAY(EW18)-DAY(EV18)+1)/DAY(EOMONTH(EV18,0)),0))))</f>
        <v/>
      </c>
      <c r="FD18" s="461" t="str">
        <f>IF(EV18="","",IF(Main!$C$26="UGC",0,IF(EX18=VLOOKUP(EX18,'IN RPS-2015'!$I$2:$J$5,1),0,ROUND(EY18*VLOOKUP(EV18,$ER$11:$ES$12,2)%,0))))</f>
        <v/>
      </c>
      <c r="FE18" s="461" t="str">
        <f>IF(EV18="","",IF(Main!$C$26="UGC",0,IF(EV18&lt;DATE(2010,4,1),0,IF(OR(FN18=2,FN18=3,EX18=VLOOKUP(EX18,'IN RPS-2015'!$I$2:$J$5,1)),0,ROUND(IF(EV18&lt;$J$152,VLOOKUP(EV18,$B$1:$G$4,4),VLOOKUP(VLOOKUP(EV18,$B$1:$G$4,4),Main!$CE$2:$CF$5,2,FALSE))*(DAY(EW18)-DAY(EV18)+1)/DAY(EOMONTH(EV18,0)),0)))))</f>
        <v/>
      </c>
      <c r="FF18" s="461" t="str">
        <f>IF(EV18="","",IF(OR(FN18=2,FN18=3,$D$31=$D$28,EX18=VLOOKUP(EX18,'IN RPS-2015'!$I$2:$J$5,1)),0,ROUND(MIN(VLOOKUP(EU18,$A$27:$C$29,2,TRUE),ROUND(EX18*VLOOKUP(EU18,$A$27:$C$29,3,TRUE)%,0))*IF(EU18=$A$36,$C$36,IF(EU18=$A$37,$C$37,IF(EU18=$A$38,$C$38,IF(EU18=$A$39,$C$39,IF(EU18=$A$40,$C$40,IF(EU18=$A$41,$C$41,1))))))*(DAY(EW18)-DAY(EV18)+1)/DAY(EOMONTH(EV18,0)),0)))</f>
        <v/>
      </c>
      <c r="FG18" s="461" t="str">
        <f>IF(EV18="","",IF(Main!$C$26="UGC",0,IF(OR(FN18=3,EX18=VLOOKUP(EX18,'IN RPS-2015'!$I$2:$J$5,1)),0,ROUND(IF(FN18=2,VLOOKUP(EX18,IF($ES$3=$I$29,$A$20:$E$23,$F$144:$J$147),IF($B$19=VLOOKUP(EV18,$B$2:$G$4,3,TRUE),2,IF($C$19=VLOOKUP(EV18,$B$2:$G$4,3,TRUE),3,IF($D$19=VLOOKUP(EV18,$B$2:$G$4,3,TRUE),4,5))),TRUE),VLOOKUP(EX18,IF($ES$3=$I$29,$A$20:$E$23,$F$144:$J$147),IF($B$19=VLOOKUP(EV18,$B$2:$G$4,3,TRUE),2,IF($C$19=VLOOKUP(EV18,$B$2:$G$4,3,TRUE),3,IF($D$19=VLOOKUP(EV18,$B$2:$G$4,3,TRUE),4,5))),TRUE))*(DAY(EW18)-DAY(EV18)+1)/DAY(EOMONTH(EV18,0)),0))))</f>
        <v/>
      </c>
      <c r="FH18" s="461" t="str">
        <f>IF(EV18="","",IF(Main!$C$26="UGC",0,IF(OR(EU18&lt;DATE(2010,4,1),FN18=3,EX18=VLOOKUP(EX18,'IN RPS-2015'!$I$2:$J$5,1)),0,ROUND(IF(FN18=2,IF(EV18&lt;$J$152,Main!$L$9,Main!$CI$3)/2,IF(EV18&lt;$J$152,Main!$L$9,Main!$CI$3))*(DAY(EW18)-DAY(EV18)+1)/DAY(EOMONTH(EV18,0)),0))))</f>
        <v/>
      </c>
      <c r="FI18" s="461"/>
      <c r="FJ18" s="461" t="str">
        <f>IF(EV18="","",IF(Main!$C$26="UGC",0,IF(OR(FN18=3,EX18=VLOOKUP(EX18,'IN RPS-2015'!$I$2:$J$5,1)),0,ROUND(IF(FN18=2,VLOOKUP(EY18,IF(EV18&lt;$J$152,$A$154:$E$159,$F$154:$J$159),IF($B$10=VLOOKUP(EU18,$B$2:$G$4,6,TRUE),2,IF($B$10=VLOOKUP(EU18,$B$2:$G$4,6,TRUE),3,IF($D$10=VLOOKUP(EU18,$B$2:$G$4,6,TRUE),4,5))))/2,VLOOKUP(EY18,IF(EV18&lt;$J$152,$A$154:$E$159,$F$154:$J$159),IF($B$10=VLOOKUP(EU18,$B$2:$G$4,6,TRUE),2,IF($B$10=VLOOKUP(EU18,$B$2:$G$4,6,TRUE),3,IF($D$10=VLOOKUP(EU18,$B$2:$G$4,6,TRUE),4,5)))))*(DAY(EW18)-DAY(EV18)+1)/DAY(EOMONTH(EV18,0)),0))))</f>
        <v/>
      </c>
      <c r="FK18" s="461">
        <f t="shared" si="81"/>
        <v>0</v>
      </c>
      <c r="FL18" s="464" t="str">
        <f>IF(EV18="","",IF(AND(Main!$F$22=Main!$CA$24,EV18&gt;$FL$1),ROUND(SUM(EY18,FA18)*10%,0),""))</f>
        <v/>
      </c>
      <c r="FM18" s="464" t="str">
        <f>IF(EU18="","",IF(EY18=0,0,IF(OR(Main!$H$10=Main!$BH$4,Main!$H$10=Main!$BH$5),0,LOOKUP(FK18*DAY(EOMONTH(EV18,0))/(DAY(EW18)-DAY(EV18)+1),$H$184:$I$189))))</f>
        <v/>
      </c>
      <c r="FN18" s="457">
        <f t="shared" si="64"/>
        <v>1</v>
      </c>
    </row>
    <row r="19" spans="1:170">
      <c r="A19" s="7" t="s">
        <v>295</v>
      </c>
      <c r="B19" s="7" t="s">
        <v>340</v>
      </c>
      <c r="C19" s="7" t="s">
        <v>341</v>
      </c>
      <c r="D19" s="7" t="s">
        <v>1376</v>
      </c>
      <c r="E19" s="457" t="str">
        <f>H1</f>
        <v>Not-Applicable</v>
      </c>
      <c r="K19" s="494" t="str">
        <f t="shared" si="65"/>
        <v/>
      </c>
      <c r="L19" s="495" t="str">
        <f t="shared" si="82"/>
        <v/>
      </c>
      <c r="M19" s="484" t="str">
        <f>IF(L19="","",MIN(EOMONTH(L19,0),VLOOKUP(L19,'IN RPS-2015'!$O$164:$P$202,2,TRUE)-1,LOOKUP(L19,$E$47:$F$53)-1,IF(L19&lt;$B$2,$B$2-1,'IN RPS-2015'!$Q$9),IF(L19&lt;$B$3,$B$3-1,'IN RPS-2015'!$Q$9),IF(L19&lt;$B$4,$B$4-1,'IN RPS-2015'!$Q$9),LOOKUP(L19,$H$47:$I$53)))</f>
        <v/>
      </c>
      <c r="N19" s="496" t="str">
        <f>IF(L19="","",VLOOKUP(L19,'Advance Tax'!$A$3:$C$14,3))</f>
        <v/>
      </c>
      <c r="O19" s="509" t="str">
        <f t="shared" si="52"/>
        <v/>
      </c>
      <c r="P19" s="497" t="str">
        <f>IF(L19="","",ROUND(IF(AD19=3,0,IF(AD19=2,IF(N19=VLOOKUP(N19,'IN RPS-2015'!$I$2:$J$5,1),0,Main!$H$9)/2,IF(N19=VLOOKUP(N19,'IN RPS-2015'!$I$2:$J$5,1),0,Main!$H$9)))*(DAY(M19)-DAY(L19)+1)/DAY(EOMONTH(L19,0)),0))</f>
        <v/>
      </c>
      <c r="Q19" s="457" t="str">
        <f>IF(L19="","",IF(N19=VLOOKUP(N19,'IN RPS-2015'!$I$2:$J$5,1),0,ROUND(O19*IF(L19&lt;Main!$C$27,VLOOKUP(L19,$H$9:$J$12,3),VLOOKUP(L19,$H$9:$J$12,2))%,0)))</f>
        <v/>
      </c>
      <c r="R19" s="457" t="str">
        <f>IF(L19="","",IF(OR(AD19=3,N19=VLOOKUP(N19,'IN RPS-2015'!$I$2:$J$5,1)),0,ROUND(MIN(ROUND(N19*VLOOKUP(L19,$B$1:$G$4,2)%,0),VLOOKUP(L19,$B$2:$I$4,IF(L19&lt;$G$7,7,8),TRUE))*(DAY(M19)-DAY(L19)+1)/DAY(EOMONTH(L19,0)),0)))</f>
        <v/>
      </c>
      <c r="S19" s="486" t="str">
        <f>IF(L19="","",IF(Main!$C$26="UGC",0,IF(OR(L19&lt;DATE(2010,4,1),$I$6=VLOOKUP(L19,$B$2:$G$4,5,TRUE),N19=VLOOKUP(N19,'IN RPS-2015'!$I$2:$J$5,1)),0,ROUND(IF(AD19=3,0,IF(AD19=2,MIN(ROUND(N19*$G$13%,0),IF(L19&lt;$J$152,$G$14,$G$15))/2,MIN(ROUND(N19*$G$13%,0),IF(L19&lt;$J$152,$G$14,$G$15))))*(DAY(M19)-DAY(L19)+1)/DAY(EOMONTH(L19,0)),0))))</f>
        <v/>
      </c>
      <c r="T19" s="457" t="str">
        <f>IF(L19="","",IF(Main!$C$26="UGC",0,IF(N19=VLOOKUP(N19,'IN RPS-2015'!$I$2:$J$5,1),0,ROUND(O19*VLOOKUP(L19,$H$205:$I$206,2)%,0))))</f>
        <v/>
      </c>
      <c r="U19" s="457" t="str">
        <f>IF(L19="","",IF(Main!$C$26="UGC",0,IF(L19&lt;DATE(2010,4,1),0,IF(OR(AD19=2,AD19=3,N19=VLOOKUP(N19,'IN RPS-2015'!$I$2:$J$5,1)),0,ROUND(IF(L19&lt;$J$152,VLOOKUP(L19,$B$1:$G$4,4),VLOOKUP(VLOOKUP(L19,$B$1:$G$4,4),Main!$CE$2:$CF$5,2,FALSE))*(DAY(M19)-DAY(L19)+1)/DAY(EOMONTH(L19,0)),0)))))</f>
        <v/>
      </c>
      <c r="V19" s="457" t="str">
        <f>IF(L19="","",IF(OR(AD19=2,AD19=3,$D$31=$D$28,N19=VLOOKUP(N19,'IN RPS-2015'!$I$2:$J$5,1)),0,ROUND(MIN(VLOOKUP(K19,$A$27:$C$29,2,TRUE),ROUND(N19*VLOOKUP(K19,$A$27:$C$29,3,TRUE)%,0))*IF(K19=$A$36,$C$36,IF(K19=$A$37,$C$37,IF(K19=$A$38,$C$38,IF(K19=$A$39,$C$39,IF(K19=$A$40,$C$40,IF(K19=$A$41,$C$41,1))))))*(DAY(M19)-DAY(L19)+1)/DAY(EOMONTH(L19,0)),0)))</f>
        <v/>
      </c>
      <c r="W19" s="457" t="str">
        <f>IF(L19="","",IF(Main!$C$26="UGC",0,IF(OR(AD19=3,N19=VLOOKUP(N19,'IN RPS-2015'!$I$2:$J$5,1)),0,ROUND(IF(AD19=2,VLOOKUP(N19,IF(L19&lt;$G$7,$A$20:$E$23,$F$144:$J$147),IF($B$19=VLOOKUP(L19,$B$2:$G$4,3,TRUE),2,IF($C$19=VLOOKUP(L19,$B$2:$G$4,3,TRUE),3,IF($D$19=VLOOKUP(L19,$B$2:$G$4,3,TRUE),4,5))),TRUE),VLOOKUP(N19,IF(L19&lt;$G$7,$A$20:$E$23,$F$144:$J$147),IF($B$19=VLOOKUP(L19,$B$2:$G$4,3,TRUE),2,IF($C$19=VLOOKUP(L19,$B$2:$G$4,3,TRUE),3,IF($D$19=VLOOKUP(L19,$B$2:$G$4,3,TRUE),4,5))),TRUE))*(DAY(M19)-DAY(L19)+1)/DAY(EOMONTH(L19,0)),0))))</f>
        <v/>
      </c>
      <c r="X19" s="457" t="str">
        <f>IF(L19="","",IF(Main!$C$26="UGC",0,IF(OR(K19&lt;DATE(2010,4,1),AD19=3,N19=VLOOKUP(N19,'IN RPS-2015'!$I$2:$J$5,1)),0,ROUND(IF(AD19=2,IF(L19&lt;$J$152,Main!$L$9,Main!$CI$3)/2,IF(L19&lt;$J$152,Main!$L$9,Main!$CI$3))*(DAY(M19)-DAY(L19)+1)/DAY(EOMONTH(L19,0)),0))))</f>
        <v/>
      </c>
      <c r="Y19" s="497"/>
      <c r="Z19" s="457" t="str">
        <f>IF(L19="","",IF(Main!$C$26="UGC",0,IF(OR(AD19=3,N19=VLOOKUP(N19,'IN RPS-2015'!$I$2:$J$5,1)),0,ROUND(IF(AD19=2,VLOOKUP(O19,IF(L19&lt;$J$152,$A$154:$E$159,$F$154:$J$159),IF($B$10=VLOOKUP(K19,$B$2:$G$4,6,TRUE),2,IF($B$10=VLOOKUP(K19,$B$2:$G$4,6,TRUE),3,IF($D$10=VLOOKUP(K19,$B$2:$G$4,6,TRUE),4,5))))/2,VLOOKUP(O19,IF(L19&lt;$J$152,$A$154:$E$159,$F$154:$J$159),IF($B$10=VLOOKUP(K19,$B$2:$G$4,6,TRUE),2,IF($B$10=VLOOKUP(K19,$B$2:$G$4,6,TRUE),3,IF($D$10=VLOOKUP(K19,$B$2:$G$4,6,TRUE),4,5)))))*(DAY(M19)-DAY(L19)+1)/DAY(EOMONTH(L19,0)),0))))</f>
        <v/>
      </c>
      <c r="AA19" s="497">
        <f t="shared" si="83"/>
        <v>0</v>
      </c>
      <c r="AB19" s="497"/>
      <c r="AC19" s="497"/>
      <c r="AD19" s="497">
        <f t="shared" si="53"/>
        <v>1</v>
      </c>
      <c r="AE19" s="497"/>
      <c r="AF19" s="497"/>
      <c r="AH19" s="461"/>
      <c r="AI19" s="499" t="str">
        <f t="shared" si="54"/>
        <v/>
      </c>
      <c r="AJ19" s="500" t="str">
        <f t="shared" si="84"/>
        <v/>
      </c>
      <c r="AK19" s="484" t="str">
        <f>IF(AJ19="","",MIN(EOMONTH(AJ19,0),VLOOKUP(AJ19,'IN RPS-2015'!$O$164:$P$202,2,TRUE)-1,LOOKUP(AJ19,$E$47:$F$53)-1,IF(AJ19&lt;$B$2,$B$2-1,'IN RPS-2015'!$Q$9),IF(AJ19&lt;$B$3,$B$3-1,'IN RPS-2015'!$Q$9),IF(AJ19&lt;$B$4,$B$4-1,'IN RPS-2015'!$Q$9),LOOKUP(AJ19,$H$47:$I$53)))</f>
        <v/>
      </c>
      <c r="AL19" s="490" t="str">
        <f>IF(AJ19="","",VLOOKUP(AJ19,'IN RPS-2015'!$P$164:$AA$202,9))</f>
        <v/>
      </c>
      <c r="AM19" s="461" t="str">
        <f t="shared" si="66"/>
        <v/>
      </c>
      <c r="AN19" s="461" t="str">
        <f>IF(AJ19="","",IF(AND($AG$3=$AG$1,AJ19&lt;=$AZ$1),0,ROUND(IF(BB19=3,0,IF(BB19=2,IF(AL19=VLOOKUP(AL19,'IN RPS-2015'!$I$2:$J$5,1),0,Main!$H$9)/2,IF(AL19=VLOOKUP(AL19,'IN RPS-2015'!$I$2:$J$5,1),0,Main!$H$9)))*(DAY(AK19)-DAY(AJ19)+1)/DAY(EOMONTH(AJ19,0)),0)))</f>
        <v/>
      </c>
      <c r="AO19" s="461" t="str">
        <f>IF(AJ19="","",IF(AND($AG$3=$AG$1,AJ19&lt;=$AZ$1),0,IF(AL19=VLOOKUP(AL19,'IN RPS-2015'!$I$2:$J$5,1),0,ROUND(AM19*VLOOKUP(AJ19,$AF$4:$AG$7,2)%,0))))</f>
        <v/>
      </c>
      <c r="AP19" s="461" t="str">
        <f>IF(AJ19="","",IF(AND($AG$3=$AG$1,AJ19&lt;=$AZ$1),0,IF(OR(BB19=3,AL19=VLOOKUP(AL19,'IN RPS-2015'!$I$2:$J$5,1)),0,ROUND(MIN(ROUND(AL19*VLOOKUP(AJ19,$B$1:$G$4,2)%,0),VLOOKUP(AJ19,$B$2:$I$4,IF($AG$3=$I$29,7,8),TRUE))*(DAY(AK19)-DAY(AJ19)+1)/DAY(EOMONTH(AJ19,0)),0))))</f>
        <v/>
      </c>
      <c r="AQ19" s="491" t="str">
        <f>IF(AJ19="","",IF(AND($AG$3=$AG$1,AJ19&lt;=$AZ$1),0,IF(Main!$C$26="UGC",0,IF(OR(AJ19&lt;DATE(2010,4,1),$I$6=VLOOKUP(AJ19,$B$2:$G$4,5,TRUE),AL19=VLOOKUP(AL19,'IN RPS-2015'!$I$2:$J$5,1)),0,ROUND(IF(BB19=3,0,IF(BB19=2,MIN(ROUND(AL19*$G$13%,0),IF(AJ19&lt;$J$152,$G$14,$G$15))/2,MIN(ROUND(AL19*$G$13%,0),IF(AJ19&lt;$J$152,$G$14,$G$15))))*(DAY(AK19)-DAY(AJ19)+1)/DAY(EOMONTH(AJ19,0)),0)))))</f>
        <v/>
      </c>
      <c r="AR19" s="461" t="str">
        <f>IF(AJ19="","",IF(AND($AG$3=$AG$1,AJ19&lt;=$AZ$1),0,IF(Main!$C$26="UGC",0,IF(AL19=VLOOKUP(AL19,'IN RPS-2015'!$I$2:$J$5,1),0,ROUND(AM19*VLOOKUP(AJ19,$AF$11:$AG$12,2)%,0)))))</f>
        <v/>
      </c>
      <c r="AS19" s="461" t="str">
        <f>IF(AJ19="","",IF(AND($AG$3=$AG$1,AJ19&lt;=$AZ$1),0,IF(Main!$C$26="UGC",0,IF(AJ19&lt;DATE(2010,4,1),0,IF(OR(BB19=2,BB19=3,AL19=VLOOKUP(AL19,'IN RPS-2015'!$I$2:$J$5,1)),0,ROUND(IF(AJ19&lt;$J$152,VLOOKUP(AJ19,$B$1:$G$4,4),VLOOKUP(VLOOKUP(AJ19,$B$1:$G$4,4),Main!$CE$2:$CF$5,2,FALSE))*(DAY(AK19)-DAY(AJ19)+1)/DAY(EOMONTH(AJ19,0)),0))))))</f>
        <v/>
      </c>
      <c r="AT19" s="461" t="str">
        <f>IF(AJ19="","",IF(AND($AG$3=$AG$1,AJ19&lt;=$AZ$1),0,IF(OR(BB19=2,BB19=3,$D$31=$D$28,AL19=VLOOKUP(AL19,'IN RPS-2015'!$I$2:$J$5,1)),0,ROUND(MIN(VLOOKUP(AI19,$A$27:$C$29,2,TRUE),ROUND(AL19*VLOOKUP(AI19,$A$27:$C$29,3,TRUE)%,0))*IF(AI19=$A$36,$C$36,IF(AI19=$A$37,$C$37,IF(AI19=$A$38,$C$38,IF(AI19=$A$39,$C$39,IF(AI19=$A$40,$C$40,IF(AI19=$A$41,$C$41,1))))))*(DAY(AK19)-DAY(AJ19)+1)/DAY(EOMONTH(AJ19,0)),0))))</f>
        <v/>
      </c>
      <c r="AU19" s="461" t="str">
        <f>IF(AJ19="","",IF(AND($AG$3=$AG$1,AJ19&lt;=$AZ$1),0,IF(Main!$C$26="UGC",0,IF(OR(BB19=3,AL19=VLOOKUP(AL19,'IN RPS-2015'!$I$2:$J$5,1)),0,ROUND(IF(BB19=2,VLOOKUP(AL19,IF($AG$3=$I$29,$A$20:$E$23,$F$144:$J$147),IF($B$19=VLOOKUP(AJ19,$B$2:$G$4,3,TRUE),2,IF($C$19=VLOOKUP(AJ19,$B$2:$G$4,3,TRUE),3,IF($D$19=VLOOKUP(AJ19,$B$2:$G$4,3,TRUE),4,5))),TRUE),VLOOKUP(AL19,IF($AG$3=$I$29,$A$20:$E$23,$F$144:$J$147),IF($B$19=VLOOKUP(AJ19,$B$2:$G$4,3,TRUE),2,IF($C$19=VLOOKUP(AJ19,$B$2:$G$4,3,TRUE),3,IF($D$19=VLOOKUP(AJ19,$B$2:$G$4,3,TRUE),4,5))),TRUE))*(DAY(AK19)-DAY(AJ19)+1)/DAY(EOMONTH(AJ19,0)),0)))))</f>
        <v/>
      </c>
      <c r="AV19" s="461" t="str">
        <f>IF(AJ19="","",IF(AND($AG$3=$AG$1,AJ19&lt;=$AZ$1),0,IF(Main!$C$26="UGC",0,IF(OR(AI19&lt;DATE(2010,4,1),BB19=3,AL19=VLOOKUP(AL19,'IN RPS-2015'!$I$2:$J$5,1)),0,ROUND(IF(BB19=2,IF(AJ19&lt;$J$152,Main!$L$9,Main!$CI$3)/2,IF(AJ19&lt;$J$152,Main!$L$9,Main!$CI$3))*(DAY(AK19)-DAY(AJ19)+1)/DAY(EOMONTH(AJ19,0)),0)))))</f>
        <v/>
      </c>
      <c r="AW19" s="461"/>
      <c r="AX19" s="461" t="str">
        <f>IF(AJ19="","",IF(AND($AG$3=$AG$1,AJ19&lt;=$AZ$1),0,IF(Main!$C$26="UGC",0,IF(OR(BB19=3,AL19=VLOOKUP(AL19,'IN RPS-2015'!$I$2:$J$5,1)),0,ROUND(IF(BB19=2,VLOOKUP(AM19,IF(AJ19&lt;$J$152,$A$154:$E$159,$F$154:$J$159),IF($B$10=VLOOKUP(AI19,$B$2:$G$4,6,TRUE),2,IF($B$10=VLOOKUP(AI19,$B$2:$G$4,6,TRUE),3,IF($D$10=VLOOKUP(AI19,$B$2:$G$4,6,TRUE),4,5))))/2,VLOOKUP(AM19,IF(AJ19&lt;$J$152,$A$154:$E$159,$F$154:$J$159),IF($B$10=VLOOKUP(AI19,$B$2:$G$4,6,TRUE),2,IF($B$10=VLOOKUP(AI19,$B$2:$G$4,6,TRUE),3,IF($D$10=VLOOKUP(AI19,$B$2:$G$4,6,TRUE),4,5)))))*(DAY(AK19)-DAY(AJ19)+1)/DAY(EOMONTH(AJ19,0)),0)))))</f>
        <v/>
      </c>
      <c r="AY19" s="461">
        <f t="shared" si="67"/>
        <v>0</v>
      </c>
      <c r="AZ19" s="464" t="str">
        <f>IF(AJ19="","",IF(AND($AG$3=$AG$1,AJ19&lt;=$AZ$1),0,IF(AND(Main!$F$22=Main!$CA$24,AJ19&gt;$AZ$1),ROUND(SUM(AM19,AO19)*10%,0),"")))</f>
        <v/>
      </c>
      <c r="BA19" s="464" t="str">
        <f>IF(AI19="","",IF(AND($AG$3=$AG$1,AJ19&lt;=$AZ$1),0,IF(OR(Main!$H$10=Main!$BH$4,Main!$H$10=Main!$BH$5),0,LOOKUP(AY19*DAY(EOMONTH(AJ19,0))/(DAY(AK19)-DAY(AJ19)+1),$H$184:$I$189))))</f>
        <v/>
      </c>
      <c r="BB19" s="497">
        <f t="shared" si="55"/>
        <v>1</v>
      </c>
      <c r="BC19" s="464"/>
      <c r="BD19" s="501" t="str">
        <f t="shared" si="56"/>
        <v/>
      </c>
      <c r="BE19" s="502" t="str">
        <f t="shared" si="85"/>
        <v/>
      </c>
      <c r="BF19" s="484" t="str">
        <f>IF(BE19="","",MIN(EOMONTH(BE19,0),VLOOKUP(BE19,'IN RPS-2015'!$O$164:$P$202,2,TRUE)-1,LOOKUP(BE19,$E$47:$F$53)-1,IF(BE19&lt;$B$2,$B$2-1,'IN RPS-2015'!$Q$9),IF(BE19&lt;$B$3,$B$3-1,'IN RPS-2015'!$Q$9),IF(BE19&lt;$B$4,$B$4-1,'IN RPS-2015'!$Q$9),LOOKUP(BE19,$H$47:$I$53)))</f>
        <v/>
      </c>
      <c r="BG19" s="493" t="str">
        <f>IF(BE19="","",VLOOKUP(BE19,'IN RPS-2015'!$P$164:$AA$202,10))</f>
        <v/>
      </c>
      <c r="BH19" s="461" t="str">
        <f t="shared" si="68"/>
        <v/>
      </c>
      <c r="BI19" s="461" t="str">
        <f>IF(BE19="","",IF(AND($AG$3=$AG$1,BE19&lt;=$AZ$1),0,ROUND(IF(BW19=3,0,IF(BW19=2,IF(BG19=VLOOKUP(BG19,'IN RPS-2015'!$I$2:$J$5,1),0,Main!$H$9)/2,IF(BG19=VLOOKUP(BG19,'IN RPS-2015'!$I$2:$J$5,1),0,Main!$H$9)))*(DAY(BF19)-DAY(BE19)+1)/DAY(EOMONTH(BE19,0)),0)))</f>
        <v/>
      </c>
      <c r="BJ19" s="461" t="str">
        <f>IF(BE19="","",IF(AND($AG$3=$AG$1,BE19&lt;=$AZ$1),0,IF(BG19=VLOOKUP(BG19,'IN RPS-2015'!$I$2:$J$5,1),0,ROUND(BH19*VLOOKUP(BE19,$AF$4:$AG$7,2)%,0))))</f>
        <v/>
      </c>
      <c r="BK19" s="461" t="str">
        <f>IF(BE19="","",IF(AND($AG$3=$AG$1,BE19&lt;=$AZ$1),0,IF(OR(BW19=3,BG19=VLOOKUP(BG19,'IN RPS-2015'!$I$2:$J$5,1)),0,ROUND(MIN(ROUND(BG19*VLOOKUP(BE19,$B$1:$G$4,2)%,0),VLOOKUP(BE19,$B$2:$I$4,IF($AG$3=$I$29,7,8),TRUE))*(DAY(BF19)-DAY(BE19)+1)/DAY(EOMONTH(BE19,0)),0))))</f>
        <v/>
      </c>
      <c r="BL19" s="491" t="str">
        <f>IF(BE19="","",IF(AND($AG$3=$AG$1,BE19&lt;=$AZ$1),0,IF(Main!$C$26="UGC",0,IF(OR(BE19&lt;DATE(2010,4,1),$I$6=VLOOKUP(BE19,$B$2:$G$4,5,TRUE),BG19=VLOOKUP(BG19,'IN RPS-2015'!$I$2:$J$5,1)),0,ROUND(IF(BW19=3,0,IF(BW19=2,MIN(ROUND(BG19*$G$13%,0),IF(BE19&lt;$J$152,$G$14,$G$15))/2,MIN(ROUND(BG19*$G$13%,0),IF(BE19&lt;$J$152,$G$14,$G$15))))*(DAY(BF19)-DAY(BE19)+1)/DAY(EOMONTH(BE19,0)),0)))))</f>
        <v/>
      </c>
      <c r="BM19" s="461" t="str">
        <f>IF(BE19="","",IF(AND($AG$3=$AG$1,BE19&lt;=$AZ$1),0,IF(Main!$C$26="UGC",0,IF(BG19=VLOOKUP(BG19,'IN RPS-2015'!$I$2:$J$5,1),0,ROUND(BH19*VLOOKUP(BE19,$AF$11:$AG$12,2)%,0)))))</f>
        <v/>
      </c>
      <c r="BN19" s="461" t="str">
        <f>IF(BE19="","",IF(AND($AG$3=$AG$1,BE19&lt;=$AZ$1),0,IF(Main!$C$26="UGC",0,IF(BE19&lt;DATE(2010,4,1),0,IF(OR(BW19=2,BW19=3,BG19=VLOOKUP(BG19,'IN RPS-2015'!$I$2:$J$5,1)),0,ROUND(IF(BE19&lt;$J$152,VLOOKUP(BE19,$B$1:$G$4,4),VLOOKUP(VLOOKUP(BE19,$B$1:$G$4,4),Main!$CE$2:$CF$5,2,FALSE))*(DAY(BF19)-DAY(BE19)+1)/DAY(EOMONTH(BE19,0)),0))))))</f>
        <v/>
      </c>
      <c r="BO19" s="461" t="str">
        <f>IF(BE19="","",IF(AND($AG$3=$AG$1,BE19&lt;=$AZ$1),0,IF(OR(BW19=2,BW19=3,$D$31=$D$28,BG19=VLOOKUP(BG19,'IN RPS-2015'!$I$2:$J$5,1)),0,ROUND(MIN(VLOOKUP(BD19,$A$27:$C$29,2,TRUE),ROUND(BG19*VLOOKUP(BD19,$A$27:$C$29,3,TRUE)%,0))*IF(BD19=$A$36,$C$36,IF(BD19=$A$37,$C$37,IF(BD19=$A$38,$C$38,IF(BD19=$A$39,$C$39,IF(BD19=$A$40,$C$40,IF(BD19=$A$41,$C$41,1))))))*(DAY(BF19)-DAY(BE19)+1)/DAY(EOMONTH(BE19,0)),0))))</f>
        <v/>
      </c>
      <c r="BP19" s="461" t="str">
        <f>IF(BE19="","",IF(AND($AG$3=$AG$1,BE19&lt;=$AZ$1),0,IF(Main!$C$26="UGC",0,IF(OR(BW19=3,BG19=VLOOKUP(BG19,'IN RPS-2015'!$I$2:$J$5,1)),0,ROUND(IF(BW19=2,VLOOKUP(BG19,IF($AG$3=$I$29,$A$20:$E$23,$F$144:$J$147),IF($B$19=VLOOKUP(BE19,$B$2:$G$4,3,TRUE),2,IF($C$19=VLOOKUP(BE19,$B$2:$G$4,3,TRUE),3,IF($D$19=VLOOKUP(BE19,$B$2:$G$4,3,TRUE),4,5))),TRUE),VLOOKUP(BG19,IF($AG$3=$I$29,$A$20:$E$23,$F$144:$J$147),IF($B$19=VLOOKUP(BE19,$B$2:$G$4,3,TRUE),2,IF($C$19=VLOOKUP(BE19,$B$2:$G$4,3,TRUE),3,IF($D$19=VLOOKUP(BE19,$B$2:$G$4,3,TRUE),4,5))),TRUE))*(DAY(BF19)-DAY(BE19)+1)/DAY(EOMONTH(BE19,0)),0)))))</f>
        <v/>
      </c>
      <c r="BQ19" s="461" t="str">
        <f>IF(BE19="","",IF(AND($AG$3=$AG$1,BE19&lt;=$AZ$1),0,IF(Main!$C$26="UGC",0,IF(OR(BD19&lt;DATE(2010,4,1),BW19=3,BG19=VLOOKUP(BG19,'IN RPS-2015'!$I$2:$J$5,1)),0,ROUND(IF(BW19=2,IF(BE19&lt;$J$152,Main!$L$9,Main!$CI$3)/2,IF(BE19&lt;$J$152,Main!$L$9,Main!$CI$3))*(DAY(BF19)-DAY(BE19)+1)/DAY(EOMONTH(BE19,0)),0)))))</f>
        <v/>
      </c>
      <c r="BR19" s="461"/>
      <c r="BS19" s="461" t="str">
        <f>IF(BE19="","",IF(AND($AG$3=$AG$1,BE19&lt;=$AZ$1),0,IF(Main!$C$26="UGC",0,IF(OR(BW19=3,BG19=VLOOKUP(BG19,'IN RPS-2015'!$I$2:$J$5,1)),0,ROUND(IF(BW19=2,VLOOKUP(BH19,IF(BE19&lt;$J$152,$A$154:$E$159,$F$154:$J$159),IF($B$10=VLOOKUP(BD19,$B$2:$G$4,6,TRUE),2,IF($B$10=VLOOKUP(BD19,$B$2:$G$4,6,TRUE),3,IF($D$10=VLOOKUP(BD19,$B$2:$G$4,6,TRUE),4,5))))/2,VLOOKUP(BH19,IF(BE19&lt;$J$152,$A$154:$E$159,$F$154:$J$159),IF($B$10=VLOOKUP(BD19,$B$2:$G$4,6,TRUE),2,IF($B$10=VLOOKUP(BD19,$B$2:$G$4,6,TRUE),3,IF($D$10=VLOOKUP(BD19,$B$2:$G$4,6,TRUE),4,5)))))*(DAY(BF19)-DAY(BE19)+1)/DAY(EOMONTH(BE19,0)),0)))))</f>
        <v/>
      </c>
      <c r="BT19" s="461">
        <f t="shared" si="69"/>
        <v>0</v>
      </c>
      <c r="BU19" s="464" t="str">
        <f>IF(BE19="","",IF(AND($AG$3=$AG$1,BE19&lt;=$AZ$1),0,IF(AND(Main!$F$22=Main!$CA$24,BE19&gt;$AZ$1),ROUND(SUM(BH19,BJ19)*10%,0),"")))</f>
        <v/>
      </c>
      <c r="BV19" s="464" t="str">
        <f>IF(BD19="","",IF(AND($AG$3=$AG$1,BE19&lt;=$AZ$1),0,IF(OR(Main!$H$10=Main!$BH$4,Main!$H$10=Main!$BH$5),0,LOOKUP(BT19*DAY(EOMONTH(BE19,0))/(DAY(BF19)-DAY(BE19)+1),$H$184:$I$189))))</f>
        <v/>
      </c>
      <c r="BW19" s="503">
        <f t="shared" si="70"/>
        <v>1</v>
      </c>
      <c r="BX19" s="457">
        <f t="shared" si="71"/>
        <v>0</v>
      </c>
      <c r="BY19" s="497"/>
      <c r="BZ19" s="497"/>
      <c r="CA19" s="457"/>
      <c r="CB19" s="461"/>
      <c r="CC19" s="499" t="str">
        <f t="shared" si="57"/>
        <v/>
      </c>
      <c r="CD19" s="500" t="str">
        <f t="shared" si="86"/>
        <v/>
      </c>
      <c r="CE19" s="484" t="str">
        <f>IF(CD19="","",MIN(EOMONTH(CD19,0),VLOOKUP(CD19,'IN RPS-2015'!$O$164:$P$202,2,TRUE)-1,LOOKUP(CD19,$E$47:$F$53)-1,IF(CD19&lt;$B$2,$B$2-1,'IN RPS-2015'!$Q$9),IF(CD19&lt;$B$3,$B$3-1,'IN RPS-2015'!$Q$9),IF(CD19&lt;$B$4,$B$4-1,'IN RPS-2015'!$Q$9),LOOKUP(CD19,$H$47:$I$53)))</f>
        <v/>
      </c>
      <c r="CF19" s="490" t="str">
        <f>IF(CD19="","",VLOOKUP(CD19,'IN RPS-2015'!$T$207:$Y$222,5))</f>
        <v/>
      </c>
      <c r="CG19" s="461" t="str">
        <f t="shared" si="72"/>
        <v/>
      </c>
      <c r="CH19" s="461" t="str">
        <f>IF(CD19="","",IF(AND($CA$3=$CA$1,CD19&lt;=$CT$1),0,ROUND(IF(CV19=3,0,IF(CV19=2,IF(CF19=VLOOKUP(CF19,'IN RPS-2015'!$I$2:$J$5,1),0,Main!$H$9)/2,IF(CF19=VLOOKUP(CF19,'IN RPS-2015'!$I$2:$J$5,1),0,Main!$H$9)))*(DAY(CE19)-DAY(CD19)+1)/DAY(EOMONTH(CD19,0)),0)))</f>
        <v/>
      </c>
      <c r="CI19" s="461" t="str">
        <f>IF(CD19="","",IF(AND($CA$3=$CA$1,CD19&lt;=$CT$1),0,IF(CF19=VLOOKUP(CF19,'IN RPS-2015'!$I$2:$J$5,1),0,ROUND(CG19*VLOOKUP(CD19,$BZ$4:$CA$7,2)%,0))))</f>
        <v/>
      </c>
      <c r="CJ19" s="461" t="str">
        <f>IF(CD19="","",IF(AND($CA$3=$CA$1,CD19&lt;=$CT$1),0,IF(OR(CV19=3,CF19=VLOOKUP(CF19,'IN RPS-2015'!$I$2:$J$5,1)),0,ROUND(MIN(ROUND(CF19*VLOOKUP(CD19,$B$1:$G$4,2)%,0),VLOOKUP(CD19,$B$2:$I$4,IF($CA$3=$I$29,7,8),TRUE))*(DAY(CE19)-DAY(CD19)+1)/DAY(EOMONTH(CD19,0)),0))))</f>
        <v/>
      </c>
      <c r="CK19" s="491" t="str">
        <f>IF(CD19="","",IF(AND($CA$3=$CA$1,CD19&lt;=$CT$1),0,IF(Main!$C$26="UGC",0,IF(OR(CD19&lt;DATE(2010,4,1),$I$6=VLOOKUP(CD19,$B$2:$G$4,5,TRUE),CF19=VLOOKUP(CF19,'IN RPS-2015'!$I$2:$J$5,1)),0,ROUND(IF(CV19=3,0,IF(CV19=2,MIN(ROUND(CF19*$G$13%,0),IF(CD19&lt;$J$152,$G$14,$G$15))/2,MIN(ROUND(CF19*$G$13%,0),IF(CD19&lt;$J$152,$G$14,$G$15))))*(DAY(CE19)-DAY(CD19)+1)/DAY(EOMONTH(CD19,0)),0)))))</f>
        <v/>
      </c>
      <c r="CL19" s="461" t="str">
        <f>IF(CD19="","",IF(AND($CA$3=$CA$1,CD19&lt;=$CT$1),0,IF(Main!$C$26="UGC",0,IF(CF19=VLOOKUP(CF19,'IN RPS-2015'!$I$2:$J$5,1),0,ROUND(CG19*VLOOKUP(CD19,$BZ$11:$CA$12,2)%,0)))))</f>
        <v/>
      </c>
      <c r="CM19" s="461" t="str">
        <f>IF(CD19="","",IF(AND($CA$3=$CA$1,CD19&lt;=$CT$1),0,IF(Main!$C$26="UGC",0,IF(CD19&lt;DATE(2010,4,1),0,IF(OR(CV19=2,CV19=3,CF19=VLOOKUP(CF19,'IN RPS-2015'!$I$2:$J$5,1)),0,ROUND(IF(CD19&lt;$J$152,VLOOKUP(CD19,$B$1:$G$4,4),VLOOKUP(VLOOKUP(CD19,$B$1:$G$4,4),Main!$CE$2:$CF$5,2,FALSE))*(DAY(CE19)-DAY(CD19)+1)/DAY(EOMONTH(CD19,0)),0))))))</f>
        <v/>
      </c>
      <c r="CN19" s="461" t="str">
        <f>IF(CD19="","",IF(AND($CA$3=$CA$1,CD19&lt;=$CT$1),0,IF(OR(CV19=2,CV19=3,$D$31=$D$28,CF19=VLOOKUP(CF19,'IN RPS-2015'!$I$2:$J$5,1)),0,ROUND(MIN(VLOOKUP(CC19,$A$27:$C$29,2,TRUE),ROUND(CF19*VLOOKUP(CC19,$A$27:$C$29,3,TRUE)%,0))*IF(CC19=$A$36,$C$36,IF(CC19=$A$37,$C$37,IF(CC19=$A$38,$C$38,IF(CC19=$A$39,$C$39,IF(CC19=$A$40,$C$40,IF(CC19=$A$41,$C$41,1))))))*(DAY(CE19)-DAY(CD19)+1)/DAY(EOMONTH(CD19,0)),0))))</f>
        <v/>
      </c>
      <c r="CO19" s="461" t="str">
        <f>IF(CD19="","",IF(AND($CA$3=$CA$1,CD19&lt;=$CT$1),0,IF(Main!$C$26="UGC",0,IF(OR(CV19=3,CF19=VLOOKUP(CF19,'IN RPS-2015'!$I$2:$J$5,1)),0,ROUND(IF(CV19=2,VLOOKUP(CF19,IF($CA$3=$I$29,$A$20:$E$23,$F$144:$J$147),IF($B$19=VLOOKUP(CD19,$B$2:$G$4,3,TRUE),2,IF($C$19=VLOOKUP(CD19,$B$2:$G$4,3,TRUE),3,IF($D$19=VLOOKUP(CD19,$B$2:$G$4,3,TRUE),4,5))),TRUE),VLOOKUP(CF19,IF($CA$3=$I$29,$A$20:$E$23,$F$144:$J$147),IF($B$19=VLOOKUP(CD19,$B$2:$G$4,3,TRUE),2,IF($C$19=VLOOKUP(CD19,$B$2:$G$4,3,TRUE),3,IF($D$19=VLOOKUP(CD19,$B$2:$G$4,3,TRUE),4,5))),TRUE))*(DAY(CE19)-DAY(CD19)+1)/DAY(EOMONTH(CD19,0)),0)))))</f>
        <v/>
      </c>
      <c r="CP19" s="461" t="str">
        <f>IF(CD19="","",IF(AND($CA$3=$CA$1,CD19&lt;=$CT$1),0,IF(Main!$C$26="UGC",0,IF(OR(CC19&lt;DATE(2010,4,1),CV19=3,CF19=VLOOKUP(CF19,'IN RPS-2015'!$I$2:$J$5,1)),0,ROUND(IF(CV19=2,IF(CD19&lt;$J$152,Main!$L$9,Main!$CI$3)/2,IF(CD19&lt;$J$152,Main!$L$9,Main!$CI$3))*(DAY(CE19)-DAY(CD19)+1)/DAY(EOMONTH(CD19,0)),0)))))</f>
        <v/>
      </c>
      <c r="CQ19" s="461"/>
      <c r="CR19" s="461" t="str">
        <f>IF(CD19="","",IF(AND($CA$3=$CA$1,CD19&lt;=$CT$1),0,IF(Main!$C$26="UGC",0,IF(OR(CV19=3,CF19=VLOOKUP(CF19,'IN RPS-2015'!$I$2:$J$5,1)),0,ROUND(IF(CV19=2,VLOOKUP(CG19,IF(CD19&lt;$J$152,$A$154:$E$159,$F$154:$J$159),IF($B$10=VLOOKUP(CC19,$B$2:$G$4,6,TRUE),2,IF($B$10=VLOOKUP(CC19,$B$2:$G$4,6,TRUE),3,IF($D$10=VLOOKUP(CC19,$B$2:$G$4,6,TRUE),4,5))))/2,VLOOKUP(CG19,IF(CD19&lt;$J$152,$A$154:$E$159,$F$154:$J$159),IF($B$10=VLOOKUP(CC19,$B$2:$G$4,6,TRUE),2,IF($B$10=VLOOKUP(CC19,$B$2:$G$4,6,TRUE),3,IF($D$10=VLOOKUP(CC19,$B$2:$G$4,6,TRUE),4,5)))))*(DAY(CE19)-DAY(CD19)+1)/DAY(EOMONTH(CD19,0)),0)))))</f>
        <v/>
      </c>
      <c r="CS19" s="461">
        <f t="shared" si="73"/>
        <v>0</v>
      </c>
      <c r="CT19" s="464" t="str">
        <f>IF(CD19="","",IF(AND($CA$3=$CA$1,CD19&lt;=$CT$1),0,IF(AND(Main!$F$22=Main!$CA$24,CD19&gt;$CT$1),ROUND(SUM(CG19,CI19)*10%,0),"")))</f>
        <v/>
      </c>
      <c r="CU19" s="464" t="str">
        <f>IF(CC19="","",IF(CG19=0,0,IF(OR(Main!$H$10=Main!$BH$4,Main!$H$10=Main!$BH$5),0,LOOKUP(CS19*DAY(EOMONTH(CD19,0))/(DAY(CE19)-DAY(CD19)+1),$H$184:$I$189))))</f>
        <v/>
      </c>
      <c r="CV19" s="457">
        <f t="shared" si="74"/>
        <v>1</v>
      </c>
      <c r="CW19" s="464"/>
      <c r="CX19" s="501" t="str">
        <f t="shared" si="59"/>
        <v/>
      </c>
      <c r="CY19" s="502" t="str">
        <f t="shared" si="87"/>
        <v/>
      </c>
      <c r="CZ19" s="484" t="str">
        <f>IF(CY19="","",MIN(EOMONTH(CY19,0),VLOOKUP(CY19,'IN RPS-2015'!$O$164:$P$202,2,TRUE)-1,LOOKUP(CY19,$E$47:$F$53)-1,IF(CY19&lt;$B$2,$B$2-1,'IN RPS-2015'!$Q$9),IF(CY19&lt;$B$3,$B$3-1,'IN RPS-2015'!$Q$9),IF(CY19&lt;$B$4,$B$4-1,'IN RPS-2015'!$Q$9),LOOKUP(CY19,$H$47:$I$53)))</f>
        <v/>
      </c>
      <c r="DA19" s="493" t="str">
        <f>IF(CY19="","",VLOOKUP(CY19,'IN RPS-2015'!$T$207:$Y$222,6))</f>
        <v/>
      </c>
      <c r="DB19" s="461" t="str">
        <f t="shared" si="75"/>
        <v/>
      </c>
      <c r="DC19" s="461" t="str">
        <f>IF(CY19="","",IF(AND($CA$3=$CA$1,CY19&lt;=$CT$1),0,ROUND(IF(DQ19=3,0,IF(DQ19=2,IF(DA19=VLOOKUP(DA19,'IN RPS-2015'!$I$2:$J$5,1),0,Main!$H$9)/2,IF(DA19=VLOOKUP(DA19,'IN RPS-2015'!$I$2:$J$5,1),0,Main!$H$9)))*(DAY(CZ19)-DAY(CY19)+1)/DAY(EOMONTH(CY19,0)),0)))</f>
        <v/>
      </c>
      <c r="DD19" s="461" t="str">
        <f>IF(CY19="","",IF(AND($CA$3=$CA$1,CY19&lt;=$CT$1),0,IF(DA19=VLOOKUP(DA19,'IN RPS-2015'!$I$2:$J$5,1),0,ROUND(DB19*VLOOKUP(CY19,$BZ$4:$CA$7,2)%,0))))</f>
        <v/>
      </c>
      <c r="DE19" s="461" t="str">
        <f>IF(CY19="","",IF(AND($CA$3=$CA$1,CY19&lt;=$CT$1),0,IF(OR(DQ19=3,DA19=VLOOKUP(DA19,'IN RPS-2015'!$I$2:$J$5,1)),0,ROUND(MIN(ROUND(DA19*VLOOKUP(CY19,$B$1:$G$4,2)%,0),VLOOKUP(CY19,$B$2:$I$4,IF($CA$3=$I$29,7,8),TRUE))*(DAY(CZ19)-DAY(CY19)+1)/DAY(EOMONTH(CY19,0)),0))))</f>
        <v/>
      </c>
      <c r="DF19" s="491" t="str">
        <f>IF(CY19="","",IF(AND($CA$3=$CA$1,CY19&lt;=$CT$1),0,IF(Main!$C$26="UGC",0,IF(OR(CY19&lt;DATE(2010,4,1),$I$6=VLOOKUP(CY19,$B$2:$G$4,5,TRUE),DA19=VLOOKUP(DA19,'IN RPS-2015'!$I$2:$J$5,1)),0,ROUND(IF(DQ19=3,0,IF(DQ19=2,MIN(ROUND(DA19*$G$13%,0),IF(CY19&lt;$J$152,$G$14,$G$15))/2,MIN(ROUND(DA19*$G$13%,0),IF(CY19&lt;$J$152,$G$14,$G$15))))*(DAY(CZ19)-DAY(CY19)+1)/DAY(EOMONTH(CY19,0)),0)))))</f>
        <v/>
      </c>
      <c r="DG19" s="461" t="str">
        <f>IF(CY19="","",IF(AND($CA$3=$CA$1,CY19&lt;=$CT$1),0,IF(Main!$C$26="UGC",0,IF(DA19=VLOOKUP(DA19,'IN RPS-2015'!$I$2:$J$5,1),0,ROUND(DB19*VLOOKUP(CY19,$BZ$11:$CA$12,2)%,0)))))</f>
        <v/>
      </c>
      <c r="DH19" s="461" t="str">
        <f>IF(CY19="","",IF(AND($CA$3=$CA$1,CY19&lt;=$CT$1),0,IF(Main!$C$26="UGC",0,IF(CY19&lt;DATE(2010,4,1),0,IF(OR(DQ19=2,DQ19=3,DA19=VLOOKUP(DA19,'IN RPS-2015'!$I$2:$J$5,1)),0,ROUND(IF(CY19&lt;$J$152,VLOOKUP(CY19,$B$1:$G$4,4),VLOOKUP(VLOOKUP(CY19,$B$1:$G$4,4),Main!$CE$2:$CF$5,2,FALSE))*(DAY(CZ19)-DAY(CY19)+1)/DAY(EOMONTH(CY19,0)),0))))))</f>
        <v/>
      </c>
      <c r="DI19" s="461" t="str">
        <f>IF(CY19="","",IF(AND($CA$3=$CA$1,CY19&lt;=$CT$1),0,IF(OR(DQ19=2,DQ19=3,$D$31=$D$28,DA19=VLOOKUP(DA19,'IN RPS-2015'!$I$2:$J$5,1)),0,ROUND(MIN(VLOOKUP(CX19,$A$27:$C$29,2,TRUE),ROUND(DA19*VLOOKUP(CX19,$A$27:$C$29,3,TRUE)%,0))*IF(CX19=$A$36,$C$36,IF(CX19=$A$37,$C$37,IF(CX19=$A$38,$C$38,IF(CX19=$A$39,$C$39,IF(CX19=$A$40,$C$40,IF(CX19=$A$41,$C$41,1))))))*(DAY(CZ19)-DAY(CY19)+1)/DAY(EOMONTH(CY19,0)),0))))</f>
        <v/>
      </c>
      <c r="DJ19" s="461" t="str">
        <f>IF(CY19="","",IF(AND($CA$3=$CA$1,CY19&lt;=$CT$1),0,IF(Main!$C$26="UGC",0,IF(OR(DQ19=3,DA19=VLOOKUP(DA19,'IN RPS-2015'!$I$2:$J$5,1)),0,ROUND(IF(DQ19=2,VLOOKUP(DA19,IF($CA$3=$I$29,$A$20:$E$23,$F$144:$J$147),IF($B$19=VLOOKUP(CY19,$B$2:$G$4,3,TRUE),2,IF($C$19=VLOOKUP(CY19,$B$2:$G$4,3,TRUE),3,IF($D$19=VLOOKUP(CY19,$B$2:$G$4,3,TRUE),4,5))),TRUE),VLOOKUP(DA19,IF($CA$3=$I$29,$A$20:$E$23,$F$144:$J$147),IF($B$19=VLOOKUP(CY19,$B$2:$G$4,3,TRUE),2,IF($C$19=VLOOKUP(CY19,$B$2:$G$4,3,TRUE),3,IF($D$19=VLOOKUP(CY19,$B$2:$G$4,3,TRUE),4,5))),TRUE))*(DAY(CZ19)-DAY(CY19)+1)/DAY(EOMONTH(CY19,0)),0)))))</f>
        <v/>
      </c>
      <c r="DK19" s="461" t="str">
        <f>IF(CY19="","",IF(AND($CA$3=$CA$1,CY19&lt;=$CT$1),0,IF(Main!$C$26="UGC",0,IF(OR(CX19&lt;DATE(2010,4,1),DQ19=3,DA19=VLOOKUP(DA19,'IN RPS-2015'!$I$2:$J$5,1)),0,ROUND(IF(DQ19=2,IF(CY19&lt;$J$152,Main!$L$9,Main!$CI$3)/2,IF(CY19&lt;$J$152,Main!$L$9,Main!$CI$3))*(DAY(CZ19)-DAY(CY19)+1)/DAY(EOMONTH(CY19,0)),0)))))</f>
        <v/>
      </c>
      <c r="DL19" s="461"/>
      <c r="DM19" s="461" t="str">
        <f>IF(CY19="","",IF(AND($CA$3=$CA$1,CY19&lt;=$CT$1),0,IF(Main!$C$26="UGC",0,IF(OR(DQ19=3,DA19=VLOOKUP(DA19,'IN RPS-2015'!$I$2:$J$5,1)),0,ROUND(IF(DQ19=2,VLOOKUP(DB19,IF(CY19&lt;$J$152,$A$154:$E$159,$F$154:$J$159),IF($B$10=VLOOKUP(CX19,$B$2:$G$4,6,TRUE),2,IF($B$10=VLOOKUP(CX19,$B$2:$G$4,6,TRUE),3,IF($D$10=VLOOKUP(CX19,$B$2:$G$4,6,TRUE),4,5))))/2,VLOOKUP(DB19,IF(CY19&lt;$J$152,$A$154:$E$159,$F$154:$J$159),IF($B$10=VLOOKUP(CX19,$B$2:$G$4,6,TRUE),2,IF($B$10=VLOOKUP(CX19,$B$2:$G$4,6,TRUE),3,IF($D$10=VLOOKUP(CX19,$B$2:$G$4,6,TRUE),4,5)))))*(DAY(CZ19)-DAY(CY19)+1)/DAY(EOMONTH(CY19,0)),0)))))</f>
        <v/>
      </c>
      <c r="DN19" s="461">
        <f t="shared" si="76"/>
        <v>0</v>
      </c>
      <c r="DO19" s="464" t="str">
        <f>IF(CY19="","",IF(AND($CA$3=$CA$1,CY19&lt;=$CT$1),0,IF(AND(Main!$F$22=Main!$CA$24,CY19&gt;$CT$1),ROUND(SUM(DB19,DD19)*10%,0),"")))</f>
        <v/>
      </c>
      <c r="DP19" s="464" t="str">
        <f>IF(CX19="","",IF(AND($CA$3=$CA$1,CY19&lt;=$CT$1),0,IF(OR(Main!$H$10=Main!$BH$4,Main!$H$10=Main!$BH$5),0,LOOKUP(DN19*DAY(EOMONTH(CY19,0))/(DAY(CZ19)-DAY(CY19)+1),$H$184:$I$189))))</f>
        <v/>
      </c>
      <c r="DQ19" s="457">
        <f t="shared" si="60"/>
        <v>1</v>
      </c>
      <c r="DR19" s="457">
        <f t="shared" si="77"/>
        <v>0</v>
      </c>
      <c r="DS19" s="497"/>
      <c r="DT19" s="497"/>
      <c r="DU19" s="457"/>
      <c r="DV19" s="461"/>
      <c r="DW19" s="499" t="str">
        <f t="shared" si="61"/>
        <v/>
      </c>
      <c r="DX19" s="500" t="str">
        <f t="shared" si="88"/>
        <v/>
      </c>
      <c r="DY19" s="484" t="str">
        <f>IF(DX19="","",MIN(EOMONTH(DX19,0),VLOOKUP(DX19,'IN RPS-2015'!$O$164:$P$202,2,TRUE)-1,LOOKUP(DX19,$E$47:$F$53)-1,IF(DX19&lt;$B$2,$B$2-1,'IN RPS-2015'!$Q$9),IF(DX19&lt;$B$3,$B$3-1,'IN RPS-2015'!$Q$9),IF(DX19&lt;$B$4,$B$4-1,'IN RPS-2015'!$Q$9),LOOKUP(DX19,$H$47:$I$53)))</f>
        <v/>
      </c>
      <c r="DZ19" s="490" t="str">
        <f>IF(DX19="","",VLOOKUP(DX19,'IN RPS-2015'!$P$164:$AA$202,11))</f>
        <v/>
      </c>
      <c r="EA19" s="461" t="str">
        <f t="shared" si="78"/>
        <v/>
      </c>
      <c r="EB19" s="461" t="str">
        <f>IF(DX19="","",ROUND(IF(EP19=3,0,IF(EP19=2,IF(DZ19=VLOOKUP(DZ19,'IN RPS-2015'!$I$2:$J$5,1),0,Main!$H$9)/2,IF(DZ19=VLOOKUP(DZ19,'IN RPS-2015'!$I$2:$J$5,1),0,Main!$H$9)))*(DAY(DY19)-DAY(DX19)+1)/DAY(EOMONTH(DX19,0)),0))</f>
        <v/>
      </c>
      <c r="EC19" s="461" t="str">
        <f>IF(DX19="","",IF(DZ19=VLOOKUP(DZ19,'IN RPS-2015'!$I$2:$J$5,1),0,ROUND(EA19*VLOOKUP(DX19,$DT$4:$DU$7,2)%,0)))</f>
        <v/>
      </c>
      <c r="ED19" s="461" t="str">
        <f>IF(DX19="","",IF(OR(EP19=3,DZ19=VLOOKUP(DZ19,'IN RPS-2015'!$I$2:$J$5,1)),0,ROUND(MIN(ROUND(DZ19*VLOOKUP(DX19,$B$1:$G$4,2)%,0),VLOOKUP(DX19,$B$2:$I$4,IF($DU$3=$I$29,7,8),TRUE))*(DAY(DY19)-DAY(DX19)+1)/DAY(EOMONTH(DX19,0)),0)))</f>
        <v/>
      </c>
      <c r="EE19" s="491" t="str">
        <f>IF(DX19="","",IF(Main!$C$26="UGC",0,IF(OR(DX19&lt;DATE(2010,4,1),$I$6=VLOOKUP(DX19,$B$2:$G$4,5,TRUE),DZ19=VLOOKUP(DZ19,'IN RPS-2015'!$I$2:$J$5,1)),0,ROUND(IF(EP19=3,0,IF(EP19=2,MIN(ROUND(DZ19*$G$13%,0),IF(DX19&lt;$I$152,$G$14,$G$15))/2,MIN(ROUND(DZ19*$G$13%,0),IF(DX19&lt;$I$152,$G$14,$G$15))))*(DAY(DY19)-DAY(DX19)+1)/DAY(EOMONTH(DX19,0)),0))))</f>
        <v/>
      </c>
      <c r="EF19" s="461" t="str">
        <f>IF(DX19="","",IF(Main!$C$26="UGC",0,IF(DZ19=VLOOKUP(DZ19,'IN RPS-2015'!$I$2:$J$5,1),0,ROUND(EA19*VLOOKUP(DX19,$DT$11:$DU$12,2)%,0))))</f>
        <v/>
      </c>
      <c r="EG19" s="461" t="str">
        <f>IF(DX19="","",IF(Main!$C$26="UGC",0,IF(DX19&lt;DATE(2010,4,1),0,IF(OR(EP19=2,EP19=3,DZ19=VLOOKUP(DZ19,'IN RPS-2015'!$I$2:$J$5,1)),0,ROUND(IF(DX19&lt;$I$152,VLOOKUP(DX19,$B$1:$G$4,4),VLOOKUP(VLOOKUP(DX19,$B$1:$G$4,4),Main!$CE$2:$CF$5,2,FALSE))*(DAY(DY19)-DAY(DX19)+1)/DAY(EOMONTH(DX19,0)),0)))))</f>
        <v/>
      </c>
      <c r="EH19" s="461" t="str">
        <f>IF(DX19="","",IF(OR(EP19=2,EP19=3,$D$31=$D$28,DZ19=VLOOKUP(DZ19,'IN RPS-2015'!$I$2:$J$5,1)),0,ROUND(MIN(IF(DX19&lt;$I$152,900,1350),ROUND(DZ19*VLOOKUP(DW19,$A$27:$C$29,3,TRUE)%,0))*IF(DW19=$A$36,$C$36,IF(DW19=$A$37,$C$37,IF(DW19=$A$38,$C$38,IF(DW19=$A$39,$C$39,IF(DW19=$A$40,$C$40,IF(DW19=$A$41,$C$41,1))))))*(DAY(DY19)-DAY(DX19)+1)/DAY(EOMONTH(DX19,0)),0)))</f>
        <v/>
      </c>
      <c r="EI19" s="461" t="str">
        <f>IF(DX19="","",IF(Main!$C$26="UGC",0,IF(OR(EP19=3,DZ19=VLOOKUP(DZ19,'IN RPS-2015'!$I$2:$J$5,1)),0,ROUND(IF(EP19=2,VLOOKUP(DZ19,IF($DU$3=$I$29,$A$20:$E$23,$F$144:$J$147),IF($B$19=VLOOKUP(DX19,$B$2:$G$4,3,TRUE),2,IF($C$19=VLOOKUP(DX19,$B$2:$G$4,3,TRUE),3,IF($D$19=VLOOKUP(DX19,$B$2:$G$4,3,TRUE),4,5))),TRUE),VLOOKUP(DZ19,IF($DU$3=$I$29,$A$20:$E$23,$F$144:$J$147),IF($B$19=VLOOKUP(DX19,$B$2:$G$4,3,TRUE),2,IF($C$19=VLOOKUP(DX19,$B$2:$G$4,3,TRUE),3,IF($D$19=VLOOKUP(DX19,$B$2:$G$4,3,TRUE),4,5))),TRUE))*(DAY(DY19)-DAY(DX19)+1)/DAY(EOMONTH(DX19,0)),0))))</f>
        <v/>
      </c>
      <c r="EJ19" s="461" t="str">
        <f>IF(DX19="","",IF(Main!$C$26="UGC",0,IF(OR(DW19&lt;DATE(2010,4,1),EP19=3,DZ19=VLOOKUP(DZ19,'IN RPS-2015'!$I$2:$J$5,1)),0,ROUND(IF(EP19=2,IF(DX19&lt;$I$152,Main!$L$9,Main!$CI$3)/2,IF(DX19&lt;$I$152,Main!$L$9,Main!$CI$3))*(DAY(DY19)-DAY(DX19)+1)/DAY(EOMONTH(DX19,0)),0))))</f>
        <v/>
      </c>
      <c r="EK19" s="461"/>
      <c r="EL19" s="461" t="str">
        <f>IF(DX19="","",IF(Main!$C$26="UGC",0,IF(OR(EP19=3,DZ19=VLOOKUP(DZ19,'IN RPS-2015'!$I$2:$J$5,1)),0,ROUND(IF(EP19=2,VLOOKUP(EA19,IF(DX19&lt;$I$152,$A$154:$E$159,$F$154:$J$159),IF($B$10=VLOOKUP(DW19,$B$2:$G$4,6,TRUE),2,IF($B$10=VLOOKUP(DW19,$B$2:$G$4,6,TRUE),3,IF($D$10=VLOOKUP(DW19,$B$2:$G$4,6,TRUE),4,5))))/2,VLOOKUP(EA19,IF(DX19&lt;$I$152,$A$154:$E$159,$F$154:$J$159),IF($B$10=VLOOKUP(DW19,$B$2:$G$4,6,TRUE),2,IF($B$10=VLOOKUP(DW19,$B$2:$G$4,6,TRUE),3,IF($D$10=VLOOKUP(DW19,$B$2:$G$4,6,TRUE),4,5)))))*(DAY(DY19)-DAY(DX19)+1)/DAY(EOMONTH(DX19,0)),0))))</f>
        <v/>
      </c>
      <c r="EM19" s="461">
        <f t="shared" si="79"/>
        <v>0</v>
      </c>
      <c r="EN19" s="464" t="str">
        <f>IF(DX19="","",IF(AND(Main!$F$22=Main!$CA$24,DX19&gt;$EN$1),ROUND(SUM(EA19,EC19)*10%,0),""))</f>
        <v/>
      </c>
      <c r="EO19" s="464" t="str">
        <f>IF(DW19="","",IF(EA19=0,0,IF(OR(Main!$H$10=Main!$BH$4,Main!$H$10=Main!$BH$5),0,LOOKUP(EM19*DAY(EOMONTH(DX19,0))/(DAY(DY19)-DAY(DX19)+1),$H$184:$I$189))))</f>
        <v/>
      </c>
      <c r="EP19" s="457">
        <f t="shared" si="62"/>
        <v>1</v>
      </c>
      <c r="ER19" s="497"/>
      <c r="ET19" s="461"/>
      <c r="EU19" s="499" t="str">
        <f t="shared" si="63"/>
        <v/>
      </c>
      <c r="EV19" s="500" t="str">
        <f t="shared" si="89"/>
        <v/>
      </c>
      <c r="EW19" s="484" t="str">
        <f>IF(EV19="","",MIN(EOMONTH(EV19,0),VLOOKUP(EV19,'IN RPS-2015'!$O$164:$P$202,2,TRUE)-1,LOOKUP(EV19,$E$47:$F$53)-1,IF(EV19&lt;$B$2,$B$2-1,'IN RPS-2015'!$Q$9),IF(EV19&lt;$B$3,$B$3-1,'IN RPS-2015'!$Q$9),IF(EV19&lt;$B$4,$B$4-1,'IN RPS-2015'!$Q$9),LOOKUP(EV19,$H$47:$I$53)))</f>
        <v/>
      </c>
      <c r="EX19" s="490" t="str">
        <f>IF(EV19="","",VLOOKUP(EV19,'IN RPS-2015'!$P$164:$AA$202,12))</f>
        <v/>
      </c>
      <c r="EY19" s="461" t="str">
        <f t="shared" si="80"/>
        <v/>
      </c>
      <c r="EZ19" s="461" t="str">
        <f>IF(EV19="","",ROUND(IF(FN19=3,0,IF(FN19=2,IF(EX19=VLOOKUP(EX19,'IN RPS-2015'!$I$2:$J$5,1),0,Main!$H$9)/2,IF(EX19=VLOOKUP(EX19,'IN RPS-2015'!$I$2:$J$5,1),0,Main!$H$9)))*(DAY(EW19)-DAY(EV19)+1)/DAY(EOMONTH(EV19,0)),0))</f>
        <v/>
      </c>
      <c r="FA19" s="461" t="str">
        <f>IF(EV19="","",IF(EX19=VLOOKUP(EX19,'IN RPS-2015'!$I$2:$J$5,1),0,ROUND(EY19*VLOOKUP(EV19,$ER$4:$ES$7,2)%,0)))</f>
        <v/>
      </c>
      <c r="FB19" s="461" t="str">
        <f>IF(EV19="","",IF(OR(FN19=3,EX19=VLOOKUP(EX19,'IN RPS-2015'!$I$2:$J$5,1)),0,ROUND(MIN(ROUND(EX19*VLOOKUP(EV19,$B$1:$G$4,2)%,0),VLOOKUP(EV19,$B$2:$I$4,IF($ES$3=$I$29,7,8),TRUE))*(DAY(EW19)-DAY(EV19)+1)/DAY(EOMONTH(EV19,0)),0)))</f>
        <v/>
      </c>
      <c r="FC19" s="491" t="str">
        <f>IF(EV19="","",IF(Main!$C$26="UGC",0,IF(OR(EV19&lt;DATE(2010,4,1),$I$6=VLOOKUP(EV19,$B$2:$G$4,5,TRUE),EX19=VLOOKUP(EX19,'IN RPS-2015'!$I$2:$J$5,1)),0,ROUND(IF(FN19=3,0,IF(FN19=2,MIN(ROUND(EX19*$G$13%,0),IF(EV19&lt;$J$152,$G$14,$G$15))/2,MIN(ROUND(EX19*$G$13%,0),IF(EV19&lt;$J$152,$G$14,$G$15))))*(DAY(EW19)-DAY(EV19)+1)/DAY(EOMONTH(EV19,0)),0))))</f>
        <v/>
      </c>
      <c r="FD19" s="461" t="str">
        <f>IF(EV19="","",IF(Main!$C$26="UGC",0,IF(EX19=VLOOKUP(EX19,'IN RPS-2015'!$I$2:$J$5,1),0,ROUND(EY19*VLOOKUP(EV19,$ER$11:$ES$12,2)%,0))))</f>
        <v/>
      </c>
      <c r="FE19" s="461" t="str">
        <f>IF(EV19="","",IF(Main!$C$26="UGC",0,IF(EV19&lt;DATE(2010,4,1),0,IF(OR(FN19=2,FN19=3,EX19=VLOOKUP(EX19,'IN RPS-2015'!$I$2:$J$5,1)),0,ROUND(IF(EV19&lt;$J$152,VLOOKUP(EV19,$B$1:$G$4,4),VLOOKUP(VLOOKUP(EV19,$B$1:$G$4,4),Main!$CE$2:$CF$5,2,FALSE))*(DAY(EW19)-DAY(EV19)+1)/DAY(EOMONTH(EV19,0)),0)))))</f>
        <v/>
      </c>
      <c r="FF19" s="461" t="str">
        <f>IF(EV19="","",IF(OR(FN19=2,FN19=3,$D$31=$D$28,EX19=VLOOKUP(EX19,'IN RPS-2015'!$I$2:$J$5,1)),0,ROUND(MIN(VLOOKUP(EU19,$A$27:$C$29,2,TRUE),ROUND(EX19*VLOOKUP(EU19,$A$27:$C$29,3,TRUE)%,0))*IF(EU19=$A$36,$C$36,IF(EU19=$A$37,$C$37,IF(EU19=$A$38,$C$38,IF(EU19=$A$39,$C$39,IF(EU19=$A$40,$C$40,IF(EU19=$A$41,$C$41,1))))))*(DAY(EW19)-DAY(EV19)+1)/DAY(EOMONTH(EV19,0)),0)))</f>
        <v/>
      </c>
      <c r="FG19" s="461" t="str">
        <f>IF(EV19="","",IF(Main!$C$26="UGC",0,IF(OR(FN19=3,EX19=VLOOKUP(EX19,'IN RPS-2015'!$I$2:$J$5,1)),0,ROUND(IF(FN19=2,VLOOKUP(EX19,IF($ES$3=$I$29,$A$20:$E$23,$F$144:$J$147),IF($B$19=VLOOKUP(EV19,$B$2:$G$4,3,TRUE),2,IF($C$19=VLOOKUP(EV19,$B$2:$G$4,3,TRUE),3,IF($D$19=VLOOKUP(EV19,$B$2:$G$4,3,TRUE),4,5))),TRUE),VLOOKUP(EX19,IF($ES$3=$I$29,$A$20:$E$23,$F$144:$J$147),IF($B$19=VLOOKUP(EV19,$B$2:$G$4,3,TRUE),2,IF($C$19=VLOOKUP(EV19,$B$2:$G$4,3,TRUE),3,IF($D$19=VLOOKUP(EV19,$B$2:$G$4,3,TRUE),4,5))),TRUE))*(DAY(EW19)-DAY(EV19)+1)/DAY(EOMONTH(EV19,0)),0))))</f>
        <v/>
      </c>
      <c r="FH19" s="461" t="str">
        <f>IF(EV19="","",IF(Main!$C$26="UGC",0,IF(OR(EU19&lt;DATE(2010,4,1),FN19=3,EX19=VLOOKUP(EX19,'IN RPS-2015'!$I$2:$J$5,1)),0,ROUND(IF(FN19=2,IF(EV19&lt;$J$152,Main!$L$9,Main!$CI$3)/2,IF(EV19&lt;$J$152,Main!$L$9,Main!$CI$3))*(DAY(EW19)-DAY(EV19)+1)/DAY(EOMONTH(EV19,0)),0))))</f>
        <v/>
      </c>
      <c r="FI19" s="461"/>
      <c r="FJ19" s="461" t="str">
        <f>IF(EV19="","",IF(Main!$C$26="UGC",0,IF(OR(FN19=3,EX19=VLOOKUP(EX19,'IN RPS-2015'!$I$2:$J$5,1)),0,ROUND(IF(FN19=2,VLOOKUP(EY19,IF(EV19&lt;$J$152,$A$154:$E$159,$F$154:$J$159),IF($B$10=VLOOKUP(EU19,$B$2:$G$4,6,TRUE),2,IF($B$10=VLOOKUP(EU19,$B$2:$G$4,6,TRUE),3,IF($D$10=VLOOKUP(EU19,$B$2:$G$4,6,TRUE),4,5))))/2,VLOOKUP(EY19,IF(EV19&lt;$J$152,$A$154:$E$159,$F$154:$J$159),IF($B$10=VLOOKUP(EU19,$B$2:$G$4,6,TRUE),2,IF($B$10=VLOOKUP(EU19,$B$2:$G$4,6,TRUE),3,IF($D$10=VLOOKUP(EU19,$B$2:$G$4,6,TRUE),4,5)))))*(DAY(EW19)-DAY(EV19)+1)/DAY(EOMONTH(EV19,0)),0))))</f>
        <v/>
      </c>
      <c r="FK19" s="461">
        <f t="shared" si="81"/>
        <v>0</v>
      </c>
      <c r="FL19" s="464" t="str">
        <f>IF(EV19="","",IF(AND(Main!$F$22=Main!$CA$24,EV19&gt;$FL$1),ROUND(SUM(EY19,FA19)*10%,0),""))</f>
        <v/>
      </c>
      <c r="FM19" s="464" t="str">
        <f>IF(EU19="","",IF(EY19=0,0,IF(OR(Main!$H$10=Main!$BH$4,Main!$H$10=Main!$BH$5),0,LOOKUP(FK19*DAY(EOMONTH(EV19,0))/(DAY(EW19)-DAY(EV19)+1),$H$184:$I$189))))</f>
        <v/>
      </c>
      <c r="FN19" s="457">
        <f t="shared" si="64"/>
        <v>1</v>
      </c>
    </row>
    <row r="20" spans="1:170">
      <c r="A20" s="7">
        <v>1</v>
      </c>
      <c r="B20" s="7">
        <v>200</v>
      </c>
      <c r="C20" s="7">
        <v>120</v>
      </c>
      <c r="D20" s="7">
        <v>100</v>
      </c>
      <c r="E20" s="7">
        <v>0</v>
      </c>
      <c r="K20" s="494" t="str">
        <f t="shared" si="65"/>
        <v/>
      </c>
      <c r="L20" s="495" t="str">
        <f t="shared" si="82"/>
        <v/>
      </c>
      <c r="M20" s="484" t="str">
        <f>IF(L20="","",MIN(EOMONTH(L20,0),VLOOKUP(L20,'IN RPS-2015'!$O$164:$P$202,2,TRUE)-1,LOOKUP(L20,$E$47:$F$53)-1,IF(L20&lt;$B$2,$B$2-1,'IN RPS-2015'!$Q$9),IF(L20&lt;$B$3,$B$3-1,'IN RPS-2015'!$Q$9),IF(L20&lt;$B$4,$B$4-1,'IN RPS-2015'!$Q$9),LOOKUP(L20,$H$47:$I$53)))</f>
        <v/>
      </c>
      <c r="N20" s="496" t="str">
        <f>IF(L20="","",VLOOKUP(L20,'Advance Tax'!$A$3:$C$14,3))</f>
        <v/>
      </c>
      <c r="O20" s="509" t="str">
        <f t="shared" si="52"/>
        <v/>
      </c>
      <c r="P20" s="497" t="str">
        <f>IF(L20="","",ROUND(IF(AD20=3,0,IF(AD20=2,IF(N20=VLOOKUP(N20,'IN RPS-2015'!$I$2:$J$5,1),0,Main!$H$9)/2,IF(N20=VLOOKUP(N20,'IN RPS-2015'!$I$2:$J$5,1),0,Main!$H$9)))*(DAY(M20)-DAY(L20)+1)/DAY(EOMONTH(L20,0)),0))</f>
        <v/>
      </c>
      <c r="Q20" s="457" t="str">
        <f>IF(L20="","",IF(N20=VLOOKUP(N20,'IN RPS-2015'!$I$2:$J$5,1),0,ROUND(O20*IF(L20&lt;Main!$C$27,VLOOKUP(L20,$H$9:$J$12,3),VLOOKUP(L20,$H$9:$J$12,2))%,0)))</f>
        <v/>
      </c>
      <c r="R20" s="457" t="str">
        <f>IF(L20="","",IF(OR(AD20=3,N20=VLOOKUP(N20,'IN RPS-2015'!$I$2:$J$5,1)),0,ROUND(MIN(ROUND(N20*VLOOKUP(L20,$B$1:$G$4,2)%,0),VLOOKUP(L20,$B$2:$I$4,IF(L20&lt;$G$7,7,8),TRUE))*(DAY(M20)-DAY(L20)+1)/DAY(EOMONTH(L20,0)),0)))</f>
        <v/>
      </c>
      <c r="S20" s="486" t="str">
        <f>IF(L20="","",IF(Main!$C$26="UGC",0,IF(OR(L20&lt;DATE(2010,4,1),$I$6=VLOOKUP(L20,$B$2:$G$4,5,TRUE),N20=VLOOKUP(N20,'IN RPS-2015'!$I$2:$J$5,1)),0,ROUND(IF(AD20=3,0,IF(AD20=2,MIN(ROUND(N20*$G$13%,0),IF(L20&lt;$J$152,$G$14,$G$15))/2,MIN(ROUND(N20*$G$13%,0),IF(L20&lt;$J$152,$G$14,$G$15))))*(DAY(M20)-DAY(L20)+1)/DAY(EOMONTH(L20,0)),0))))</f>
        <v/>
      </c>
      <c r="T20" s="457" t="str">
        <f>IF(L20="","",IF(Main!$C$26="UGC",0,IF(N20=VLOOKUP(N20,'IN RPS-2015'!$I$2:$J$5,1),0,ROUND(O20*VLOOKUP(L20,$H$205:$I$206,2)%,0))))</f>
        <v/>
      </c>
      <c r="U20" s="457" t="str">
        <f>IF(L20="","",IF(Main!$C$26="UGC",0,IF(L20&lt;DATE(2010,4,1),0,IF(OR(AD20=2,AD20=3,N20=VLOOKUP(N20,'IN RPS-2015'!$I$2:$J$5,1)),0,ROUND(IF(L20&lt;$J$152,VLOOKUP(L20,$B$1:$G$4,4),VLOOKUP(VLOOKUP(L20,$B$1:$G$4,4),Main!$CE$2:$CF$5,2,FALSE))*(DAY(M20)-DAY(L20)+1)/DAY(EOMONTH(L20,0)),0)))))</f>
        <v/>
      </c>
      <c r="V20" s="457" t="str">
        <f>IF(L20="","",IF(OR(AD20=2,AD20=3,$D$31=$D$28,N20=VLOOKUP(N20,'IN RPS-2015'!$I$2:$J$5,1)),0,ROUND(MIN(VLOOKUP(K20,$A$27:$C$29,2,TRUE),ROUND(N20*VLOOKUP(K20,$A$27:$C$29,3,TRUE)%,0))*IF(K20=$A$36,$C$36,IF(K20=$A$37,$C$37,IF(K20=$A$38,$C$38,IF(K20=$A$39,$C$39,IF(K20=$A$40,$C$40,IF(K20=$A$41,$C$41,1))))))*(DAY(M20)-DAY(L20)+1)/DAY(EOMONTH(L20,0)),0)))</f>
        <v/>
      </c>
      <c r="W20" s="457" t="str">
        <f>IF(L20="","",IF(Main!$C$26="UGC",0,IF(OR(AD20=3,N20=VLOOKUP(N20,'IN RPS-2015'!$I$2:$J$5,1)),0,ROUND(IF(AD20=2,VLOOKUP(N20,IF(L20&lt;$G$7,$A$20:$E$23,$F$144:$J$147),IF($B$19=VLOOKUP(L20,$B$2:$G$4,3,TRUE),2,IF($C$19=VLOOKUP(L20,$B$2:$G$4,3,TRUE),3,IF($D$19=VLOOKUP(L20,$B$2:$G$4,3,TRUE),4,5))),TRUE),VLOOKUP(N20,IF(L20&lt;$G$7,$A$20:$E$23,$F$144:$J$147),IF($B$19=VLOOKUP(L20,$B$2:$G$4,3,TRUE),2,IF($C$19=VLOOKUP(L20,$B$2:$G$4,3,TRUE),3,IF($D$19=VLOOKUP(L20,$B$2:$G$4,3,TRUE),4,5))),TRUE))*(DAY(M20)-DAY(L20)+1)/DAY(EOMONTH(L20,0)),0))))</f>
        <v/>
      </c>
      <c r="X20" s="457" t="str">
        <f>IF(L20="","",IF(Main!$C$26="UGC",0,IF(OR(K20&lt;DATE(2010,4,1),AD20=3,N20=VLOOKUP(N20,'IN RPS-2015'!$I$2:$J$5,1)),0,ROUND(IF(AD20=2,IF(L20&lt;$J$152,Main!$L$9,Main!$CI$3)/2,IF(L20&lt;$J$152,Main!$L$9,Main!$CI$3))*(DAY(M20)-DAY(L20)+1)/DAY(EOMONTH(L20,0)),0))))</f>
        <v/>
      </c>
      <c r="Y20" s="497"/>
      <c r="Z20" s="457" t="str">
        <f>IF(L20="","",IF(Main!$C$26="UGC",0,IF(OR(AD20=3,N20=VLOOKUP(N20,'IN RPS-2015'!$I$2:$J$5,1)),0,ROUND(IF(AD20=2,VLOOKUP(O20,IF(L20&lt;$J$152,$A$154:$E$159,$F$154:$J$159),IF($B$10=VLOOKUP(K20,$B$2:$G$4,6,TRUE),2,IF($B$10=VLOOKUP(K20,$B$2:$G$4,6,TRUE),3,IF($D$10=VLOOKUP(K20,$B$2:$G$4,6,TRUE),4,5))))/2,VLOOKUP(O20,IF(L20&lt;$J$152,$A$154:$E$159,$F$154:$J$159),IF($B$10=VLOOKUP(K20,$B$2:$G$4,6,TRUE),2,IF($B$10=VLOOKUP(K20,$B$2:$G$4,6,TRUE),3,IF($D$10=VLOOKUP(K20,$B$2:$G$4,6,TRUE),4,5)))))*(DAY(M20)-DAY(L20)+1)/DAY(EOMONTH(L20,0)),0))))</f>
        <v/>
      </c>
      <c r="AA20" s="497">
        <f t="shared" si="83"/>
        <v>0</v>
      </c>
      <c r="AB20" s="497"/>
      <c r="AC20" s="497"/>
      <c r="AD20" s="497">
        <f t="shared" si="53"/>
        <v>1</v>
      </c>
      <c r="AE20" s="497"/>
      <c r="AF20" s="497"/>
      <c r="AH20" s="461"/>
      <c r="AI20" s="499" t="str">
        <f t="shared" si="54"/>
        <v/>
      </c>
      <c r="AJ20" s="500" t="str">
        <f t="shared" si="84"/>
        <v/>
      </c>
      <c r="AK20" s="484" t="str">
        <f>IF(AJ20="","",MIN(EOMONTH(AJ20,0),VLOOKUP(AJ20,'IN RPS-2015'!$O$164:$P$202,2,TRUE)-1,LOOKUP(AJ20,$E$47:$F$53)-1,IF(AJ20&lt;$B$2,$B$2-1,'IN RPS-2015'!$Q$9),IF(AJ20&lt;$B$3,$B$3-1,'IN RPS-2015'!$Q$9),IF(AJ20&lt;$B$4,$B$4-1,'IN RPS-2015'!$Q$9),LOOKUP(AJ20,$H$47:$I$53)))</f>
        <v/>
      </c>
      <c r="AL20" s="490" t="str">
        <f>IF(AJ20="","",VLOOKUP(AJ20,'IN RPS-2015'!$P$164:$AA$202,9))</f>
        <v/>
      </c>
      <c r="AM20" s="461" t="str">
        <f t="shared" si="66"/>
        <v/>
      </c>
      <c r="AN20" s="461" t="str">
        <f>IF(AJ20="","",IF(AND($AG$3=$AG$1,AJ20&lt;=$AZ$1),0,ROUND(IF(BB20=3,0,IF(BB20=2,IF(AL20=VLOOKUP(AL20,'IN RPS-2015'!$I$2:$J$5,1),0,Main!$H$9)/2,IF(AL20=VLOOKUP(AL20,'IN RPS-2015'!$I$2:$J$5,1),0,Main!$H$9)))*(DAY(AK20)-DAY(AJ20)+1)/DAY(EOMONTH(AJ20,0)),0)))</f>
        <v/>
      </c>
      <c r="AO20" s="461" t="str">
        <f>IF(AJ20="","",IF(AND($AG$3=$AG$1,AJ20&lt;=$AZ$1),0,IF(AL20=VLOOKUP(AL20,'IN RPS-2015'!$I$2:$J$5,1),0,ROUND(AM20*VLOOKUP(AJ20,$AF$4:$AG$7,2)%,0))))</f>
        <v/>
      </c>
      <c r="AP20" s="461" t="str">
        <f>IF(AJ20="","",IF(AND($AG$3=$AG$1,AJ20&lt;=$AZ$1),0,IF(OR(BB20=3,AL20=VLOOKUP(AL20,'IN RPS-2015'!$I$2:$J$5,1)),0,ROUND(MIN(ROUND(AL20*VLOOKUP(AJ20,$B$1:$G$4,2)%,0),VLOOKUP(AJ20,$B$2:$I$4,IF($AG$3=$I$29,7,8),TRUE))*(DAY(AK20)-DAY(AJ20)+1)/DAY(EOMONTH(AJ20,0)),0))))</f>
        <v/>
      </c>
      <c r="AQ20" s="491" t="str">
        <f>IF(AJ20="","",IF(AND($AG$3=$AG$1,AJ20&lt;=$AZ$1),0,IF(Main!$C$26="UGC",0,IF(OR(AJ20&lt;DATE(2010,4,1),$I$6=VLOOKUP(AJ20,$B$2:$G$4,5,TRUE),AL20=VLOOKUP(AL20,'IN RPS-2015'!$I$2:$J$5,1)),0,ROUND(IF(BB20=3,0,IF(BB20=2,MIN(ROUND(AL20*$G$13%,0),IF(AJ20&lt;$J$152,$G$14,$G$15))/2,MIN(ROUND(AL20*$G$13%,0),IF(AJ20&lt;$J$152,$G$14,$G$15))))*(DAY(AK20)-DAY(AJ20)+1)/DAY(EOMONTH(AJ20,0)),0)))))</f>
        <v/>
      </c>
      <c r="AR20" s="461" t="str">
        <f>IF(AJ20="","",IF(AND($AG$3=$AG$1,AJ20&lt;=$AZ$1),0,IF(Main!$C$26="UGC",0,IF(AL20=VLOOKUP(AL20,'IN RPS-2015'!$I$2:$J$5,1),0,ROUND(AM20*VLOOKUP(AJ20,$AF$11:$AG$12,2)%,0)))))</f>
        <v/>
      </c>
      <c r="AS20" s="461" t="str">
        <f>IF(AJ20="","",IF(AND($AG$3=$AG$1,AJ20&lt;=$AZ$1),0,IF(Main!$C$26="UGC",0,IF(AJ20&lt;DATE(2010,4,1),0,IF(OR(BB20=2,BB20=3,AL20=VLOOKUP(AL20,'IN RPS-2015'!$I$2:$J$5,1)),0,ROUND(IF(AJ20&lt;$J$152,VLOOKUP(AJ20,$B$1:$G$4,4),VLOOKUP(VLOOKUP(AJ20,$B$1:$G$4,4),Main!$CE$2:$CF$5,2,FALSE))*(DAY(AK20)-DAY(AJ20)+1)/DAY(EOMONTH(AJ20,0)),0))))))</f>
        <v/>
      </c>
      <c r="AT20" s="461" t="str">
        <f>IF(AJ20="","",IF(AND($AG$3=$AG$1,AJ20&lt;=$AZ$1),0,IF(OR(BB20=2,BB20=3,$D$31=$D$28,AL20=VLOOKUP(AL20,'IN RPS-2015'!$I$2:$J$5,1)),0,ROUND(MIN(VLOOKUP(AI20,$A$27:$C$29,2,TRUE),ROUND(AL20*VLOOKUP(AI20,$A$27:$C$29,3,TRUE)%,0))*IF(AI20=$A$36,$C$36,IF(AI20=$A$37,$C$37,IF(AI20=$A$38,$C$38,IF(AI20=$A$39,$C$39,IF(AI20=$A$40,$C$40,IF(AI20=$A$41,$C$41,1))))))*(DAY(AK20)-DAY(AJ20)+1)/DAY(EOMONTH(AJ20,0)),0))))</f>
        <v/>
      </c>
      <c r="AU20" s="461" t="str">
        <f>IF(AJ20="","",IF(AND($AG$3=$AG$1,AJ20&lt;=$AZ$1),0,IF(Main!$C$26="UGC",0,IF(OR(BB20=3,AL20=VLOOKUP(AL20,'IN RPS-2015'!$I$2:$J$5,1)),0,ROUND(IF(BB20=2,VLOOKUP(AL20,IF($AG$3=$I$29,$A$20:$E$23,$F$144:$J$147),IF($B$19=VLOOKUP(AJ20,$B$2:$G$4,3,TRUE),2,IF($C$19=VLOOKUP(AJ20,$B$2:$G$4,3,TRUE),3,IF($D$19=VLOOKUP(AJ20,$B$2:$G$4,3,TRUE),4,5))),TRUE),VLOOKUP(AL20,IF($AG$3=$I$29,$A$20:$E$23,$F$144:$J$147),IF($B$19=VLOOKUP(AJ20,$B$2:$G$4,3,TRUE),2,IF($C$19=VLOOKUP(AJ20,$B$2:$G$4,3,TRUE),3,IF($D$19=VLOOKUP(AJ20,$B$2:$G$4,3,TRUE),4,5))),TRUE))*(DAY(AK20)-DAY(AJ20)+1)/DAY(EOMONTH(AJ20,0)),0)))))</f>
        <v/>
      </c>
      <c r="AV20" s="461" t="str">
        <f>IF(AJ20="","",IF(AND($AG$3=$AG$1,AJ20&lt;=$AZ$1),0,IF(Main!$C$26="UGC",0,IF(OR(AI20&lt;DATE(2010,4,1),BB20=3,AL20=VLOOKUP(AL20,'IN RPS-2015'!$I$2:$J$5,1)),0,ROUND(IF(BB20=2,IF(AJ20&lt;$J$152,Main!$L$9,Main!$CI$3)/2,IF(AJ20&lt;$J$152,Main!$L$9,Main!$CI$3))*(DAY(AK20)-DAY(AJ20)+1)/DAY(EOMONTH(AJ20,0)),0)))))</f>
        <v/>
      </c>
      <c r="AW20" s="461"/>
      <c r="AX20" s="461" t="str">
        <f>IF(AJ20="","",IF(AND($AG$3=$AG$1,AJ20&lt;=$AZ$1),0,IF(Main!$C$26="UGC",0,IF(OR(BB20=3,AL20=VLOOKUP(AL20,'IN RPS-2015'!$I$2:$J$5,1)),0,ROUND(IF(BB20=2,VLOOKUP(AM20,IF(AJ20&lt;$J$152,$A$154:$E$159,$F$154:$J$159),IF($B$10=VLOOKUP(AI20,$B$2:$G$4,6,TRUE),2,IF($B$10=VLOOKUP(AI20,$B$2:$G$4,6,TRUE),3,IF($D$10=VLOOKUP(AI20,$B$2:$G$4,6,TRUE),4,5))))/2,VLOOKUP(AM20,IF(AJ20&lt;$J$152,$A$154:$E$159,$F$154:$J$159),IF($B$10=VLOOKUP(AI20,$B$2:$G$4,6,TRUE),2,IF($B$10=VLOOKUP(AI20,$B$2:$G$4,6,TRUE),3,IF($D$10=VLOOKUP(AI20,$B$2:$G$4,6,TRUE),4,5)))))*(DAY(AK20)-DAY(AJ20)+1)/DAY(EOMONTH(AJ20,0)),0)))))</f>
        <v/>
      </c>
      <c r="AY20" s="461">
        <f t="shared" si="67"/>
        <v>0</v>
      </c>
      <c r="AZ20" s="464" t="str">
        <f>IF(AJ20="","",IF(AND($AG$3=$AG$1,AJ20&lt;=$AZ$1),0,IF(AND(Main!$F$22=Main!$CA$24,AJ20&gt;$AZ$1),ROUND(SUM(AM20,AO20)*10%,0),"")))</f>
        <v/>
      </c>
      <c r="BA20" s="464" t="str">
        <f>IF(AI20="","",IF(AND($AG$3=$AG$1,AJ20&lt;=$AZ$1),0,IF(OR(Main!$H$10=Main!$BH$4,Main!$H$10=Main!$BH$5),0,LOOKUP(AY20*DAY(EOMONTH(AJ20,0))/(DAY(AK20)-DAY(AJ20)+1),$H$184:$I$189))))</f>
        <v/>
      </c>
      <c r="BB20" s="497">
        <f t="shared" si="55"/>
        <v>1</v>
      </c>
      <c r="BC20" s="464"/>
      <c r="BD20" s="501" t="str">
        <f t="shared" si="56"/>
        <v/>
      </c>
      <c r="BE20" s="502" t="str">
        <f t="shared" si="85"/>
        <v/>
      </c>
      <c r="BF20" s="484" t="str">
        <f>IF(BE20="","",MIN(EOMONTH(BE20,0),VLOOKUP(BE20,'IN RPS-2015'!$O$164:$P$202,2,TRUE)-1,LOOKUP(BE20,$E$47:$F$53)-1,IF(BE20&lt;$B$2,$B$2-1,'IN RPS-2015'!$Q$9),IF(BE20&lt;$B$3,$B$3-1,'IN RPS-2015'!$Q$9),IF(BE20&lt;$B$4,$B$4-1,'IN RPS-2015'!$Q$9),LOOKUP(BE20,$H$47:$I$53)))</f>
        <v/>
      </c>
      <c r="BG20" s="493" t="str">
        <f>IF(BE20="","",VLOOKUP(BE20,'IN RPS-2015'!$P$164:$AA$202,10))</f>
        <v/>
      </c>
      <c r="BH20" s="461" t="str">
        <f t="shared" si="68"/>
        <v/>
      </c>
      <c r="BI20" s="461" t="str">
        <f>IF(BE20="","",IF(AND($AG$3=$AG$1,BE20&lt;=$AZ$1),0,ROUND(IF(BW20=3,0,IF(BW20=2,IF(BG20=VLOOKUP(BG20,'IN RPS-2015'!$I$2:$J$5,1),0,Main!$H$9)/2,IF(BG20=VLOOKUP(BG20,'IN RPS-2015'!$I$2:$J$5,1),0,Main!$H$9)))*(DAY(BF20)-DAY(BE20)+1)/DAY(EOMONTH(BE20,0)),0)))</f>
        <v/>
      </c>
      <c r="BJ20" s="461" t="str">
        <f>IF(BE20="","",IF(AND($AG$3=$AG$1,BE20&lt;=$AZ$1),0,IF(BG20=VLOOKUP(BG20,'IN RPS-2015'!$I$2:$J$5,1),0,ROUND(BH20*VLOOKUP(BE20,$AF$4:$AG$7,2)%,0))))</f>
        <v/>
      </c>
      <c r="BK20" s="461" t="str">
        <f>IF(BE20="","",IF(AND($AG$3=$AG$1,BE20&lt;=$AZ$1),0,IF(OR(BW20=3,BG20=VLOOKUP(BG20,'IN RPS-2015'!$I$2:$J$5,1)),0,ROUND(MIN(ROUND(BG20*VLOOKUP(BE20,$B$1:$G$4,2)%,0),VLOOKUP(BE20,$B$2:$I$4,IF($AG$3=$I$29,7,8),TRUE))*(DAY(BF20)-DAY(BE20)+1)/DAY(EOMONTH(BE20,0)),0))))</f>
        <v/>
      </c>
      <c r="BL20" s="491" t="str">
        <f>IF(BE20="","",IF(AND($AG$3=$AG$1,BE20&lt;=$AZ$1),0,IF(Main!$C$26="UGC",0,IF(OR(BE20&lt;DATE(2010,4,1),$I$6=VLOOKUP(BE20,$B$2:$G$4,5,TRUE),BG20=VLOOKUP(BG20,'IN RPS-2015'!$I$2:$J$5,1)),0,ROUND(IF(BW20=3,0,IF(BW20=2,MIN(ROUND(BG20*$G$13%,0),IF(BE20&lt;$J$152,$G$14,$G$15))/2,MIN(ROUND(BG20*$G$13%,0),IF(BE20&lt;$J$152,$G$14,$G$15))))*(DAY(BF20)-DAY(BE20)+1)/DAY(EOMONTH(BE20,0)),0)))))</f>
        <v/>
      </c>
      <c r="BM20" s="461" t="str">
        <f>IF(BE20="","",IF(AND($AG$3=$AG$1,BE20&lt;=$AZ$1),0,IF(Main!$C$26="UGC",0,IF(BG20=VLOOKUP(BG20,'IN RPS-2015'!$I$2:$J$5,1),0,ROUND(BH20*VLOOKUP(BE20,$AF$11:$AG$12,2)%,0)))))</f>
        <v/>
      </c>
      <c r="BN20" s="461" t="str">
        <f>IF(BE20="","",IF(AND($AG$3=$AG$1,BE20&lt;=$AZ$1),0,IF(Main!$C$26="UGC",0,IF(BE20&lt;DATE(2010,4,1),0,IF(OR(BW20=2,BW20=3,BG20=VLOOKUP(BG20,'IN RPS-2015'!$I$2:$J$5,1)),0,ROUND(IF(BE20&lt;$J$152,VLOOKUP(BE20,$B$1:$G$4,4),VLOOKUP(VLOOKUP(BE20,$B$1:$G$4,4),Main!$CE$2:$CF$5,2,FALSE))*(DAY(BF20)-DAY(BE20)+1)/DAY(EOMONTH(BE20,0)),0))))))</f>
        <v/>
      </c>
      <c r="BO20" s="461" t="str">
        <f>IF(BE20="","",IF(AND($AG$3=$AG$1,BE20&lt;=$AZ$1),0,IF(OR(BW20=2,BW20=3,$D$31=$D$28,BG20=VLOOKUP(BG20,'IN RPS-2015'!$I$2:$J$5,1)),0,ROUND(MIN(VLOOKUP(BD20,$A$27:$C$29,2,TRUE),ROUND(BG20*VLOOKUP(BD20,$A$27:$C$29,3,TRUE)%,0))*IF(BD20=$A$36,$C$36,IF(BD20=$A$37,$C$37,IF(BD20=$A$38,$C$38,IF(BD20=$A$39,$C$39,IF(BD20=$A$40,$C$40,IF(BD20=$A$41,$C$41,1))))))*(DAY(BF20)-DAY(BE20)+1)/DAY(EOMONTH(BE20,0)),0))))</f>
        <v/>
      </c>
      <c r="BP20" s="461" t="str">
        <f>IF(BE20="","",IF(AND($AG$3=$AG$1,BE20&lt;=$AZ$1),0,IF(Main!$C$26="UGC",0,IF(OR(BW20=3,BG20=VLOOKUP(BG20,'IN RPS-2015'!$I$2:$J$5,1)),0,ROUND(IF(BW20=2,VLOOKUP(BG20,IF($AG$3=$I$29,$A$20:$E$23,$F$144:$J$147),IF($B$19=VLOOKUP(BE20,$B$2:$G$4,3,TRUE),2,IF($C$19=VLOOKUP(BE20,$B$2:$G$4,3,TRUE),3,IF($D$19=VLOOKUP(BE20,$B$2:$G$4,3,TRUE),4,5))),TRUE),VLOOKUP(BG20,IF($AG$3=$I$29,$A$20:$E$23,$F$144:$J$147),IF($B$19=VLOOKUP(BE20,$B$2:$G$4,3,TRUE),2,IF($C$19=VLOOKUP(BE20,$B$2:$G$4,3,TRUE),3,IF($D$19=VLOOKUP(BE20,$B$2:$G$4,3,TRUE),4,5))),TRUE))*(DAY(BF20)-DAY(BE20)+1)/DAY(EOMONTH(BE20,0)),0)))))</f>
        <v/>
      </c>
      <c r="BQ20" s="461" t="str">
        <f>IF(BE20="","",IF(AND($AG$3=$AG$1,BE20&lt;=$AZ$1),0,IF(Main!$C$26="UGC",0,IF(OR(BD20&lt;DATE(2010,4,1),BW20=3,BG20=VLOOKUP(BG20,'IN RPS-2015'!$I$2:$J$5,1)),0,ROUND(IF(BW20=2,IF(BE20&lt;$J$152,Main!$L$9,Main!$CI$3)/2,IF(BE20&lt;$J$152,Main!$L$9,Main!$CI$3))*(DAY(BF20)-DAY(BE20)+1)/DAY(EOMONTH(BE20,0)),0)))))</f>
        <v/>
      </c>
      <c r="BR20" s="461"/>
      <c r="BS20" s="461" t="str">
        <f>IF(BE20="","",IF(AND($AG$3=$AG$1,BE20&lt;=$AZ$1),0,IF(Main!$C$26="UGC",0,IF(OR(BW20=3,BG20=VLOOKUP(BG20,'IN RPS-2015'!$I$2:$J$5,1)),0,ROUND(IF(BW20=2,VLOOKUP(BH20,IF(BE20&lt;$J$152,$A$154:$E$159,$F$154:$J$159),IF($B$10=VLOOKUP(BD20,$B$2:$G$4,6,TRUE),2,IF($B$10=VLOOKUP(BD20,$B$2:$G$4,6,TRUE),3,IF($D$10=VLOOKUP(BD20,$B$2:$G$4,6,TRUE),4,5))))/2,VLOOKUP(BH20,IF(BE20&lt;$J$152,$A$154:$E$159,$F$154:$J$159),IF($B$10=VLOOKUP(BD20,$B$2:$G$4,6,TRUE),2,IF($B$10=VLOOKUP(BD20,$B$2:$G$4,6,TRUE),3,IF($D$10=VLOOKUP(BD20,$B$2:$G$4,6,TRUE),4,5)))))*(DAY(BF20)-DAY(BE20)+1)/DAY(EOMONTH(BE20,0)),0)))))</f>
        <v/>
      </c>
      <c r="BT20" s="461">
        <f t="shared" si="69"/>
        <v>0</v>
      </c>
      <c r="BU20" s="464" t="str">
        <f>IF(BE20="","",IF(AND($AG$3=$AG$1,BE20&lt;=$AZ$1),0,IF(AND(Main!$F$22=Main!$CA$24,BE20&gt;$AZ$1),ROUND(SUM(BH20,BJ20)*10%,0),"")))</f>
        <v/>
      </c>
      <c r="BV20" s="464" t="str">
        <f>IF(BD20="","",IF(AND($AG$3=$AG$1,BE20&lt;=$AZ$1),0,IF(OR(Main!$H$10=Main!$BH$4,Main!$H$10=Main!$BH$5),0,LOOKUP(BT20*DAY(EOMONTH(BE20,0))/(DAY(BF20)-DAY(BE20)+1),$H$184:$I$189))))</f>
        <v/>
      </c>
      <c r="BW20" s="503">
        <f t="shared" si="70"/>
        <v>1</v>
      </c>
      <c r="BX20" s="457">
        <f t="shared" si="71"/>
        <v>0</v>
      </c>
      <c r="BY20" s="497"/>
      <c r="BZ20" s="497"/>
      <c r="CA20" s="457"/>
      <c r="CB20" s="461"/>
      <c r="CC20" s="499" t="str">
        <f t="shared" si="57"/>
        <v/>
      </c>
      <c r="CD20" s="500" t="str">
        <f t="shared" si="86"/>
        <v/>
      </c>
      <c r="CE20" s="484" t="str">
        <f>IF(CD20="","",MIN(EOMONTH(CD20,0),VLOOKUP(CD20,'IN RPS-2015'!$O$164:$P$202,2,TRUE)-1,LOOKUP(CD20,$E$47:$F$53)-1,IF(CD20&lt;$B$2,$B$2-1,'IN RPS-2015'!$Q$9),IF(CD20&lt;$B$3,$B$3-1,'IN RPS-2015'!$Q$9),IF(CD20&lt;$B$4,$B$4-1,'IN RPS-2015'!$Q$9),LOOKUP(CD20,$H$47:$I$53)))</f>
        <v/>
      </c>
      <c r="CF20" s="490" t="str">
        <f>IF(CD20="","",VLOOKUP(CD20,'IN RPS-2015'!$T$207:$Y$222,5))</f>
        <v/>
      </c>
      <c r="CG20" s="461" t="str">
        <f t="shared" si="72"/>
        <v/>
      </c>
      <c r="CH20" s="461" t="str">
        <f>IF(CD20="","",IF(AND($CA$3=$CA$1,CD20&lt;=$CT$1),0,ROUND(IF(CV20=3,0,IF(CV20=2,IF(CF20=VLOOKUP(CF20,'IN RPS-2015'!$I$2:$J$5,1),0,Main!$H$9)/2,IF(CF20=VLOOKUP(CF20,'IN RPS-2015'!$I$2:$J$5,1),0,Main!$H$9)))*(DAY(CE20)-DAY(CD20)+1)/DAY(EOMONTH(CD20,0)),0)))</f>
        <v/>
      </c>
      <c r="CI20" s="461" t="str">
        <f>IF(CD20="","",IF(AND($CA$3=$CA$1,CD20&lt;=$CT$1),0,IF(CF20=VLOOKUP(CF20,'IN RPS-2015'!$I$2:$J$5,1),0,ROUND(CG20*VLOOKUP(CD20,$BZ$4:$CA$7,2)%,0))))</f>
        <v/>
      </c>
      <c r="CJ20" s="461" t="str">
        <f>IF(CD20="","",IF(AND($CA$3=$CA$1,CD20&lt;=$CT$1),0,IF(OR(CV20=3,CF20=VLOOKUP(CF20,'IN RPS-2015'!$I$2:$J$5,1)),0,ROUND(MIN(ROUND(CF20*VLOOKUP(CD20,$B$1:$G$4,2)%,0),VLOOKUP(CD20,$B$2:$I$4,IF($CA$3=$I$29,7,8),TRUE))*(DAY(CE20)-DAY(CD20)+1)/DAY(EOMONTH(CD20,0)),0))))</f>
        <v/>
      </c>
      <c r="CK20" s="491" t="str">
        <f>IF(CD20="","",IF(AND($CA$3=$CA$1,CD20&lt;=$CT$1),0,IF(Main!$C$26="UGC",0,IF(OR(CD20&lt;DATE(2010,4,1),$I$6=VLOOKUP(CD20,$B$2:$G$4,5,TRUE),CF20=VLOOKUP(CF20,'IN RPS-2015'!$I$2:$J$5,1)),0,ROUND(IF(CV20=3,0,IF(CV20=2,MIN(ROUND(CF20*$G$13%,0),IF(CD20&lt;$J$152,$G$14,$G$15))/2,MIN(ROUND(CF20*$G$13%,0),IF(CD20&lt;$J$152,$G$14,$G$15))))*(DAY(CE20)-DAY(CD20)+1)/DAY(EOMONTH(CD20,0)),0)))))</f>
        <v/>
      </c>
      <c r="CL20" s="461" t="str">
        <f>IF(CD20="","",IF(AND($CA$3=$CA$1,CD20&lt;=$CT$1),0,IF(Main!$C$26="UGC",0,IF(CF20=VLOOKUP(CF20,'IN RPS-2015'!$I$2:$J$5,1),0,ROUND(CG20*VLOOKUP(CD20,$BZ$11:$CA$12,2)%,0)))))</f>
        <v/>
      </c>
      <c r="CM20" s="461" t="str">
        <f>IF(CD20="","",IF(AND($CA$3=$CA$1,CD20&lt;=$CT$1),0,IF(Main!$C$26="UGC",0,IF(CD20&lt;DATE(2010,4,1),0,IF(OR(CV20=2,CV20=3,CF20=VLOOKUP(CF20,'IN RPS-2015'!$I$2:$J$5,1)),0,ROUND(IF(CD20&lt;$J$152,VLOOKUP(CD20,$B$1:$G$4,4),VLOOKUP(VLOOKUP(CD20,$B$1:$G$4,4),Main!$CE$2:$CF$5,2,FALSE))*(DAY(CE20)-DAY(CD20)+1)/DAY(EOMONTH(CD20,0)),0))))))</f>
        <v/>
      </c>
      <c r="CN20" s="461" t="str">
        <f>IF(CD20="","",IF(AND($CA$3=$CA$1,CD20&lt;=$CT$1),0,IF(OR(CV20=2,CV20=3,$D$31=$D$28,CF20=VLOOKUP(CF20,'IN RPS-2015'!$I$2:$J$5,1)),0,ROUND(MIN(VLOOKUP(CC20,$A$27:$C$29,2,TRUE),ROUND(CF20*VLOOKUP(CC20,$A$27:$C$29,3,TRUE)%,0))*IF(CC20=$A$36,$C$36,IF(CC20=$A$37,$C$37,IF(CC20=$A$38,$C$38,IF(CC20=$A$39,$C$39,IF(CC20=$A$40,$C$40,IF(CC20=$A$41,$C$41,1))))))*(DAY(CE20)-DAY(CD20)+1)/DAY(EOMONTH(CD20,0)),0))))</f>
        <v/>
      </c>
      <c r="CO20" s="461" t="str">
        <f>IF(CD20="","",IF(AND($CA$3=$CA$1,CD20&lt;=$CT$1),0,IF(Main!$C$26="UGC",0,IF(OR(CV20=3,CF20=VLOOKUP(CF20,'IN RPS-2015'!$I$2:$J$5,1)),0,ROUND(IF(CV20=2,VLOOKUP(CF20,IF($CA$3=$I$29,$A$20:$E$23,$F$144:$J$147),IF($B$19=VLOOKUP(CD20,$B$2:$G$4,3,TRUE),2,IF($C$19=VLOOKUP(CD20,$B$2:$G$4,3,TRUE),3,IF($D$19=VLOOKUP(CD20,$B$2:$G$4,3,TRUE),4,5))),TRUE),VLOOKUP(CF20,IF($CA$3=$I$29,$A$20:$E$23,$F$144:$J$147),IF($B$19=VLOOKUP(CD20,$B$2:$G$4,3,TRUE),2,IF($C$19=VLOOKUP(CD20,$B$2:$G$4,3,TRUE),3,IF($D$19=VLOOKUP(CD20,$B$2:$G$4,3,TRUE),4,5))),TRUE))*(DAY(CE20)-DAY(CD20)+1)/DAY(EOMONTH(CD20,0)),0)))))</f>
        <v/>
      </c>
      <c r="CP20" s="461" t="str">
        <f>IF(CD20="","",IF(AND($CA$3=$CA$1,CD20&lt;=$CT$1),0,IF(Main!$C$26="UGC",0,IF(OR(CC20&lt;DATE(2010,4,1),CV20=3,CF20=VLOOKUP(CF20,'IN RPS-2015'!$I$2:$J$5,1)),0,ROUND(IF(CV20=2,IF(CD20&lt;$J$152,Main!$L$9,Main!$CI$3)/2,IF(CD20&lt;$J$152,Main!$L$9,Main!$CI$3))*(DAY(CE20)-DAY(CD20)+1)/DAY(EOMONTH(CD20,0)),0)))))</f>
        <v/>
      </c>
      <c r="CQ20" s="461"/>
      <c r="CR20" s="461" t="str">
        <f>IF(CD20="","",IF(AND($CA$3=$CA$1,CD20&lt;=$CT$1),0,IF(Main!$C$26="UGC",0,IF(OR(CV20=3,CF20=VLOOKUP(CF20,'IN RPS-2015'!$I$2:$J$5,1)),0,ROUND(IF(CV20=2,VLOOKUP(CG20,IF(CD20&lt;$J$152,$A$154:$E$159,$F$154:$J$159),IF($B$10=VLOOKUP(CC20,$B$2:$G$4,6,TRUE),2,IF($B$10=VLOOKUP(CC20,$B$2:$G$4,6,TRUE),3,IF($D$10=VLOOKUP(CC20,$B$2:$G$4,6,TRUE),4,5))))/2,VLOOKUP(CG20,IF(CD20&lt;$J$152,$A$154:$E$159,$F$154:$J$159),IF($B$10=VLOOKUP(CC20,$B$2:$G$4,6,TRUE),2,IF($B$10=VLOOKUP(CC20,$B$2:$G$4,6,TRUE),3,IF($D$10=VLOOKUP(CC20,$B$2:$G$4,6,TRUE),4,5)))))*(DAY(CE20)-DAY(CD20)+1)/DAY(EOMONTH(CD20,0)),0)))))</f>
        <v/>
      </c>
      <c r="CS20" s="461">
        <f t="shared" si="73"/>
        <v>0</v>
      </c>
      <c r="CT20" s="464" t="str">
        <f>IF(CD20="","",IF(AND($CA$3=$CA$1,CD20&lt;=$CT$1),0,IF(AND(Main!$F$22=Main!$CA$24,CD20&gt;$CT$1),ROUND(SUM(CG20,CI20)*10%,0),"")))</f>
        <v/>
      </c>
      <c r="CU20" s="464" t="str">
        <f>IF(CC20="","",IF(CG20=0,0,IF(OR(Main!$H$10=Main!$BH$4,Main!$H$10=Main!$BH$5),0,LOOKUP(CS20*DAY(EOMONTH(CD20,0))/(DAY(CE20)-DAY(CD20)+1),$H$184:$I$189))))</f>
        <v/>
      </c>
      <c r="CV20" s="457">
        <f t="shared" si="74"/>
        <v>1</v>
      </c>
      <c r="CW20" s="464"/>
      <c r="CX20" s="501" t="str">
        <f t="shared" si="59"/>
        <v/>
      </c>
      <c r="CY20" s="502" t="str">
        <f t="shared" si="87"/>
        <v/>
      </c>
      <c r="CZ20" s="484" t="str">
        <f>IF(CY20="","",MIN(EOMONTH(CY20,0),VLOOKUP(CY20,'IN RPS-2015'!$O$164:$P$202,2,TRUE)-1,LOOKUP(CY20,$E$47:$F$53)-1,IF(CY20&lt;$B$2,$B$2-1,'IN RPS-2015'!$Q$9),IF(CY20&lt;$B$3,$B$3-1,'IN RPS-2015'!$Q$9),IF(CY20&lt;$B$4,$B$4-1,'IN RPS-2015'!$Q$9),LOOKUP(CY20,$H$47:$I$53)))</f>
        <v/>
      </c>
      <c r="DA20" s="493" t="str">
        <f>IF(CY20="","",VLOOKUP(CY20,'IN RPS-2015'!$T$207:$Y$222,6))</f>
        <v/>
      </c>
      <c r="DB20" s="461" t="str">
        <f t="shared" si="75"/>
        <v/>
      </c>
      <c r="DC20" s="461" t="str">
        <f>IF(CY20="","",IF(AND($CA$3=$CA$1,CY20&lt;=$CT$1),0,ROUND(IF(DQ20=3,0,IF(DQ20=2,IF(DA20=VLOOKUP(DA20,'IN RPS-2015'!$I$2:$J$5,1),0,Main!$H$9)/2,IF(DA20=VLOOKUP(DA20,'IN RPS-2015'!$I$2:$J$5,1),0,Main!$H$9)))*(DAY(CZ20)-DAY(CY20)+1)/DAY(EOMONTH(CY20,0)),0)))</f>
        <v/>
      </c>
      <c r="DD20" s="461" t="str">
        <f>IF(CY20="","",IF(AND($CA$3=$CA$1,CY20&lt;=$CT$1),0,IF(DA20=VLOOKUP(DA20,'IN RPS-2015'!$I$2:$J$5,1),0,ROUND(DB20*VLOOKUP(CY20,$BZ$4:$CA$7,2)%,0))))</f>
        <v/>
      </c>
      <c r="DE20" s="461" t="str">
        <f>IF(CY20="","",IF(AND($CA$3=$CA$1,CY20&lt;=$CT$1),0,IF(OR(DQ20=3,DA20=VLOOKUP(DA20,'IN RPS-2015'!$I$2:$J$5,1)),0,ROUND(MIN(ROUND(DA20*VLOOKUP(CY20,$B$1:$G$4,2)%,0),VLOOKUP(CY20,$B$2:$I$4,IF($CA$3=$I$29,7,8),TRUE))*(DAY(CZ20)-DAY(CY20)+1)/DAY(EOMONTH(CY20,0)),0))))</f>
        <v/>
      </c>
      <c r="DF20" s="491" t="str">
        <f>IF(CY20="","",IF(AND($CA$3=$CA$1,CY20&lt;=$CT$1),0,IF(Main!$C$26="UGC",0,IF(OR(CY20&lt;DATE(2010,4,1),$I$6=VLOOKUP(CY20,$B$2:$G$4,5,TRUE),DA20=VLOOKUP(DA20,'IN RPS-2015'!$I$2:$J$5,1)),0,ROUND(IF(DQ20=3,0,IF(DQ20=2,MIN(ROUND(DA20*$G$13%,0),IF(CY20&lt;$J$152,$G$14,$G$15))/2,MIN(ROUND(DA20*$G$13%,0),IF(CY20&lt;$J$152,$G$14,$G$15))))*(DAY(CZ20)-DAY(CY20)+1)/DAY(EOMONTH(CY20,0)),0)))))</f>
        <v/>
      </c>
      <c r="DG20" s="461" t="str">
        <f>IF(CY20="","",IF(AND($CA$3=$CA$1,CY20&lt;=$CT$1),0,IF(Main!$C$26="UGC",0,IF(DA20=VLOOKUP(DA20,'IN RPS-2015'!$I$2:$J$5,1),0,ROUND(DB20*VLOOKUP(CY20,$BZ$11:$CA$12,2)%,0)))))</f>
        <v/>
      </c>
      <c r="DH20" s="461" t="str">
        <f>IF(CY20="","",IF(AND($CA$3=$CA$1,CY20&lt;=$CT$1),0,IF(Main!$C$26="UGC",0,IF(CY20&lt;DATE(2010,4,1),0,IF(OR(DQ20=2,DQ20=3,DA20=VLOOKUP(DA20,'IN RPS-2015'!$I$2:$J$5,1)),0,ROUND(IF(CY20&lt;$J$152,VLOOKUP(CY20,$B$1:$G$4,4),VLOOKUP(VLOOKUP(CY20,$B$1:$G$4,4),Main!$CE$2:$CF$5,2,FALSE))*(DAY(CZ20)-DAY(CY20)+1)/DAY(EOMONTH(CY20,0)),0))))))</f>
        <v/>
      </c>
      <c r="DI20" s="461" t="str">
        <f>IF(CY20="","",IF(AND($CA$3=$CA$1,CY20&lt;=$CT$1),0,IF(OR(DQ20=2,DQ20=3,$D$31=$D$28,DA20=VLOOKUP(DA20,'IN RPS-2015'!$I$2:$J$5,1)),0,ROUND(MIN(VLOOKUP(CX20,$A$27:$C$29,2,TRUE),ROUND(DA20*VLOOKUP(CX20,$A$27:$C$29,3,TRUE)%,0))*IF(CX20=$A$36,$C$36,IF(CX20=$A$37,$C$37,IF(CX20=$A$38,$C$38,IF(CX20=$A$39,$C$39,IF(CX20=$A$40,$C$40,IF(CX20=$A$41,$C$41,1))))))*(DAY(CZ20)-DAY(CY20)+1)/DAY(EOMONTH(CY20,0)),0))))</f>
        <v/>
      </c>
      <c r="DJ20" s="461" t="str">
        <f>IF(CY20="","",IF(AND($CA$3=$CA$1,CY20&lt;=$CT$1),0,IF(Main!$C$26="UGC",0,IF(OR(DQ20=3,DA20=VLOOKUP(DA20,'IN RPS-2015'!$I$2:$J$5,1)),0,ROUND(IF(DQ20=2,VLOOKUP(DA20,IF($CA$3=$I$29,$A$20:$E$23,$F$144:$J$147),IF($B$19=VLOOKUP(CY20,$B$2:$G$4,3,TRUE),2,IF($C$19=VLOOKUP(CY20,$B$2:$G$4,3,TRUE),3,IF($D$19=VLOOKUP(CY20,$B$2:$G$4,3,TRUE),4,5))),TRUE),VLOOKUP(DA20,IF($CA$3=$I$29,$A$20:$E$23,$F$144:$J$147),IF($B$19=VLOOKUP(CY20,$B$2:$G$4,3,TRUE),2,IF($C$19=VLOOKUP(CY20,$B$2:$G$4,3,TRUE),3,IF($D$19=VLOOKUP(CY20,$B$2:$G$4,3,TRUE),4,5))),TRUE))*(DAY(CZ20)-DAY(CY20)+1)/DAY(EOMONTH(CY20,0)),0)))))</f>
        <v/>
      </c>
      <c r="DK20" s="461" t="str">
        <f>IF(CY20="","",IF(AND($CA$3=$CA$1,CY20&lt;=$CT$1),0,IF(Main!$C$26="UGC",0,IF(OR(CX20&lt;DATE(2010,4,1),DQ20=3,DA20=VLOOKUP(DA20,'IN RPS-2015'!$I$2:$J$5,1)),0,ROUND(IF(DQ20=2,IF(CY20&lt;$J$152,Main!$L$9,Main!$CI$3)/2,IF(CY20&lt;$J$152,Main!$L$9,Main!$CI$3))*(DAY(CZ20)-DAY(CY20)+1)/DAY(EOMONTH(CY20,0)),0)))))</f>
        <v/>
      </c>
      <c r="DL20" s="461"/>
      <c r="DM20" s="461" t="str">
        <f>IF(CY20="","",IF(AND($CA$3=$CA$1,CY20&lt;=$CT$1),0,IF(Main!$C$26="UGC",0,IF(OR(DQ20=3,DA20=VLOOKUP(DA20,'IN RPS-2015'!$I$2:$J$5,1)),0,ROUND(IF(DQ20=2,VLOOKUP(DB20,IF(CY20&lt;$J$152,$A$154:$E$159,$F$154:$J$159),IF($B$10=VLOOKUP(CX20,$B$2:$G$4,6,TRUE),2,IF($B$10=VLOOKUP(CX20,$B$2:$G$4,6,TRUE),3,IF($D$10=VLOOKUP(CX20,$B$2:$G$4,6,TRUE),4,5))))/2,VLOOKUP(DB20,IF(CY20&lt;$J$152,$A$154:$E$159,$F$154:$J$159),IF($B$10=VLOOKUP(CX20,$B$2:$G$4,6,TRUE),2,IF($B$10=VLOOKUP(CX20,$B$2:$G$4,6,TRUE),3,IF($D$10=VLOOKUP(CX20,$B$2:$G$4,6,TRUE),4,5)))))*(DAY(CZ20)-DAY(CY20)+1)/DAY(EOMONTH(CY20,0)),0)))))</f>
        <v/>
      </c>
      <c r="DN20" s="461">
        <f t="shared" si="76"/>
        <v>0</v>
      </c>
      <c r="DO20" s="464" t="str">
        <f>IF(CY20="","",IF(AND($CA$3=$CA$1,CY20&lt;=$CT$1),0,IF(AND(Main!$F$22=Main!$CA$24,CY20&gt;$CT$1),ROUND(SUM(DB20,DD20)*10%,0),"")))</f>
        <v/>
      </c>
      <c r="DP20" s="464" t="str">
        <f>IF(CX20="","",IF(AND($CA$3=$CA$1,CY20&lt;=$CT$1),0,IF(OR(Main!$H$10=Main!$BH$4,Main!$H$10=Main!$BH$5),0,LOOKUP(DN20*DAY(EOMONTH(CY20,0))/(DAY(CZ20)-DAY(CY20)+1),$H$184:$I$189))))</f>
        <v/>
      </c>
      <c r="DQ20" s="457">
        <f t="shared" si="60"/>
        <v>1</v>
      </c>
      <c r="DR20" s="457">
        <f t="shared" si="77"/>
        <v>0</v>
      </c>
      <c r="DS20" s="497"/>
      <c r="DT20" s="497"/>
      <c r="DU20" s="457"/>
      <c r="DV20" s="461"/>
      <c r="DW20" s="499" t="str">
        <f t="shared" si="61"/>
        <v/>
      </c>
      <c r="DX20" s="500" t="str">
        <f t="shared" si="88"/>
        <v/>
      </c>
      <c r="DY20" s="484" t="str">
        <f>IF(DX20="","",MIN(EOMONTH(DX20,0),VLOOKUP(DX20,'IN RPS-2015'!$O$164:$P$202,2,TRUE)-1,LOOKUP(DX20,$E$47:$F$53)-1,IF(DX20&lt;$B$2,$B$2-1,'IN RPS-2015'!$Q$9),IF(DX20&lt;$B$3,$B$3-1,'IN RPS-2015'!$Q$9),IF(DX20&lt;$B$4,$B$4-1,'IN RPS-2015'!$Q$9),LOOKUP(DX20,$H$47:$I$53)))</f>
        <v/>
      </c>
      <c r="DZ20" s="490" t="str">
        <f>IF(DX20="","",VLOOKUP(DX20,'IN RPS-2015'!$P$164:$AA$202,11))</f>
        <v/>
      </c>
      <c r="EA20" s="461" t="str">
        <f t="shared" si="78"/>
        <v/>
      </c>
      <c r="EB20" s="461" t="str">
        <f>IF(DX20="","",ROUND(IF(EP20=3,0,IF(EP20=2,IF(DZ20=VLOOKUP(DZ20,'IN RPS-2015'!$I$2:$J$5,1),0,Main!$H$9)/2,IF(DZ20=VLOOKUP(DZ20,'IN RPS-2015'!$I$2:$J$5,1),0,Main!$H$9)))*(DAY(DY20)-DAY(DX20)+1)/DAY(EOMONTH(DX20,0)),0))</f>
        <v/>
      </c>
      <c r="EC20" s="461" t="str">
        <f>IF(DX20="","",IF(DZ20=VLOOKUP(DZ20,'IN RPS-2015'!$I$2:$J$5,1),0,ROUND(EA20*VLOOKUP(DX20,$DT$4:$DU$7,2)%,0)))</f>
        <v/>
      </c>
      <c r="ED20" s="461" t="str">
        <f>IF(DX20="","",IF(OR(EP20=3,DZ20=VLOOKUP(DZ20,'IN RPS-2015'!$I$2:$J$5,1)),0,ROUND(MIN(ROUND(DZ20*VLOOKUP(DX20,$B$1:$G$4,2)%,0),VLOOKUP(DX20,$B$2:$I$4,IF($DU$3=$I$29,7,8),TRUE))*(DAY(DY20)-DAY(DX20)+1)/DAY(EOMONTH(DX20,0)),0)))</f>
        <v/>
      </c>
      <c r="EE20" s="491" t="str">
        <f>IF(DX20="","",IF(Main!$C$26="UGC",0,IF(OR(DX20&lt;DATE(2010,4,1),$I$6=VLOOKUP(DX20,$B$2:$G$4,5,TRUE),DZ20=VLOOKUP(DZ20,'IN RPS-2015'!$I$2:$J$5,1)),0,ROUND(IF(EP20=3,0,IF(EP20=2,MIN(ROUND(DZ20*$G$13%,0),IF(DX20&lt;$I$152,$G$14,$G$15))/2,MIN(ROUND(DZ20*$G$13%,0),IF(DX20&lt;$I$152,$G$14,$G$15))))*(DAY(DY20)-DAY(DX20)+1)/DAY(EOMONTH(DX20,0)),0))))</f>
        <v/>
      </c>
      <c r="EF20" s="461" t="str">
        <f>IF(DX20="","",IF(Main!$C$26="UGC",0,IF(DZ20=VLOOKUP(DZ20,'IN RPS-2015'!$I$2:$J$5,1),0,ROUND(EA20*VLOOKUP(DX20,$DT$11:$DU$12,2)%,0))))</f>
        <v/>
      </c>
      <c r="EG20" s="461" t="str">
        <f>IF(DX20="","",IF(Main!$C$26="UGC",0,IF(DX20&lt;DATE(2010,4,1),0,IF(OR(EP20=2,EP20=3,DZ20=VLOOKUP(DZ20,'IN RPS-2015'!$I$2:$J$5,1)),0,ROUND(IF(DX20&lt;$I$152,VLOOKUP(DX20,$B$1:$G$4,4),VLOOKUP(VLOOKUP(DX20,$B$1:$G$4,4),Main!$CE$2:$CF$5,2,FALSE))*(DAY(DY20)-DAY(DX20)+1)/DAY(EOMONTH(DX20,0)),0)))))</f>
        <v/>
      </c>
      <c r="EH20" s="461" t="str">
        <f>IF(DX20="","",IF(OR(EP20=2,EP20=3,$D$31=$D$28,DZ20=VLOOKUP(DZ20,'IN RPS-2015'!$I$2:$J$5,1)),0,ROUND(MIN(IF(DX20&lt;$I$152,900,1350),ROUND(DZ20*VLOOKUP(DW20,$A$27:$C$29,3,TRUE)%,0))*IF(DW20=$A$36,$C$36,IF(DW20=$A$37,$C$37,IF(DW20=$A$38,$C$38,IF(DW20=$A$39,$C$39,IF(DW20=$A$40,$C$40,IF(DW20=$A$41,$C$41,1))))))*(DAY(DY20)-DAY(DX20)+1)/DAY(EOMONTH(DX20,0)),0)))</f>
        <v/>
      </c>
      <c r="EI20" s="461" t="str">
        <f>IF(DX20="","",IF(Main!$C$26="UGC",0,IF(OR(EP20=3,DZ20=VLOOKUP(DZ20,'IN RPS-2015'!$I$2:$J$5,1)),0,ROUND(IF(EP20=2,VLOOKUP(DZ20,IF($DU$3=$I$29,$A$20:$E$23,$F$144:$J$147),IF($B$19=VLOOKUP(DX20,$B$2:$G$4,3,TRUE),2,IF($C$19=VLOOKUP(DX20,$B$2:$G$4,3,TRUE),3,IF($D$19=VLOOKUP(DX20,$B$2:$G$4,3,TRUE),4,5))),TRUE),VLOOKUP(DZ20,IF($DU$3=$I$29,$A$20:$E$23,$F$144:$J$147),IF($B$19=VLOOKUP(DX20,$B$2:$G$4,3,TRUE),2,IF($C$19=VLOOKUP(DX20,$B$2:$G$4,3,TRUE),3,IF($D$19=VLOOKUP(DX20,$B$2:$G$4,3,TRUE),4,5))),TRUE))*(DAY(DY20)-DAY(DX20)+1)/DAY(EOMONTH(DX20,0)),0))))</f>
        <v/>
      </c>
      <c r="EJ20" s="461" t="str">
        <f>IF(DX20="","",IF(Main!$C$26="UGC",0,IF(OR(DW20&lt;DATE(2010,4,1),EP20=3,DZ20=VLOOKUP(DZ20,'IN RPS-2015'!$I$2:$J$5,1)),0,ROUND(IF(EP20=2,IF(DX20&lt;$I$152,Main!$L$9,Main!$CI$3)/2,IF(DX20&lt;$I$152,Main!$L$9,Main!$CI$3))*(DAY(DY20)-DAY(DX20)+1)/DAY(EOMONTH(DX20,0)),0))))</f>
        <v/>
      </c>
      <c r="EK20" s="461"/>
      <c r="EL20" s="461" t="str">
        <f>IF(DX20="","",IF(Main!$C$26="UGC",0,IF(OR(EP20=3,DZ20=VLOOKUP(DZ20,'IN RPS-2015'!$I$2:$J$5,1)),0,ROUND(IF(EP20=2,VLOOKUP(EA20,IF(DX20&lt;$I$152,$A$154:$E$159,$F$154:$J$159),IF($B$10=VLOOKUP(DW20,$B$2:$G$4,6,TRUE),2,IF($B$10=VLOOKUP(DW20,$B$2:$G$4,6,TRUE),3,IF($D$10=VLOOKUP(DW20,$B$2:$G$4,6,TRUE),4,5))))/2,VLOOKUP(EA20,IF(DX20&lt;$I$152,$A$154:$E$159,$F$154:$J$159),IF($B$10=VLOOKUP(DW20,$B$2:$G$4,6,TRUE),2,IF($B$10=VLOOKUP(DW20,$B$2:$G$4,6,TRUE),3,IF($D$10=VLOOKUP(DW20,$B$2:$G$4,6,TRUE),4,5)))))*(DAY(DY20)-DAY(DX20)+1)/DAY(EOMONTH(DX20,0)),0))))</f>
        <v/>
      </c>
      <c r="EM20" s="461">
        <f t="shared" si="79"/>
        <v>0</v>
      </c>
      <c r="EN20" s="464" t="str">
        <f>IF(DX20="","",IF(AND(Main!$F$22=Main!$CA$24,DX20&gt;$EN$1),ROUND(SUM(EA20,EC20)*10%,0),""))</f>
        <v/>
      </c>
      <c r="EO20" s="464" t="str">
        <f>IF(DW20="","",IF(EA20=0,0,IF(OR(Main!$H$10=Main!$BH$4,Main!$H$10=Main!$BH$5),0,LOOKUP(EM20*DAY(EOMONTH(DX20,0))/(DAY(DY20)-DAY(DX20)+1),$H$184:$I$189))))</f>
        <v/>
      </c>
      <c r="EP20" s="457">
        <f t="shared" si="62"/>
        <v>1</v>
      </c>
      <c r="ER20" s="497"/>
      <c r="ET20" s="461"/>
      <c r="EU20" s="499" t="str">
        <f t="shared" si="63"/>
        <v/>
      </c>
      <c r="EV20" s="500" t="str">
        <f t="shared" si="89"/>
        <v/>
      </c>
      <c r="EW20" s="484" t="str">
        <f>IF(EV20="","",MIN(EOMONTH(EV20,0),VLOOKUP(EV20,'IN RPS-2015'!$O$164:$P$202,2,TRUE)-1,LOOKUP(EV20,$E$47:$F$53)-1,IF(EV20&lt;$B$2,$B$2-1,'IN RPS-2015'!$Q$9),IF(EV20&lt;$B$3,$B$3-1,'IN RPS-2015'!$Q$9),IF(EV20&lt;$B$4,$B$4-1,'IN RPS-2015'!$Q$9),LOOKUP(EV20,$H$47:$I$53)))</f>
        <v/>
      </c>
      <c r="EX20" s="490" t="str">
        <f>IF(EV20="","",VLOOKUP(EV20,'IN RPS-2015'!$P$164:$AA$202,12))</f>
        <v/>
      </c>
      <c r="EY20" s="461" t="str">
        <f t="shared" si="80"/>
        <v/>
      </c>
      <c r="EZ20" s="461" t="str">
        <f>IF(EV20="","",ROUND(IF(FN20=3,0,IF(FN20=2,IF(EX20=VLOOKUP(EX20,'IN RPS-2015'!$I$2:$J$5,1),0,Main!$H$9)/2,IF(EX20=VLOOKUP(EX20,'IN RPS-2015'!$I$2:$J$5,1),0,Main!$H$9)))*(DAY(EW20)-DAY(EV20)+1)/DAY(EOMONTH(EV20,0)),0))</f>
        <v/>
      </c>
      <c r="FA20" s="461" t="str">
        <f>IF(EV20="","",IF(EX20=VLOOKUP(EX20,'IN RPS-2015'!$I$2:$J$5,1),0,ROUND(EY20*VLOOKUP(EV20,$ER$4:$ES$7,2)%,0)))</f>
        <v/>
      </c>
      <c r="FB20" s="461" t="str">
        <f>IF(EV20="","",IF(OR(FN20=3,EX20=VLOOKUP(EX20,'IN RPS-2015'!$I$2:$J$5,1)),0,ROUND(MIN(ROUND(EX20*VLOOKUP(EV20,$B$1:$G$4,2)%,0),VLOOKUP(EV20,$B$2:$I$4,IF($ES$3=$I$29,7,8),TRUE))*(DAY(EW20)-DAY(EV20)+1)/DAY(EOMONTH(EV20,0)),0)))</f>
        <v/>
      </c>
      <c r="FC20" s="491" t="str">
        <f>IF(EV20="","",IF(Main!$C$26="UGC",0,IF(OR(EV20&lt;DATE(2010,4,1),$I$6=VLOOKUP(EV20,$B$2:$G$4,5,TRUE),EX20=VLOOKUP(EX20,'IN RPS-2015'!$I$2:$J$5,1)),0,ROUND(IF(FN20=3,0,IF(FN20=2,MIN(ROUND(EX20*$G$13%,0),IF(EV20&lt;$J$152,$G$14,$G$15))/2,MIN(ROUND(EX20*$G$13%,0),IF(EV20&lt;$J$152,$G$14,$G$15))))*(DAY(EW20)-DAY(EV20)+1)/DAY(EOMONTH(EV20,0)),0))))</f>
        <v/>
      </c>
      <c r="FD20" s="461" t="str">
        <f>IF(EV20="","",IF(Main!$C$26="UGC",0,IF(EX20=VLOOKUP(EX20,'IN RPS-2015'!$I$2:$J$5,1),0,ROUND(EY20*VLOOKUP(EV20,$ER$11:$ES$12,2)%,0))))</f>
        <v/>
      </c>
      <c r="FE20" s="461" t="str">
        <f>IF(EV20="","",IF(Main!$C$26="UGC",0,IF(EV20&lt;DATE(2010,4,1),0,IF(OR(FN20=2,FN20=3,EX20=VLOOKUP(EX20,'IN RPS-2015'!$I$2:$J$5,1)),0,ROUND(IF(EV20&lt;$J$152,VLOOKUP(EV20,$B$1:$G$4,4),VLOOKUP(VLOOKUP(EV20,$B$1:$G$4,4),Main!$CE$2:$CF$5,2,FALSE))*(DAY(EW20)-DAY(EV20)+1)/DAY(EOMONTH(EV20,0)),0)))))</f>
        <v/>
      </c>
      <c r="FF20" s="461" t="str">
        <f>IF(EV20="","",IF(OR(FN20=2,FN20=3,$D$31=$D$28,EX20=VLOOKUP(EX20,'IN RPS-2015'!$I$2:$J$5,1)),0,ROUND(MIN(VLOOKUP(EU20,$A$27:$C$29,2,TRUE),ROUND(EX20*VLOOKUP(EU20,$A$27:$C$29,3,TRUE)%,0))*IF(EU20=$A$36,$C$36,IF(EU20=$A$37,$C$37,IF(EU20=$A$38,$C$38,IF(EU20=$A$39,$C$39,IF(EU20=$A$40,$C$40,IF(EU20=$A$41,$C$41,1))))))*(DAY(EW20)-DAY(EV20)+1)/DAY(EOMONTH(EV20,0)),0)))</f>
        <v/>
      </c>
      <c r="FG20" s="461" t="str">
        <f>IF(EV20="","",IF(Main!$C$26="UGC",0,IF(OR(FN20=3,EX20=VLOOKUP(EX20,'IN RPS-2015'!$I$2:$J$5,1)),0,ROUND(IF(FN20=2,VLOOKUP(EX20,IF($ES$3=$I$29,$A$20:$E$23,$F$144:$J$147),IF($B$19=VLOOKUP(EV20,$B$2:$G$4,3,TRUE),2,IF($C$19=VLOOKUP(EV20,$B$2:$G$4,3,TRUE),3,IF($D$19=VLOOKUP(EV20,$B$2:$G$4,3,TRUE),4,5))),TRUE),VLOOKUP(EX20,IF($ES$3=$I$29,$A$20:$E$23,$F$144:$J$147),IF($B$19=VLOOKUP(EV20,$B$2:$G$4,3,TRUE),2,IF($C$19=VLOOKUP(EV20,$B$2:$G$4,3,TRUE),3,IF($D$19=VLOOKUP(EV20,$B$2:$G$4,3,TRUE),4,5))),TRUE))*(DAY(EW20)-DAY(EV20)+1)/DAY(EOMONTH(EV20,0)),0))))</f>
        <v/>
      </c>
      <c r="FH20" s="461" t="str">
        <f>IF(EV20="","",IF(Main!$C$26="UGC",0,IF(OR(EU20&lt;DATE(2010,4,1),FN20=3,EX20=VLOOKUP(EX20,'IN RPS-2015'!$I$2:$J$5,1)),0,ROUND(IF(FN20=2,IF(EV20&lt;$J$152,Main!$L$9,Main!$CI$3)/2,IF(EV20&lt;$J$152,Main!$L$9,Main!$CI$3))*(DAY(EW20)-DAY(EV20)+1)/DAY(EOMONTH(EV20,0)),0))))</f>
        <v/>
      </c>
      <c r="FI20" s="461"/>
      <c r="FJ20" s="461" t="str">
        <f>IF(EV20="","",IF(Main!$C$26="UGC",0,IF(OR(FN20=3,EX20=VLOOKUP(EX20,'IN RPS-2015'!$I$2:$J$5,1)),0,ROUND(IF(FN20=2,VLOOKUP(EY20,IF(EV20&lt;$J$152,$A$154:$E$159,$F$154:$J$159),IF($B$10=VLOOKUP(EU20,$B$2:$G$4,6,TRUE),2,IF($B$10=VLOOKUP(EU20,$B$2:$G$4,6,TRUE),3,IF($D$10=VLOOKUP(EU20,$B$2:$G$4,6,TRUE),4,5))))/2,VLOOKUP(EY20,IF(EV20&lt;$J$152,$A$154:$E$159,$F$154:$J$159),IF($B$10=VLOOKUP(EU20,$B$2:$G$4,6,TRUE),2,IF($B$10=VLOOKUP(EU20,$B$2:$G$4,6,TRUE),3,IF($D$10=VLOOKUP(EU20,$B$2:$G$4,6,TRUE),4,5)))))*(DAY(EW20)-DAY(EV20)+1)/DAY(EOMONTH(EV20,0)),0))))</f>
        <v/>
      </c>
      <c r="FK20" s="461">
        <f t="shared" si="81"/>
        <v>0</v>
      </c>
      <c r="FL20" s="464" t="str">
        <f>IF(EV20="","",IF(AND(Main!$F$22=Main!$CA$24,EV20&gt;$FL$1),ROUND(SUM(EY20,FA20)*10%,0),""))</f>
        <v/>
      </c>
      <c r="FM20" s="464" t="str">
        <f>IF(EU20="","",IF(EY20=0,0,IF(OR(Main!$H$10=Main!$BH$4,Main!$H$10=Main!$BH$5),0,LOOKUP(FK20*DAY(EOMONTH(EV20,0))/(DAY(EW20)-DAY(EV20)+1),$H$184:$I$189))))</f>
        <v/>
      </c>
      <c r="FN20" s="457">
        <f t="shared" si="64"/>
        <v>1</v>
      </c>
    </row>
    <row r="21" spans="1:170">
      <c r="A21" s="7">
        <v>8201</v>
      </c>
      <c r="B21" s="7">
        <v>300</v>
      </c>
      <c r="C21" s="7">
        <v>160</v>
      </c>
      <c r="D21" s="7">
        <v>120</v>
      </c>
      <c r="E21" s="7">
        <v>0</v>
      </c>
      <c r="K21" s="494" t="str">
        <f t="shared" si="65"/>
        <v/>
      </c>
      <c r="L21" s="495" t="str">
        <f t="shared" si="82"/>
        <v/>
      </c>
      <c r="M21" s="484" t="str">
        <f>IF(L21="","",MIN(EOMONTH(L21,0),VLOOKUP(L21,'IN RPS-2015'!$O$164:$P$202,2,TRUE)-1,LOOKUP(L21,$E$47:$F$53)-1,IF(L21&lt;$B$2,$B$2-1,'IN RPS-2015'!$Q$9),IF(L21&lt;$B$3,$B$3-1,'IN RPS-2015'!$Q$9),IF(L21&lt;$B$4,$B$4-1,'IN RPS-2015'!$Q$9),LOOKUP(L21,$H$47:$I$53)))</f>
        <v/>
      </c>
      <c r="N21" s="496" t="str">
        <f>IF(L21="","",VLOOKUP(L21,'Advance Tax'!$A$3:$C$14,3))</f>
        <v/>
      </c>
      <c r="O21" s="509" t="str">
        <f t="shared" si="52"/>
        <v/>
      </c>
      <c r="P21" s="497" t="str">
        <f>IF(L21="","",ROUND(IF(AD21=3,0,IF(AD21=2,IF(N21=VLOOKUP(N21,'IN RPS-2015'!$I$2:$J$5,1),0,Main!$H$9)/2,IF(N21=VLOOKUP(N21,'IN RPS-2015'!$I$2:$J$5,1),0,Main!$H$9)))*(DAY(M21)-DAY(L21)+1)/DAY(EOMONTH(L21,0)),0))</f>
        <v/>
      </c>
      <c r="Q21" s="457" t="str">
        <f>IF(L21="","",IF(N21=VLOOKUP(N21,'IN RPS-2015'!$I$2:$J$5,1),0,ROUND(O21*IF(L21&lt;Main!$C$27,VLOOKUP(L21,$H$9:$J$12,3),VLOOKUP(L21,$H$9:$J$12,2))%,0)))</f>
        <v/>
      </c>
      <c r="R21" s="457" t="str">
        <f>IF(L21="","",IF(OR(AD21=3,N21=VLOOKUP(N21,'IN RPS-2015'!$I$2:$J$5,1)),0,ROUND(MIN(ROUND(N21*VLOOKUP(L21,$B$1:$G$4,2)%,0),VLOOKUP(L21,$B$2:$I$4,IF(L21&lt;$G$7,7,8),TRUE))*(DAY(M21)-DAY(L21)+1)/DAY(EOMONTH(L21,0)),0)))</f>
        <v/>
      </c>
      <c r="S21" s="486" t="str">
        <f>IF(L21="","",IF(Main!$C$26="UGC",0,IF(OR(L21&lt;DATE(2010,4,1),$I$6=VLOOKUP(L21,$B$2:$G$4,5,TRUE),N21=VLOOKUP(N21,'IN RPS-2015'!$I$2:$J$5,1)),0,ROUND(IF(AD21=3,0,IF(AD21=2,MIN(ROUND(N21*$G$13%,0),IF(L21&lt;$J$152,$G$14,$G$15))/2,MIN(ROUND(N21*$G$13%,0),IF(L21&lt;$J$152,$G$14,$G$15))))*(DAY(M21)-DAY(L21)+1)/DAY(EOMONTH(L21,0)),0))))</f>
        <v/>
      </c>
      <c r="T21" s="457" t="str">
        <f>IF(L21="","",IF(Main!$C$26="UGC",0,IF(N21=VLOOKUP(N21,'IN RPS-2015'!$I$2:$J$5,1),0,ROUND(O21*VLOOKUP(L21,$H$205:$I$206,2)%,0))))</f>
        <v/>
      </c>
      <c r="U21" s="457" t="str">
        <f>IF(L21="","",IF(Main!$C$26="UGC",0,IF(L21&lt;DATE(2010,4,1),0,IF(OR(AD21=2,AD21=3,N21=VLOOKUP(N21,'IN RPS-2015'!$I$2:$J$5,1)),0,ROUND(IF(L21&lt;$J$152,VLOOKUP(L21,$B$1:$G$4,4),VLOOKUP(VLOOKUP(L21,$B$1:$G$4,4),Main!$CE$2:$CF$5,2,FALSE))*(DAY(M21)-DAY(L21)+1)/DAY(EOMONTH(L21,0)),0)))))</f>
        <v/>
      </c>
      <c r="V21" s="457" t="str">
        <f>IF(L21="","",IF(OR(AD21=2,AD21=3,$D$31=$D$28,N21=VLOOKUP(N21,'IN RPS-2015'!$I$2:$J$5,1)),0,ROUND(MIN(VLOOKUP(K21,$A$27:$C$29,2,TRUE),ROUND(N21*VLOOKUP(K21,$A$27:$C$29,3,TRUE)%,0))*IF(K21=$A$36,$C$36,IF(K21=$A$37,$C$37,IF(K21=$A$38,$C$38,IF(K21=$A$39,$C$39,IF(K21=$A$40,$C$40,IF(K21=$A$41,$C$41,1))))))*(DAY(M21)-DAY(L21)+1)/DAY(EOMONTH(L21,0)),0)))</f>
        <v/>
      </c>
      <c r="W21" s="457" t="str">
        <f>IF(L21="","",IF(Main!$C$26="UGC",0,IF(OR(AD21=3,N21=VLOOKUP(N21,'IN RPS-2015'!$I$2:$J$5,1)),0,ROUND(IF(AD21=2,VLOOKUP(N21,IF(L21&lt;$G$7,$A$20:$E$23,$F$144:$J$147),IF($B$19=VLOOKUP(L21,$B$2:$G$4,3,TRUE),2,IF($C$19=VLOOKUP(L21,$B$2:$G$4,3,TRUE),3,IF($D$19=VLOOKUP(L21,$B$2:$G$4,3,TRUE),4,5))),TRUE),VLOOKUP(N21,IF(L21&lt;$G$7,$A$20:$E$23,$F$144:$J$147),IF($B$19=VLOOKUP(L21,$B$2:$G$4,3,TRUE),2,IF($C$19=VLOOKUP(L21,$B$2:$G$4,3,TRUE),3,IF($D$19=VLOOKUP(L21,$B$2:$G$4,3,TRUE),4,5))),TRUE))*(DAY(M21)-DAY(L21)+1)/DAY(EOMONTH(L21,0)),0))))</f>
        <v/>
      </c>
      <c r="X21" s="457" t="str">
        <f>IF(L21="","",IF(Main!$C$26="UGC",0,IF(OR(K21&lt;DATE(2010,4,1),AD21=3,N21=VLOOKUP(N21,'IN RPS-2015'!$I$2:$J$5,1)),0,ROUND(IF(AD21=2,IF(L21&lt;$J$152,Main!$L$9,Main!$CI$3)/2,IF(L21&lt;$J$152,Main!$L$9,Main!$CI$3))*(DAY(M21)-DAY(L21)+1)/DAY(EOMONTH(L21,0)),0))))</f>
        <v/>
      </c>
      <c r="Y21" s="497"/>
      <c r="Z21" s="457" t="str">
        <f>IF(L21="","",IF(Main!$C$26="UGC",0,IF(OR(AD21=3,N21=VLOOKUP(N21,'IN RPS-2015'!$I$2:$J$5,1)),0,ROUND(IF(AD21=2,VLOOKUP(O21,IF(L21&lt;$J$152,$A$154:$E$159,$F$154:$J$159),IF($B$10=VLOOKUP(K21,$B$2:$G$4,6,TRUE),2,IF($B$10=VLOOKUP(K21,$B$2:$G$4,6,TRUE),3,IF($D$10=VLOOKUP(K21,$B$2:$G$4,6,TRUE),4,5))))/2,VLOOKUP(O21,IF(L21&lt;$J$152,$A$154:$E$159,$F$154:$J$159),IF($B$10=VLOOKUP(K21,$B$2:$G$4,6,TRUE),2,IF($B$10=VLOOKUP(K21,$B$2:$G$4,6,TRUE),3,IF($D$10=VLOOKUP(K21,$B$2:$G$4,6,TRUE),4,5)))))*(DAY(M21)-DAY(L21)+1)/DAY(EOMONTH(L21,0)),0))))</f>
        <v/>
      </c>
      <c r="AA21" s="497">
        <f t="shared" si="83"/>
        <v>0</v>
      </c>
      <c r="AB21" s="497"/>
      <c r="AC21" s="497"/>
      <c r="AD21" s="497">
        <f t="shared" si="53"/>
        <v>1</v>
      </c>
      <c r="AE21" s="497"/>
      <c r="AF21" s="497"/>
      <c r="AH21" s="461"/>
      <c r="AI21" s="499" t="str">
        <f t="shared" si="54"/>
        <v/>
      </c>
      <c r="AJ21" s="500" t="str">
        <f t="shared" si="84"/>
        <v/>
      </c>
      <c r="AK21" s="484" t="str">
        <f>IF(AJ21="","",MIN(EOMONTH(AJ21,0),VLOOKUP(AJ21,'IN RPS-2015'!$O$164:$P$202,2,TRUE)-1,LOOKUP(AJ21,$E$47:$F$53)-1,IF(AJ21&lt;$B$2,$B$2-1,'IN RPS-2015'!$Q$9),IF(AJ21&lt;$B$3,$B$3-1,'IN RPS-2015'!$Q$9),IF(AJ21&lt;$B$4,$B$4-1,'IN RPS-2015'!$Q$9),LOOKUP(AJ21,$H$47:$I$53)))</f>
        <v/>
      </c>
      <c r="AL21" s="490" t="str">
        <f>IF(AJ21="","",VLOOKUP(AJ21,'IN RPS-2015'!$P$164:$AA$202,9))</f>
        <v/>
      </c>
      <c r="AM21" s="461" t="str">
        <f t="shared" si="66"/>
        <v/>
      </c>
      <c r="AN21" s="461" t="str">
        <f>IF(AJ21="","",IF(AND($AG$3=$AG$1,AJ21&lt;=$AZ$1),0,ROUND(IF(BB21=3,0,IF(BB21=2,IF(AL21=VLOOKUP(AL21,'IN RPS-2015'!$I$2:$J$5,1),0,Main!$H$9)/2,IF(AL21=VLOOKUP(AL21,'IN RPS-2015'!$I$2:$J$5,1),0,Main!$H$9)))*(DAY(AK21)-DAY(AJ21)+1)/DAY(EOMONTH(AJ21,0)),0)))</f>
        <v/>
      </c>
      <c r="AO21" s="461" t="str">
        <f>IF(AJ21="","",IF(AND($AG$3=$AG$1,AJ21&lt;=$AZ$1),0,IF(AL21=VLOOKUP(AL21,'IN RPS-2015'!$I$2:$J$5,1),0,ROUND(AM21*VLOOKUP(AJ21,$AF$4:$AG$7,2)%,0))))</f>
        <v/>
      </c>
      <c r="AP21" s="461" t="str">
        <f>IF(AJ21="","",IF(AND($AG$3=$AG$1,AJ21&lt;=$AZ$1),0,IF(OR(BB21=3,AL21=VLOOKUP(AL21,'IN RPS-2015'!$I$2:$J$5,1)),0,ROUND(MIN(ROUND(AL21*VLOOKUP(AJ21,$B$1:$G$4,2)%,0),VLOOKUP(AJ21,$B$2:$I$4,IF($AG$3=$I$29,7,8),TRUE))*(DAY(AK21)-DAY(AJ21)+1)/DAY(EOMONTH(AJ21,0)),0))))</f>
        <v/>
      </c>
      <c r="AQ21" s="491" t="str">
        <f>IF(AJ21="","",IF(AND($AG$3=$AG$1,AJ21&lt;=$AZ$1),0,IF(Main!$C$26="UGC",0,IF(OR(AJ21&lt;DATE(2010,4,1),$I$6=VLOOKUP(AJ21,$B$2:$G$4,5,TRUE),AL21=VLOOKUP(AL21,'IN RPS-2015'!$I$2:$J$5,1)),0,ROUND(IF(BB21=3,0,IF(BB21=2,MIN(ROUND(AL21*$G$13%,0),IF(AJ21&lt;$J$152,$G$14,$G$15))/2,MIN(ROUND(AL21*$G$13%,0),IF(AJ21&lt;$J$152,$G$14,$G$15))))*(DAY(AK21)-DAY(AJ21)+1)/DAY(EOMONTH(AJ21,0)),0)))))</f>
        <v/>
      </c>
      <c r="AR21" s="461" t="str">
        <f>IF(AJ21="","",IF(AND($AG$3=$AG$1,AJ21&lt;=$AZ$1),0,IF(Main!$C$26="UGC",0,IF(AL21=VLOOKUP(AL21,'IN RPS-2015'!$I$2:$J$5,1),0,ROUND(AM21*VLOOKUP(AJ21,$AF$11:$AG$12,2)%,0)))))</f>
        <v/>
      </c>
      <c r="AS21" s="461" t="str">
        <f>IF(AJ21="","",IF(AND($AG$3=$AG$1,AJ21&lt;=$AZ$1),0,IF(Main!$C$26="UGC",0,IF(AJ21&lt;DATE(2010,4,1),0,IF(OR(BB21=2,BB21=3,AL21=VLOOKUP(AL21,'IN RPS-2015'!$I$2:$J$5,1)),0,ROUND(IF(AJ21&lt;$J$152,VLOOKUP(AJ21,$B$1:$G$4,4),VLOOKUP(VLOOKUP(AJ21,$B$1:$G$4,4),Main!$CE$2:$CF$5,2,FALSE))*(DAY(AK21)-DAY(AJ21)+1)/DAY(EOMONTH(AJ21,0)),0))))))</f>
        <v/>
      </c>
      <c r="AT21" s="461" t="str">
        <f>IF(AJ21="","",IF(AND($AG$3=$AG$1,AJ21&lt;=$AZ$1),0,IF(OR(BB21=2,BB21=3,$D$31=$D$28,AL21=VLOOKUP(AL21,'IN RPS-2015'!$I$2:$J$5,1)),0,ROUND(MIN(VLOOKUP(AI21,$A$27:$C$29,2,TRUE),ROUND(AL21*VLOOKUP(AI21,$A$27:$C$29,3,TRUE)%,0))*IF(AI21=$A$36,$C$36,IF(AI21=$A$37,$C$37,IF(AI21=$A$38,$C$38,IF(AI21=$A$39,$C$39,IF(AI21=$A$40,$C$40,IF(AI21=$A$41,$C$41,1))))))*(DAY(AK21)-DAY(AJ21)+1)/DAY(EOMONTH(AJ21,0)),0))))</f>
        <v/>
      </c>
      <c r="AU21" s="461" t="str">
        <f>IF(AJ21="","",IF(AND($AG$3=$AG$1,AJ21&lt;=$AZ$1),0,IF(Main!$C$26="UGC",0,IF(OR(BB21=3,AL21=VLOOKUP(AL21,'IN RPS-2015'!$I$2:$J$5,1)),0,ROUND(IF(BB21=2,VLOOKUP(AL21,IF($AG$3=$I$29,$A$20:$E$23,$F$144:$J$147),IF($B$19=VLOOKUP(AJ21,$B$2:$G$4,3,TRUE),2,IF($C$19=VLOOKUP(AJ21,$B$2:$G$4,3,TRUE),3,IF($D$19=VLOOKUP(AJ21,$B$2:$G$4,3,TRUE),4,5))),TRUE),VLOOKUP(AL21,IF($AG$3=$I$29,$A$20:$E$23,$F$144:$J$147),IF($B$19=VLOOKUP(AJ21,$B$2:$G$4,3,TRUE),2,IF($C$19=VLOOKUP(AJ21,$B$2:$G$4,3,TRUE),3,IF($D$19=VLOOKUP(AJ21,$B$2:$G$4,3,TRUE),4,5))),TRUE))*(DAY(AK21)-DAY(AJ21)+1)/DAY(EOMONTH(AJ21,0)),0)))))</f>
        <v/>
      </c>
      <c r="AV21" s="461" t="str">
        <f>IF(AJ21="","",IF(AND($AG$3=$AG$1,AJ21&lt;=$AZ$1),0,IF(Main!$C$26="UGC",0,IF(OR(AI21&lt;DATE(2010,4,1),BB21=3,AL21=VLOOKUP(AL21,'IN RPS-2015'!$I$2:$J$5,1)),0,ROUND(IF(BB21=2,IF(AJ21&lt;$J$152,Main!$L$9,Main!$CI$3)/2,IF(AJ21&lt;$J$152,Main!$L$9,Main!$CI$3))*(DAY(AK21)-DAY(AJ21)+1)/DAY(EOMONTH(AJ21,0)),0)))))</f>
        <v/>
      </c>
      <c r="AW21" s="461"/>
      <c r="AX21" s="461" t="str">
        <f>IF(AJ21="","",IF(AND($AG$3=$AG$1,AJ21&lt;=$AZ$1),0,IF(Main!$C$26="UGC",0,IF(OR(BB21=3,AL21=VLOOKUP(AL21,'IN RPS-2015'!$I$2:$J$5,1)),0,ROUND(IF(BB21=2,VLOOKUP(AM21,IF(AJ21&lt;$J$152,$A$154:$E$159,$F$154:$J$159),IF($B$10=VLOOKUP(AI21,$B$2:$G$4,6,TRUE),2,IF($B$10=VLOOKUP(AI21,$B$2:$G$4,6,TRUE),3,IF($D$10=VLOOKUP(AI21,$B$2:$G$4,6,TRUE),4,5))))/2,VLOOKUP(AM21,IF(AJ21&lt;$J$152,$A$154:$E$159,$F$154:$J$159),IF($B$10=VLOOKUP(AI21,$B$2:$G$4,6,TRUE),2,IF($B$10=VLOOKUP(AI21,$B$2:$G$4,6,TRUE),3,IF($D$10=VLOOKUP(AI21,$B$2:$G$4,6,TRUE),4,5)))))*(DAY(AK21)-DAY(AJ21)+1)/DAY(EOMONTH(AJ21,0)),0)))))</f>
        <v/>
      </c>
      <c r="AY21" s="461">
        <f t="shared" si="67"/>
        <v>0</v>
      </c>
      <c r="AZ21" s="464" t="str">
        <f>IF(AJ21="","",IF(AND($AG$3=$AG$1,AJ21&lt;=$AZ$1),0,IF(AND(Main!$F$22=Main!$CA$24,AJ21&gt;$AZ$1),ROUND(SUM(AM21,AO21)*10%,0),"")))</f>
        <v/>
      </c>
      <c r="BA21" s="464" t="str">
        <f>IF(AI21="","",IF(AND($AG$3=$AG$1,AJ21&lt;=$AZ$1),0,IF(OR(Main!$H$10=Main!$BH$4,Main!$H$10=Main!$BH$5),0,LOOKUP(AY21*DAY(EOMONTH(AJ21,0))/(DAY(AK21)-DAY(AJ21)+1),$H$184:$I$189))))</f>
        <v/>
      </c>
      <c r="BB21" s="497">
        <f t="shared" si="55"/>
        <v>1</v>
      </c>
      <c r="BC21" s="464"/>
      <c r="BD21" s="501" t="str">
        <f t="shared" si="56"/>
        <v/>
      </c>
      <c r="BE21" s="502" t="str">
        <f t="shared" si="85"/>
        <v/>
      </c>
      <c r="BF21" s="484" t="str">
        <f>IF(BE21="","",MIN(EOMONTH(BE21,0),VLOOKUP(BE21,'IN RPS-2015'!$O$164:$P$202,2,TRUE)-1,LOOKUP(BE21,$E$47:$F$53)-1,IF(BE21&lt;$B$2,$B$2-1,'IN RPS-2015'!$Q$9),IF(BE21&lt;$B$3,$B$3-1,'IN RPS-2015'!$Q$9),IF(BE21&lt;$B$4,$B$4-1,'IN RPS-2015'!$Q$9),LOOKUP(BE21,$H$47:$I$53)))</f>
        <v/>
      </c>
      <c r="BG21" s="493" t="str">
        <f>IF(BE21="","",VLOOKUP(BE21,'IN RPS-2015'!$P$164:$AA$202,10))</f>
        <v/>
      </c>
      <c r="BH21" s="461" t="str">
        <f t="shared" si="68"/>
        <v/>
      </c>
      <c r="BI21" s="461" t="str">
        <f>IF(BE21="","",IF(AND($AG$3=$AG$1,BE21&lt;=$AZ$1),0,ROUND(IF(BW21=3,0,IF(BW21=2,IF(BG21=VLOOKUP(BG21,'IN RPS-2015'!$I$2:$J$5,1),0,Main!$H$9)/2,IF(BG21=VLOOKUP(BG21,'IN RPS-2015'!$I$2:$J$5,1),0,Main!$H$9)))*(DAY(BF21)-DAY(BE21)+1)/DAY(EOMONTH(BE21,0)),0)))</f>
        <v/>
      </c>
      <c r="BJ21" s="461" t="str">
        <f>IF(BE21="","",IF(AND($AG$3=$AG$1,BE21&lt;=$AZ$1),0,IF(BG21=VLOOKUP(BG21,'IN RPS-2015'!$I$2:$J$5,1),0,ROUND(BH21*VLOOKUP(BE21,$AF$4:$AG$7,2)%,0))))</f>
        <v/>
      </c>
      <c r="BK21" s="461" t="str">
        <f>IF(BE21="","",IF(AND($AG$3=$AG$1,BE21&lt;=$AZ$1),0,IF(OR(BW21=3,BG21=VLOOKUP(BG21,'IN RPS-2015'!$I$2:$J$5,1)),0,ROUND(MIN(ROUND(BG21*VLOOKUP(BE21,$B$1:$G$4,2)%,0),VLOOKUP(BE21,$B$2:$I$4,IF($AG$3=$I$29,7,8),TRUE))*(DAY(BF21)-DAY(BE21)+1)/DAY(EOMONTH(BE21,0)),0))))</f>
        <v/>
      </c>
      <c r="BL21" s="491" t="str">
        <f>IF(BE21="","",IF(AND($AG$3=$AG$1,BE21&lt;=$AZ$1),0,IF(Main!$C$26="UGC",0,IF(OR(BE21&lt;DATE(2010,4,1),$I$6=VLOOKUP(BE21,$B$2:$G$4,5,TRUE),BG21=VLOOKUP(BG21,'IN RPS-2015'!$I$2:$J$5,1)),0,ROUND(IF(BW21=3,0,IF(BW21=2,MIN(ROUND(BG21*$G$13%,0),IF(BE21&lt;$J$152,$G$14,$G$15))/2,MIN(ROUND(BG21*$G$13%,0),IF(BE21&lt;$J$152,$G$14,$G$15))))*(DAY(BF21)-DAY(BE21)+1)/DAY(EOMONTH(BE21,0)),0)))))</f>
        <v/>
      </c>
      <c r="BM21" s="461" t="str">
        <f>IF(BE21="","",IF(AND($AG$3=$AG$1,BE21&lt;=$AZ$1),0,IF(Main!$C$26="UGC",0,IF(BG21=VLOOKUP(BG21,'IN RPS-2015'!$I$2:$J$5,1),0,ROUND(BH21*VLOOKUP(BE21,$AF$11:$AG$12,2)%,0)))))</f>
        <v/>
      </c>
      <c r="BN21" s="461" t="str">
        <f>IF(BE21="","",IF(AND($AG$3=$AG$1,BE21&lt;=$AZ$1),0,IF(Main!$C$26="UGC",0,IF(BE21&lt;DATE(2010,4,1),0,IF(OR(BW21=2,BW21=3,BG21=VLOOKUP(BG21,'IN RPS-2015'!$I$2:$J$5,1)),0,ROUND(IF(BE21&lt;$J$152,VLOOKUP(BE21,$B$1:$G$4,4),VLOOKUP(VLOOKUP(BE21,$B$1:$G$4,4),Main!$CE$2:$CF$5,2,FALSE))*(DAY(BF21)-DAY(BE21)+1)/DAY(EOMONTH(BE21,0)),0))))))</f>
        <v/>
      </c>
      <c r="BO21" s="461" t="str">
        <f>IF(BE21="","",IF(AND($AG$3=$AG$1,BE21&lt;=$AZ$1),0,IF(OR(BW21=2,BW21=3,$D$31=$D$28,BG21=VLOOKUP(BG21,'IN RPS-2015'!$I$2:$J$5,1)),0,ROUND(MIN(VLOOKUP(BD21,$A$27:$C$29,2,TRUE),ROUND(BG21*VLOOKUP(BD21,$A$27:$C$29,3,TRUE)%,0))*IF(BD21=$A$36,$C$36,IF(BD21=$A$37,$C$37,IF(BD21=$A$38,$C$38,IF(BD21=$A$39,$C$39,IF(BD21=$A$40,$C$40,IF(BD21=$A$41,$C$41,1))))))*(DAY(BF21)-DAY(BE21)+1)/DAY(EOMONTH(BE21,0)),0))))</f>
        <v/>
      </c>
      <c r="BP21" s="461" t="str">
        <f>IF(BE21="","",IF(AND($AG$3=$AG$1,BE21&lt;=$AZ$1),0,IF(Main!$C$26="UGC",0,IF(OR(BW21=3,BG21=VLOOKUP(BG21,'IN RPS-2015'!$I$2:$J$5,1)),0,ROUND(IF(BW21=2,VLOOKUP(BG21,IF($AG$3=$I$29,$A$20:$E$23,$F$144:$J$147),IF($B$19=VLOOKUP(BE21,$B$2:$G$4,3,TRUE),2,IF($C$19=VLOOKUP(BE21,$B$2:$G$4,3,TRUE),3,IF($D$19=VLOOKUP(BE21,$B$2:$G$4,3,TRUE),4,5))),TRUE),VLOOKUP(BG21,IF($AG$3=$I$29,$A$20:$E$23,$F$144:$J$147),IF($B$19=VLOOKUP(BE21,$B$2:$G$4,3,TRUE),2,IF($C$19=VLOOKUP(BE21,$B$2:$G$4,3,TRUE),3,IF($D$19=VLOOKUP(BE21,$B$2:$G$4,3,TRUE),4,5))),TRUE))*(DAY(BF21)-DAY(BE21)+1)/DAY(EOMONTH(BE21,0)),0)))))</f>
        <v/>
      </c>
      <c r="BQ21" s="461" t="str">
        <f>IF(BE21="","",IF(AND($AG$3=$AG$1,BE21&lt;=$AZ$1),0,IF(Main!$C$26="UGC",0,IF(OR(BD21&lt;DATE(2010,4,1),BW21=3,BG21=VLOOKUP(BG21,'IN RPS-2015'!$I$2:$J$5,1)),0,ROUND(IF(BW21=2,IF(BE21&lt;$J$152,Main!$L$9,Main!$CI$3)/2,IF(BE21&lt;$J$152,Main!$L$9,Main!$CI$3))*(DAY(BF21)-DAY(BE21)+1)/DAY(EOMONTH(BE21,0)),0)))))</f>
        <v/>
      </c>
      <c r="BR21" s="461"/>
      <c r="BS21" s="461" t="str">
        <f>IF(BE21="","",IF(AND($AG$3=$AG$1,BE21&lt;=$AZ$1),0,IF(Main!$C$26="UGC",0,IF(OR(BW21=3,BG21=VLOOKUP(BG21,'IN RPS-2015'!$I$2:$J$5,1)),0,ROUND(IF(BW21=2,VLOOKUP(BH21,IF(BE21&lt;$J$152,$A$154:$E$159,$F$154:$J$159),IF($B$10=VLOOKUP(BD21,$B$2:$G$4,6,TRUE),2,IF($B$10=VLOOKUP(BD21,$B$2:$G$4,6,TRUE),3,IF($D$10=VLOOKUP(BD21,$B$2:$G$4,6,TRUE),4,5))))/2,VLOOKUP(BH21,IF(BE21&lt;$J$152,$A$154:$E$159,$F$154:$J$159),IF($B$10=VLOOKUP(BD21,$B$2:$G$4,6,TRUE),2,IF($B$10=VLOOKUP(BD21,$B$2:$G$4,6,TRUE),3,IF($D$10=VLOOKUP(BD21,$B$2:$G$4,6,TRUE),4,5)))))*(DAY(BF21)-DAY(BE21)+1)/DAY(EOMONTH(BE21,0)),0)))))</f>
        <v/>
      </c>
      <c r="BT21" s="461">
        <f t="shared" si="69"/>
        <v>0</v>
      </c>
      <c r="BU21" s="464" t="str">
        <f>IF(BE21="","",IF(AND($AG$3=$AG$1,BE21&lt;=$AZ$1),0,IF(AND(Main!$F$22=Main!$CA$24,BE21&gt;$AZ$1),ROUND(SUM(BH21,BJ21)*10%,0),"")))</f>
        <v/>
      </c>
      <c r="BV21" s="464" t="str">
        <f>IF(BD21="","",IF(AND($AG$3=$AG$1,BE21&lt;=$AZ$1),0,IF(OR(Main!$H$10=Main!$BH$4,Main!$H$10=Main!$BH$5),0,LOOKUP(BT21*DAY(EOMONTH(BE21,0))/(DAY(BF21)-DAY(BE21)+1),$H$184:$I$189))))</f>
        <v/>
      </c>
      <c r="BW21" s="503">
        <f t="shared" si="70"/>
        <v>1</v>
      </c>
      <c r="BX21" s="457">
        <f t="shared" si="71"/>
        <v>0</v>
      </c>
      <c r="BY21" s="497"/>
      <c r="BZ21" s="497"/>
      <c r="CA21" s="457"/>
      <c r="CB21" s="461"/>
      <c r="CC21" s="499" t="str">
        <f t="shared" si="57"/>
        <v/>
      </c>
      <c r="CD21" s="500" t="str">
        <f t="shared" si="86"/>
        <v/>
      </c>
      <c r="CE21" s="484" t="str">
        <f>IF(CD21="","",MIN(EOMONTH(CD21,0),VLOOKUP(CD21,'IN RPS-2015'!$O$164:$P$202,2,TRUE)-1,LOOKUP(CD21,$E$47:$F$53)-1,IF(CD21&lt;$B$2,$B$2-1,'IN RPS-2015'!$Q$9),IF(CD21&lt;$B$3,$B$3-1,'IN RPS-2015'!$Q$9),IF(CD21&lt;$B$4,$B$4-1,'IN RPS-2015'!$Q$9),LOOKUP(CD21,$H$47:$I$53)))</f>
        <v/>
      </c>
      <c r="CF21" s="490" t="str">
        <f>IF(CD21="","",VLOOKUP(CD21,'IN RPS-2015'!$T$207:$Y$222,5))</f>
        <v/>
      </c>
      <c r="CG21" s="461" t="str">
        <f t="shared" si="72"/>
        <v/>
      </c>
      <c r="CH21" s="461" t="str">
        <f>IF(CD21="","",IF(AND($CA$3=$CA$1,CD21&lt;=$CT$1),0,ROUND(IF(CV21=3,0,IF(CV21=2,IF(CF21=VLOOKUP(CF21,'IN RPS-2015'!$I$2:$J$5,1),0,Main!$H$9)/2,IF(CF21=VLOOKUP(CF21,'IN RPS-2015'!$I$2:$J$5,1),0,Main!$H$9)))*(DAY(CE21)-DAY(CD21)+1)/DAY(EOMONTH(CD21,0)),0)))</f>
        <v/>
      </c>
      <c r="CI21" s="461" t="str">
        <f>IF(CD21="","",IF(AND($CA$3=$CA$1,CD21&lt;=$CT$1),0,IF(CF21=VLOOKUP(CF21,'IN RPS-2015'!$I$2:$J$5,1),0,ROUND(CG21*VLOOKUP(CD21,$BZ$4:$CA$7,2)%,0))))</f>
        <v/>
      </c>
      <c r="CJ21" s="461" t="str">
        <f>IF(CD21="","",IF(AND($CA$3=$CA$1,CD21&lt;=$CT$1),0,IF(OR(CV21=3,CF21=VLOOKUP(CF21,'IN RPS-2015'!$I$2:$J$5,1)),0,ROUND(MIN(ROUND(CF21*VLOOKUP(CD21,$B$1:$G$4,2)%,0),VLOOKUP(CD21,$B$2:$I$4,IF($CA$3=$I$29,7,8),TRUE))*(DAY(CE21)-DAY(CD21)+1)/DAY(EOMONTH(CD21,0)),0))))</f>
        <v/>
      </c>
      <c r="CK21" s="491" t="str">
        <f>IF(CD21="","",IF(AND($CA$3=$CA$1,CD21&lt;=$CT$1),0,IF(Main!$C$26="UGC",0,IF(OR(CD21&lt;DATE(2010,4,1),$I$6=VLOOKUP(CD21,$B$2:$G$4,5,TRUE),CF21=VLOOKUP(CF21,'IN RPS-2015'!$I$2:$J$5,1)),0,ROUND(IF(CV21=3,0,IF(CV21=2,MIN(ROUND(CF21*$G$13%,0),IF(CD21&lt;$J$152,$G$14,$G$15))/2,MIN(ROUND(CF21*$G$13%,0),IF(CD21&lt;$J$152,$G$14,$G$15))))*(DAY(CE21)-DAY(CD21)+1)/DAY(EOMONTH(CD21,0)),0)))))</f>
        <v/>
      </c>
      <c r="CL21" s="461" t="str">
        <f>IF(CD21="","",IF(AND($CA$3=$CA$1,CD21&lt;=$CT$1),0,IF(Main!$C$26="UGC",0,IF(CF21=VLOOKUP(CF21,'IN RPS-2015'!$I$2:$J$5,1),0,ROUND(CG21*VLOOKUP(CD21,$BZ$11:$CA$12,2)%,0)))))</f>
        <v/>
      </c>
      <c r="CM21" s="461" t="str">
        <f>IF(CD21="","",IF(AND($CA$3=$CA$1,CD21&lt;=$CT$1),0,IF(Main!$C$26="UGC",0,IF(CD21&lt;DATE(2010,4,1),0,IF(OR(CV21=2,CV21=3,CF21=VLOOKUP(CF21,'IN RPS-2015'!$I$2:$J$5,1)),0,ROUND(IF(CD21&lt;$J$152,VLOOKUP(CD21,$B$1:$G$4,4),VLOOKUP(VLOOKUP(CD21,$B$1:$G$4,4),Main!$CE$2:$CF$5,2,FALSE))*(DAY(CE21)-DAY(CD21)+1)/DAY(EOMONTH(CD21,0)),0))))))</f>
        <v/>
      </c>
      <c r="CN21" s="461" t="str">
        <f>IF(CD21="","",IF(AND($CA$3=$CA$1,CD21&lt;=$CT$1),0,IF(OR(CV21=2,CV21=3,$D$31=$D$28,CF21=VLOOKUP(CF21,'IN RPS-2015'!$I$2:$J$5,1)),0,ROUND(MIN(VLOOKUP(CC21,$A$27:$C$29,2,TRUE),ROUND(CF21*VLOOKUP(CC21,$A$27:$C$29,3,TRUE)%,0))*IF(CC21=$A$36,$C$36,IF(CC21=$A$37,$C$37,IF(CC21=$A$38,$C$38,IF(CC21=$A$39,$C$39,IF(CC21=$A$40,$C$40,IF(CC21=$A$41,$C$41,1))))))*(DAY(CE21)-DAY(CD21)+1)/DAY(EOMONTH(CD21,0)),0))))</f>
        <v/>
      </c>
      <c r="CO21" s="461" t="str">
        <f>IF(CD21="","",IF(AND($CA$3=$CA$1,CD21&lt;=$CT$1),0,IF(Main!$C$26="UGC",0,IF(OR(CV21=3,CF21=VLOOKUP(CF21,'IN RPS-2015'!$I$2:$J$5,1)),0,ROUND(IF(CV21=2,VLOOKUP(CF21,IF($CA$3=$I$29,$A$20:$E$23,$F$144:$J$147),IF($B$19=VLOOKUP(CD21,$B$2:$G$4,3,TRUE),2,IF($C$19=VLOOKUP(CD21,$B$2:$G$4,3,TRUE),3,IF($D$19=VLOOKUP(CD21,$B$2:$G$4,3,TRUE),4,5))),TRUE),VLOOKUP(CF21,IF($CA$3=$I$29,$A$20:$E$23,$F$144:$J$147),IF($B$19=VLOOKUP(CD21,$B$2:$G$4,3,TRUE),2,IF($C$19=VLOOKUP(CD21,$B$2:$G$4,3,TRUE),3,IF($D$19=VLOOKUP(CD21,$B$2:$G$4,3,TRUE),4,5))),TRUE))*(DAY(CE21)-DAY(CD21)+1)/DAY(EOMONTH(CD21,0)),0)))))</f>
        <v/>
      </c>
      <c r="CP21" s="461" t="str">
        <f>IF(CD21="","",IF(AND($CA$3=$CA$1,CD21&lt;=$CT$1),0,IF(Main!$C$26="UGC",0,IF(OR(CC21&lt;DATE(2010,4,1),CV21=3,CF21=VLOOKUP(CF21,'IN RPS-2015'!$I$2:$J$5,1)),0,ROUND(IF(CV21=2,IF(CD21&lt;$J$152,Main!$L$9,Main!$CI$3)/2,IF(CD21&lt;$J$152,Main!$L$9,Main!$CI$3))*(DAY(CE21)-DAY(CD21)+1)/DAY(EOMONTH(CD21,0)),0)))))</f>
        <v/>
      </c>
      <c r="CQ21" s="461"/>
      <c r="CR21" s="461" t="str">
        <f>IF(CD21="","",IF(AND($CA$3=$CA$1,CD21&lt;=$CT$1),0,IF(Main!$C$26="UGC",0,IF(OR(CV21=3,CF21=VLOOKUP(CF21,'IN RPS-2015'!$I$2:$J$5,1)),0,ROUND(IF(CV21=2,VLOOKUP(CG21,IF(CD21&lt;$J$152,$A$154:$E$159,$F$154:$J$159),IF($B$10=VLOOKUP(CC21,$B$2:$G$4,6,TRUE),2,IF($B$10=VLOOKUP(CC21,$B$2:$G$4,6,TRUE),3,IF($D$10=VLOOKUP(CC21,$B$2:$G$4,6,TRUE),4,5))))/2,VLOOKUP(CG21,IF(CD21&lt;$J$152,$A$154:$E$159,$F$154:$J$159),IF($B$10=VLOOKUP(CC21,$B$2:$G$4,6,TRUE),2,IF($B$10=VLOOKUP(CC21,$B$2:$G$4,6,TRUE),3,IF($D$10=VLOOKUP(CC21,$B$2:$G$4,6,TRUE),4,5)))))*(DAY(CE21)-DAY(CD21)+1)/DAY(EOMONTH(CD21,0)),0)))))</f>
        <v/>
      </c>
      <c r="CS21" s="461">
        <f t="shared" si="73"/>
        <v>0</v>
      </c>
      <c r="CT21" s="464" t="str">
        <f>IF(CD21="","",IF(AND($CA$3=$CA$1,CD21&lt;=$CT$1),0,IF(AND(Main!$F$22=Main!$CA$24,CD21&gt;$CT$1),ROUND(SUM(CG21,CI21)*10%,0),"")))</f>
        <v/>
      </c>
      <c r="CU21" s="464" t="str">
        <f>IF(CC21="","",IF(CG21=0,0,IF(OR(Main!$H$10=Main!$BH$4,Main!$H$10=Main!$BH$5),0,LOOKUP(CS21*DAY(EOMONTH(CD21,0))/(DAY(CE21)-DAY(CD21)+1),$H$184:$I$189))))</f>
        <v/>
      </c>
      <c r="CV21" s="457">
        <f t="shared" si="74"/>
        <v>1</v>
      </c>
      <c r="CW21" s="464"/>
      <c r="CX21" s="501" t="str">
        <f t="shared" si="59"/>
        <v/>
      </c>
      <c r="CY21" s="502" t="str">
        <f t="shared" si="87"/>
        <v/>
      </c>
      <c r="CZ21" s="484" t="str">
        <f>IF(CY21="","",MIN(EOMONTH(CY21,0),VLOOKUP(CY21,'IN RPS-2015'!$O$164:$P$202,2,TRUE)-1,LOOKUP(CY21,$E$47:$F$53)-1,IF(CY21&lt;$B$2,$B$2-1,'IN RPS-2015'!$Q$9),IF(CY21&lt;$B$3,$B$3-1,'IN RPS-2015'!$Q$9),IF(CY21&lt;$B$4,$B$4-1,'IN RPS-2015'!$Q$9),LOOKUP(CY21,$H$47:$I$53)))</f>
        <v/>
      </c>
      <c r="DA21" s="493" t="str">
        <f>IF(CY21="","",VLOOKUP(CY21,'IN RPS-2015'!$T$207:$Y$222,6))</f>
        <v/>
      </c>
      <c r="DB21" s="461" t="str">
        <f t="shared" si="75"/>
        <v/>
      </c>
      <c r="DC21" s="461" t="str">
        <f>IF(CY21="","",IF(AND($CA$3=$CA$1,CY21&lt;=$CT$1),0,ROUND(IF(DQ21=3,0,IF(DQ21=2,IF(DA21=VLOOKUP(DA21,'IN RPS-2015'!$I$2:$J$5,1),0,Main!$H$9)/2,IF(DA21=VLOOKUP(DA21,'IN RPS-2015'!$I$2:$J$5,1),0,Main!$H$9)))*(DAY(CZ21)-DAY(CY21)+1)/DAY(EOMONTH(CY21,0)),0)))</f>
        <v/>
      </c>
      <c r="DD21" s="461" t="str">
        <f>IF(CY21="","",IF(AND($CA$3=$CA$1,CY21&lt;=$CT$1),0,IF(DA21=VLOOKUP(DA21,'IN RPS-2015'!$I$2:$J$5,1),0,ROUND(DB21*VLOOKUP(CY21,$BZ$4:$CA$7,2)%,0))))</f>
        <v/>
      </c>
      <c r="DE21" s="461" t="str">
        <f>IF(CY21="","",IF(AND($CA$3=$CA$1,CY21&lt;=$CT$1),0,IF(OR(DQ21=3,DA21=VLOOKUP(DA21,'IN RPS-2015'!$I$2:$J$5,1)),0,ROUND(MIN(ROUND(DA21*VLOOKUP(CY21,$B$1:$G$4,2)%,0),VLOOKUP(CY21,$B$2:$I$4,IF($CA$3=$I$29,7,8),TRUE))*(DAY(CZ21)-DAY(CY21)+1)/DAY(EOMONTH(CY21,0)),0))))</f>
        <v/>
      </c>
      <c r="DF21" s="491" t="str">
        <f>IF(CY21="","",IF(AND($CA$3=$CA$1,CY21&lt;=$CT$1),0,IF(Main!$C$26="UGC",0,IF(OR(CY21&lt;DATE(2010,4,1),$I$6=VLOOKUP(CY21,$B$2:$G$4,5,TRUE),DA21=VLOOKUP(DA21,'IN RPS-2015'!$I$2:$J$5,1)),0,ROUND(IF(DQ21=3,0,IF(DQ21=2,MIN(ROUND(DA21*$G$13%,0),IF(CY21&lt;$J$152,$G$14,$G$15))/2,MIN(ROUND(DA21*$G$13%,0),IF(CY21&lt;$J$152,$G$14,$G$15))))*(DAY(CZ21)-DAY(CY21)+1)/DAY(EOMONTH(CY21,0)),0)))))</f>
        <v/>
      </c>
      <c r="DG21" s="461" t="str">
        <f>IF(CY21="","",IF(AND($CA$3=$CA$1,CY21&lt;=$CT$1),0,IF(Main!$C$26="UGC",0,IF(DA21=VLOOKUP(DA21,'IN RPS-2015'!$I$2:$J$5,1),0,ROUND(DB21*VLOOKUP(CY21,$BZ$11:$CA$12,2)%,0)))))</f>
        <v/>
      </c>
      <c r="DH21" s="461" t="str">
        <f>IF(CY21="","",IF(AND($CA$3=$CA$1,CY21&lt;=$CT$1),0,IF(Main!$C$26="UGC",0,IF(CY21&lt;DATE(2010,4,1),0,IF(OR(DQ21=2,DQ21=3,DA21=VLOOKUP(DA21,'IN RPS-2015'!$I$2:$J$5,1)),0,ROUND(IF(CY21&lt;$J$152,VLOOKUP(CY21,$B$1:$G$4,4),VLOOKUP(VLOOKUP(CY21,$B$1:$G$4,4),Main!$CE$2:$CF$5,2,FALSE))*(DAY(CZ21)-DAY(CY21)+1)/DAY(EOMONTH(CY21,0)),0))))))</f>
        <v/>
      </c>
      <c r="DI21" s="461" t="str">
        <f>IF(CY21="","",IF(AND($CA$3=$CA$1,CY21&lt;=$CT$1),0,IF(OR(DQ21=2,DQ21=3,$D$31=$D$28,DA21=VLOOKUP(DA21,'IN RPS-2015'!$I$2:$J$5,1)),0,ROUND(MIN(VLOOKUP(CX21,$A$27:$C$29,2,TRUE),ROUND(DA21*VLOOKUP(CX21,$A$27:$C$29,3,TRUE)%,0))*IF(CX21=$A$36,$C$36,IF(CX21=$A$37,$C$37,IF(CX21=$A$38,$C$38,IF(CX21=$A$39,$C$39,IF(CX21=$A$40,$C$40,IF(CX21=$A$41,$C$41,1))))))*(DAY(CZ21)-DAY(CY21)+1)/DAY(EOMONTH(CY21,0)),0))))</f>
        <v/>
      </c>
      <c r="DJ21" s="461" t="str">
        <f>IF(CY21="","",IF(AND($CA$3=$CA$1,CY21&lt;=$CT$1),0,IF(Main!$C$26="UGC",0,IF(OR(DQ21=3,DA21=VLOOKUP(DA21,'IN RPS-2015'!$I$2:$J$5,1)),0,ROUND(IF(DQ21=2,VLOOKUP(DA21,IF($CA$3=$I$29,$A$20:$E$23,$F$144:$J$147),IF($B$19=VLOOKUP(CY21,$B$2:$G$4,3,TRUE),2,IF($C$19=VLOOKUP(CY21,$B$2:$G$4,3,TRUE),3,IF($D$19=VLOOKUP(CY21,$B$2:$G$4,3,TRUE),4,5))),TRUE),VLOOKUP(DA21,IF($CA$3=$I$29,$A$20:$E$23,$F$144:$J$147),IF($B$19=VLOOKUP(CY21,$B$2:$G$4,3,TRUE),2,IF($C$19=VLOOKUP(CY21,$B$2:$G$4,3,TRUE),3,IF($D$19=VLOOKUP(CY21,$B$2:$G$4,3,TRUE),4,5))),TRUE))*(DAY(CZ21)-DAY(CY21)+1)/DAY(EOMONTH(CY21,0)),0)))))</f>
        <v/>
      </c>
      <c r="DK21" s="461" t="str">
        <f>IF(CY21="","",IF(AND($CA$3=$CA$1,CY21&lt;=$CT$1),0,IF(Main!$C$26="UGC",0,IF(OR(CX21&lt;DATE(2010,4,1),DQ21=3,DA21=VLOOKUP(DA21,'IN RPS-2015'!$I$2:$J$5,1)),0,ROUND(IF(DQ21=2,IF(CY21&lt;$J$152,Main!$L$9,Main!$CI$3)/2,IF(CY21&lt;$J$152,Main!$L$9,Main!$CI$3))*(DAY(CZ21)-DAY(CY21)+1)/DAY(EOMONTH(CY21,0)),0)))))</f>
        <v/>
      </c>
      <c r="DL21" s="461"/>
      <c r="DM21" s="461" t="str">
        <f>IF(CY21="","",IF(AND($CA$3=$CA$1,CY21&lt;=$CT$1),0,IF(Main!$C$26="UGC",0,IF(OR(DQ21=3,DA21=VLOOKUP(DA21,'IN RPS-2015'!$I$2:$J$5,1)),0,ROUND(IF(DQ21=2,VLOOKUP(DB21,IF(CY21&lt;$J$152,$A$154:$E$159,$F$154:$J$159),IF($B$10=VLOOKUP(CX21,$B$2:$G$4,6,TRUE),2,IF($B$10=VLOOKUP(CX21,$B$2:$G$4,6,TRUE),3,IF($D$10=VLOOKUP(CX21,$B$2:$G$4,6,TRUE),4,5))))/2,VLOOKUP(DB21,IF(CY21&lt;$J$152,$A$154:$E$159,$F$154:$J$159),IF($B$10=VLOOKUP(CX21,$B$2:$G$4,6,TRUE),2,IF($B$10=VLOOKUP(CX21,$B$2:$G$4,6,TRUE),3,IF($D$10=VLOOKUP(CX21,$B$2:$G$4,6,TRUE),4,5)))))*(DAY(CZ21)-DAY(CY21)+1)/DAY(EOMONTH(CY21,0)),0)))))</f>
        <v/>
      </c>
      <c r="DN21" s="461">
        <f t="shared" si="76"/>
        <v>0</v>
      </c>
      <c r="DO21" s="464" t="str">
        <f>IF(CY21="","",IF(AND($CA$3=$CA$1,CY21&lt;=$CT$1),0,IF(AND(Main!$F$22=Main!$CA$24,CY21&gt;$CT$1),ROUND(SUM(DB21,DD21)*10%,0),"")))</f>
        <v/>
      </c>
      <c r="DP21" s="464" t="str">
        <f>IF(CX21="","",IF(AND($CA$3=$CA$1,CY21&lt;=$CT$1),0,IF(OR(Main!$H$10=Main!$BH$4,Main!$H$10=Main!$BH$5),0,LOOKUP(DN21*DAY(EOMONTH(CY21,0))/(DAY(CZ21)-DAY(CY21)+1),$H$184:$I$189))))</f>
        <v/>
      </c>
      <c r="DQ21" s="457">
        <f t="shared" si="60"/>
        <v>1</v>
      </c>
      <c r="DR21" s="457">
        <f t="shared" si="77"/>
        <v>0</v>
      </c>
      <c r="DS21" s="497"/>
      <c r="DT21" s="497"/>
      <c r="DU21" s="457"/>
      <c r="DV21" s="461"/>
      <c r="DW21" s="499" t="str">
        <f t="shared" si="61"/>
        <v/>
      </c>
      <c r="DX21" s="500" t="str">
        <f t="shared" si="88"/>
        <v/>
      </c>
      <c r="DY21" s="484" t="str">
        <f>IF(DX21="","",MIN(EOMONTH(DX21,0),VLOOKUP(DX21,'IN RPS-2015'!$O$164:$P$202,2,TRUE)-1,LOOKUP(DX21,$E$47:$F$53)-1,IF(DX21&lt;$B$2,$B$2-1,'IN RPS-2015'!$Q$9),IF(DX21&lt;$B$3,$B$3-1,'IN RPS-2015'!$Q$9),IF(DX21&lt;$B$4,$B$4-1,'IN RPS-2015'!$Q$9),LOOKUP(DX21,$H$47:$I$53)))</f>
        <v/>
      </c>
      <c r="DZ21" s="490" t="str">
        <f>IF(DX21="","",VLOOKUP(DX21,'IN RPS-2015'!$P$164:$AA$202,11))</f>
        <v/>
      </c>
      <c r="EA21" s="461" t="str">
        <f t="shared" si="78"/>
        <v/>
      </c>
      <c r="EB21" s="461" t="str">
        <f>IF(DX21="","",ROUND(IF(EP21=3,0,IF(EP21=2,IF(DZ21=VLOOKUP(DZ21,'IN RPS-2015'!$I$2:$J$5,1),0,Main!$H$9)/2,IF(DZ21=VLOOKUP(DZ21,'IN RPS-2015'!$I$2:$J$5,1),0,Main!$H$9)))*(DAY(DY21)-DAY(DX21)+1)/DAY(EOMONTH(DX21,0)),0))</f>
        <v/>
      </c>
      <c r="EC21" s="461" t="str">
        <f>IF(DX21="","",IF(DZ21=VLOOKUP(DZ21,'IN RPS-2015'!$I$2:$J$5,1),0,ROUND(EA21*VLOOKUP(DX21,$DT$4:$DU$7,2)%,0)))</f>
        <v/>
      </c>
      <c r="ED21" s="461" t="str">
        <f>IF(DX21="","",IF(OR(EP21=3,DZ21=VLOOKUP(DZ21,'IN RPS-2015'!$I$2:$J$5,1)),0,ROUND(MIN(ROUND(DZ21*VLOOKUP(DX21,$B$1:$G$4,2)%,0),VLOOKUP(DX21,$B$2:$I$4,IF($DU$3=$I$29,7,8),TRUE))*(DAY(DY21)-DAY(DX21)+1)/DAY(EOMONTH(DX21,0)),0)))</f>
        <v/>
      </c>
      <c r="EE21" s="491" t="str">
        <f>IF(DX21="","",IF(Main!$C$26="UGC",0,IF(OR(DX21&lt;DATE(2010,4,1),$I$6=VLOOKUP(DX21,$B$2:$G$4,5,TRUE),DZ21=VLOOKUP(DZ21,'IN RPS-2015'!$I$2:$J$5,1)),0,ROUND(IF(EP21=3,0,IF(EP21=2,MIN(ROUND(DZ21*$G$13%,0),IF(DX21&lt;$I$152,$G$14,$G$15))/2,MIN(ROUND(DZ21*$G$13%,0),IF(DX21&lt;$I$152,$G$14,$G$15))))*(DAY(DY21)-DAY(DX21)+1)/DAY(EOMONTH(DX21,0)),0))))</f>
        <v/>
      </c>
      <c r="EF21" s="461" t="str">
        <f>IF(DX21="","",IF(Main!$C$26="UGC",0,IF(DZ21=VLOOKUP(DZ21,'IN RPS-2015'!$I$2:$J$5,1),0,ROUND(EA21*VLOOKUP(DX21,$DT$11:$DU$12,2)%,0))))</f>
        <v/>
      </c>
      <c r="EG21" s="461" t="str">
        <f>IF(DX21="","",IF(Main!$C$26="UGC",0,IF(DX21&lt;DATE(2010,4,1),0,IF(OR(EP21=2,EP21=3,DZ21=VLOOKUP(DZ21,'IN RPS-2015'!$I$2:$J$5,1)),0,ROUND(IF(DX21&lt;$I$152,VLOOKUP(DX21,$B$1:$G$4,4),VLOOKUP(VLOOKUP(DX21,$B$1:$G$4,4),Main!$CE$2:$CF$5,2,FALSE))*(DAY(DY21)-DAY(DX21)+1)/DAY(EOMONTH(DX21,0)),0)))))</f>
        <v/>
      </c>
      <c r="EH21" s="461" t="str">
        <f>IF(DX21="","",IF(OR(EP21=2,EP21=3,$D$31=$D$28,DZ21=VLOOKUP(DZ21,'IN RPS-2015'!$I$2:$J$5,1)),0,ROUND(MIN(IF(DX21&lt;$I$152,900,1350),ROUND(DZ21*VLOOKUP(DW21,$A$27:$C$29,3,TRUE)%,0))*IF(DW21=$A$36,$C$36,IF(DW21=$A$37,$C$37,IF(DW21=$A$38,$C$38,IF(DW21=$A$39,$C$39,IF(DW21=$A$40,$C$40,IF(DW21=$A$41,$C$41,1))))))*(DAY(DY21)-DAY(DX21)+1)/DAY(EOMONTH(DX21,0)),0)))</f>
        <v/>
      </c>
      <c r="EI21" s="461" t="str">
        <f>IF(DX21="","",IF(Main!$C$26="UGC",0,IF(OR(EP21=3,DZ21=VLOOKUP(DZ21,'IN RPS-2015'!$I$2:$J$5,1)),0,ROUND(IF(EP21=2,VLOOKUP(DZ21,IF($DU$3=$I$29,$A$20:$E$23,$F$144:$J$147),IF($B$19=VLOOKUP(DX21,$B$2:$G$4,3,TRUE),2,IF($C$19=VLOOKUP(DX21,$B$2:$G$4,3,TRUE),3,IF($D$19=VLOOKUP(DX21,$B$2:$G$4,3,TRUE),4,5))),TRUE),VLOOKUP(DZ21,IF($DU$3=$I$29,$A$20:$E$23,$F$144:$J$147),IF($B$19=VLOOKUP(DX21,$B$2:$G$4,3,TRUE),2,IF($C$19=VLOOKUP(DX21,$B$2:$G$4,3,TRUE),3,IF($D$19=VLOOKUP(DX21,$B$2:$G$4,3,TRUE),4,5))),TRUE))*(DAY(DY21)-DAY(DX21)+1)/DAY(EOMONTH(DX21,0)),0))))</f>
        <v/>
      </c>
      <c r="EJ21" s="461" t="str">
        <f>IF(DX21="","",IF(Main!$C$26="UGC",0,IF(OR(DW21&lt;DATE(2010,4,1),EP21=3,DZ21=VLOOKUP(DZ21,'IN RPS-2015'!$I$2:$J$5,1)),0,ROUND(IF(EP21=2,IF(DX21&lt;$I$152,Main!$L$9,Main!$CI$3)/2,IF(DX21&lt;$I$152,Main!$L$9,Main!$CI$3))*(DAY(DY21)-DAY(DX21)+1)/DAY(EOMONTH(DX21,0)),0))))</f>
        <v/>
      </c>
      <c r="EK21" s="461"/>
      <c r="EL21" s="461" t="str">
        <f>IF(DX21="","",IF(Main!$C$26="UGC",0,IF(OR(EP21=3,DZ21=VLOOKUP(DZ21,'IN RPS-2015'!$I$2:$J$5,1)),0,ROUND(IF(EP21=2,VLOOKUP(EA21,IF(DX21&lt;$I$152,$A$154:$E$159,$F$154:$J$159),IF($B$10=VLOOKUP(DW21,$B$2:$G$4,6,TRUE),2,IF($B$10=VLOOKUP(DW21,$B$2:$G$4,6,TRUE),3,IF($D$10=VLOOKUP(DW21,$B$2:$G$4,6,TRUE),4,5))))/2,VLOOKUP(EA21,IF(DX21&lt;$I$152,$A$154:$E$159,$F$154:$J$159),IF($B$10=VLOOKUP(DW21,$B$2:$G$4,6,TRUE),2,IF($B$10=VLOOKUP(DW21,$B$2:$G$4,6,TRUE),3,IF($D$10=VLOOKUP(DW21,$B$2:$G$4,6,TRUE),4,5)))))*(DAY(DY21)-DAY(DX21)+1)/DAY(EOMONTH(DX21,0)),0))))</f>
        <v/>
      </c>
      <c r="EM21" s="461">
        <f t="shared" si="79"/>
        <v>0</v>
      </c>
      <c r="EN21" s="464" t="str">
        <f>IF(DX21="","",IF(AND(Main!$F$22=Main!$CA$24,DX21&gt;$EN$1),ROUND(SUM(EA21,EC21)*10%,0),""))</f>
        <v/>
      </c>
      <c r="EO21" s="464" t="str">
        <f>IF(DW21="","",IF(EA21=0,0,IF(OR(Main!$H$10=Main!$BH$4,Main!$H$10=Main!$BH$5),0,LOOKUP(EM21*DAY(EOMONTH(DX21,0))/(DAY(DY21)-DAY(DX21)+1),$H$184:$I$189))))</f>
        <v/>
      </c>
      <c r="EP21" s="457">
        <f t="shared" si="62"/>
        <v>1</v>
      </c>
      <c r="ER21" s="497"/>
      <c r="ET21" s="461"/>
      <c r="EU21" s="499" t="str">
        <f t="shared" si="63"/>
        <v/>
      </c>
      <c r="EV21" s="500" t="str">
        <f t="shared" si="89"/>
        <v/>
      </c>
      <c r="EW21" s="484" t="str">
        <f>IF(EV21="","",MIN(EOMONTH(EV21,0),VLOOKUP(EV21,'IN RPS-2015'!$O$164:$P$202,2,TRUE)-1,LOOKUP(EV21,$E$47:$F$53)-1,IF(EV21&lt;$B$2,$B$2-1,'IN RPS-2015'!$Q$9),IF(EV21&lt;$B$3,$B$3-1,'IN RPS-2015'!$Q$9),IF(EV21&lt;$B$4,$B$4-1,'IN RPS-2015'!$Q$9),LOOKUP(EV21,$H$47:$I$53)))</f>
        <v/>
      </c>
      <c r="EX21" s="490" t="str">
        <f>IF(EV21="","",VLOOKUP(EV21,'IN RPS-2015'!$P$164:$AA$202,12))</f>
        <v/>
      </c>
      <c r="EY21" s="461" t="str">
        <f t="shared" si="80"/>
        <v/>
      </c>
      <c r="EZ21" s="461" t="str">
        <f>IF(EV21="","",ROUND(IF(FN21=3,0,IF(FN21=2,IF(EX21=VLOOKUP(EX21,'IN RPS-2015'!$I$2:$J$5,1),0,Main!$H$9)/2,IF(EX21=VLOOKUP(EX21,'IN RPS-2015'!$I$2:$J$5,1),0,Main!$H$9)))*(DAY(EW21)-DAY(EV21)+1)/DAY(EOMONTH(EV21,0)),0))</f>
        <v/>
      </c>
      <c r="FA21" s="461" t="str">
        <f>IF(EV21="","",IF(EX21=VLOOKUP(EX21,'IN RPS-2015'!$I$2:$J$5,1),0,ROUND(EY21*VLOOKUP(EV21,$ER$4:$ES$7,2)%,0)))</f>
        <v/>
      </c>
      <c r="FB21" s="461" t="str">
        <f>IF(EV21="","",IF(OR(FN21=3,EX21=VLOOKUP(EX21,'IN RPS-2015'!$I$2:$J$5,1)),0,ROUND(MIN(ROUND(EX21*VLOOKUP(EV21,$B$1:$G$4,2)%,0),VLOOKUP(EV21,$B$2:$I$4,IF($ES$3=$I$29,7,8),TRUE))*(DAY(EW21)-DAY(EV21)+1)/DAY(EOMONTH(EV21,0)),0)))</f>
        <v/>
      </c>
      <c r="FC21" s="491" t="str">
        <f>IF(EV21="","",IF(Main!$C$26="UGC",0,IF(OR(EV21&lt;DATE(2010,4,1),$I$6=VLOOKUP(EV21,$B$2:$G$4,5,TRUE),EX21=VLOOKUP(EX21,'IN RPS-2015'!$I$2:$J$5,1)),0,ROUND(IF(FN21=3,0,IF(FN21=2,MIN(ROUND(EX21*$G$13%,0),IF(EV21&lt;$J$152,$G$14,$G$15))/2,MIN(ROUND(EX21*$G$13%,0),IF(EV21&lt;$J$152,$G$14,$G$15))))*(DAY(EW21)-DAY(EV21)+1)/DAY(EOMONTH(EV21,0)),0))))</f>
        <v/>
      </c>
      <c r="FD21" s="461" t="str">
        <f>IF(EV21="","",IF(Main!$C$26="UGC",0,IF(EX21=VLOOKUP(EX21,'IN RPS-2015'!$I$2:$J$5,1),0,ROUND(EY21*VLOOKUP(EV21,$ER$11:$ES$12,2)%,0))))</f>
        <v/>
      </c>
      <c r="FE21" s="461" t="str">
        <f>IF(EV21="","",IF(Main!$C$26="UGC",0,IF(EV21&lt;DATE(2010,4,1),0,IF(OR(FN21=2,FN21=3,EX21=VLOOKUP(EX21,'IN RPS-2015'!$I$2:$J$5,1)),0,ROUND(IF(EV21&lt;$J$152,VLOOKUP(EV21,$B$1:$G$4,4),VLOOKUP(VLOOKUP(EV21,$B$1:$G$4,4),Main!$CE$2:$CF$5,2,FALSE))*(DAY(EW21)-DAY(EV21)+1)/DAY(EOMONTH(EV21,0)),0)))))</f>
        <v/>
      </c>
      <c r="FF21" s="461" t="str">
        <f>IF(EV21="","",IF(OR(FN21=2,FN21=3,$D$31=$D$28,EX21=VLOOKUP(EX21,'IN RPS-2015'!$I$2:$J$5,1)),0,ROUND(MIN(VLOOKUP(EU21,$A$27:$C$29,2,TRUE),ROUND(EX21*VLOOKUP(EU21,$A$27:$C$29,3,TRUE)%,0))*IF(EU21=$A$36,$C$36,IF(EU21=$A$37,$C$37,IF(EU21=$A$38,$C$38,IF(EU21=$A$39,$C$39,IF(EU21=$A$40,$C$40,IF(EU21=$A$41,$C$41,1))))))*(DAY(EW21)-DAY(EV21)+1)/DAY(EOMONTH(EV21,0)),0)))</f>
        <v/>
      </c>
      <c r="FG21" s="461" t="str">
        <f>IF(EV21="","",IF(Main!$C$26="UGC",0,IF(OR(FN21=3,EX21=VLOOKUP(EX21,'IN RPS-2015'!$I$2:$J$5,1)),0,ROUND(IF(FN21=2,VLOOKUP(EX21,IF($ES$3=$I$29,$A$20:$E$23,$F$144:$J$147),IF($B$19=VLOOKUP(EV21,$B$2:$G$4,3,TRUE),2,IF($C$19=VLOOKUP(EV21,$B$2:$G$4,3,TRUE),3,IF($D$19=VLOOKUP(EV21,$B$2:$G$4,3,TRUE),4,5))),TRUE),VLOOKUP(EX21,IF($ES$3=$I$29,$A$20:$E$23,$F$144:$J$147),IF($B$19=VLOOKUP(EV21,$B$2:$G$4,3,TRUE),2,IF($C$19=VLOOKUP(EV21,$B$2:$G$4,3,TRUE),3,IF($D$19=VLOOKUP(EV21,$B$2:$G$4,3,TRUE),4,5))),TRUE))*(DAY(EW21)-DAY(EV21)+1)/DAY(EOMONTH(EV21,0)),0))))</f>
        <v/>
      </c>
      <c r="FH21" s="461" t="str">
        <f>IF(EV21="","",IF(Main!$C$26="UGC",0,IF(OR(EU21&lt;DATE(2010,4,1),FN21=3,EX21=VLOOKUP(EX21,'IN RPS-2015'!$I$2:$J$5,1)),0,ROUND(IF(FN21=2,IF(EV21&lt;$J$152,Main!$L$9,Main!$CI$3)/2,IF(EV21&lt;$J$152,Main!$L$9,Main!$CI$3))*(DAY(EW21)-DAY(EV21)+1)/DAY(EOMONTH(EV21,0)),0))))</f>
        <v/>
      </c>
      <c r="FI21" s="461"/>
      <c r="FJ21" s="461" t="str">
        <f>IF(EV21="","",IF(Main!$C$26="UGC",0,IF(OR(FN21=3,EX21=VLOOKUP(EX21,'IN RPS-2015'!$I$2:$J$5,1)),0,ROUND(IF(FN21=2,VLOOKUP(EY21,IF(EV21&lt;$J$152,$A$154:$E$159,$F$154:$J$159),IF($B$10=VLOOKUP(EU21,$B$2:$G$4,6,TRUE),2,IF($B$10=VLOOKUP(EU21,$B$2:$G$4,6,TRUE),3,IF($D$10=VLOOKUP(EU21,$B$2:$G$4,6,TRUE),4,5))))/2,VLOOKUP(EY21,IF(EV21&lt;$J$152,$A$154:$E$159,$F$154:$J$159),IF($B$10=VLOOKUP(EU21,$B$2:$G$4,6,TRUE),2,IF($B$10=VLOOKUP(EU21,$B$2:$G$4,6,TRUE),3,IF($D$10=VLOOKUP(EU21,$B$2:$G$4,6,TRUE),4,5)))))*(DAY(EW21)-DAY(EV21)+1)/DAY(EOMONTH(EV21,0)),0))))</f>
        <v/>
      </c>
      <c r="FK21" s="461">
        <f t="shared" si="81"/>
        <v>0</v>
      </c>
      <c r="FL21" s="464" t="str">
        <f>IF(EV21="","",IF(AND(Main!$F$22=Main!$CA$24,EV21&gt;$FL$1),ROUND(SUM(EY21,FA21)*10%,0),""))</f>
        <v/>
      </c>
      <c r="FM21" s="464" t="str">
        <f>IF(EU21="","",IF(EY21=0,0,IF(OR(Main!$H$10=Main!$BH$4,Main!$H$10=Main!$BH$5),0,LOOKUP(FK21*DAY(EOMONTH(EV21,0))/(DAY(EW21)-DAY(EV21)+1),$H$184:$I$189))))</f>
        <v/>
      </c>
      <c r="FN21" s="457">
        <f t="shared" si="64"/>
        <v>1</v>
      </c>
    </row>
    <row r="22" spans="1:170">
      <c r="A22" s="7">
        <v>13271</v>
      </c>
      <c r="B22" s="7">
        <v>350</v>
      </c>
      <c r="C22" s="7">
        <v>220</v>
      </c>
      <c r="D22" s="7">
        <v>130</v>
      </c>
      <c r="E22" s="7">
        <v>0</v>
      </c>
      <c r="F22" s="505" t="s">
        <v>1375</v>
      </c>
      <c r="K22" s="494" t="str">
        <f t="shared" si="65"/>
        <v/>
      </c>
      <c r="L22" s="495" t="str">
        <f t="shared" si="82"/>
        <v/>
      </c>
      <c r="M22" s="484" t="str">
        <f>IF(L22="","",MIN(EOMONTH(L22,0),VLOOKUP(L22,'IN RPS-2015'!$O$164:$P$202,2,TRUE)-1,LOOKUP(L22,$E$47:$F$53)-1,IF(L22&lt;$B$2,$B$2-1,'IN RPS-2015'!$Q$9),IF(L22&lt;$B$3,$B$3-1,'IN RPS-2015'!$Q$9),IF(L22&lt;$B$4,$B$4-1,'IN RPS-2015'!$Q$9),LOOKUP(L22,$H$47:$I$53)))</f>
        <v/>
      </c>
      <c r="N22" s="496" t="str">
        <f>IF(L22="","",VLOOKUP(L22,'Advance Tax'!$A$3:$C$14,3))</f>
        <v/>
      </c>
      <c r="O22" s="509" t="str">
        <f t="shared" si="52"/>
        <v/>
      </c>
      <c r="P22" s="497" t="str">
        <f>IF(L22="","",ROUND(IF(AD22=3,0,IF(AD22=2,IF(N22=VLOOKUP(N22,'IN RPS-2015'!$I$2:$J$5,1),0,Main!$H$9)/2,IF(N22=VLOOKUP(N22,'IN RPS-2015'!$I$2:$J$5,1),0,Main!$H$9)))*(DAY(M22)-DAY(L22)+1)/DAY(EOMONTH(L22,0)),0))</f>
        <v/>
      </c>
      <c r="Q22" s="457" t="str">
        <f>IF(L22="","",IF(N22=VLOOKUP(N22,'IN RPS-2015'!$I$2:$J$5,1),0,ROUND(O22*IF(L22&lt;Main!$C$27,VLOOKUP(L22,$H$9:$J$12,3),VLOOKUP(L22,$H$9:$J$12,2))%,0)))</f>
        <v/>
      </c>
      <c r="R22" s="457" t="str">
        <f>IF(L22="","",IF(OR(AD22=3,N22=VLOOKUP(N22,'IN RPS-2015'!$I$2:$J$5,1)),0,ROUND(MIN(ROUND(N22*VLOOKUP(L22,$B$1:$G$4,2)%,0),VLOOKUP(L22,$B$2:$I$4,IF(L22&lt;$G$7,7,8),TRUE))*(DAY(M22)-DAY(L22)+1)/DAY(EOMONTH(L22,0)),0)))</f>
        <v/>
      </c>
      <c r="S22" s="486" t="str">
        <f>IF(L22="","",IF(Main!$C$26="UGC",0,IF(OR(L22&lt;DATE(2010,4,1),$I$6=VLOOKUP(L22,$B$2:$G$4,5,TRUE),N22=VLOOKUP(N22,'IN RPS-2015'!$I$2:$J$5,1)),0,ROUND(IF(AD22=3,0,IF(AD22=2,MIN(ROUND(N22*$G$13%,0),IF(L22&lt;$J$152,$G$14,$G$15))/2,MIN(ROUND(N22*$G$13%,0),IF(L22&lt;$J$152,$G$14,$G$15))))*(DAY(M22)-DAY(L22)+1)/DAY(EOMONTH(L22,0)),0))))</f>
        <v/>
      </c>
      <c r="T22" s="457" t="str">
        <f>IF(L22="","",IF(Main!$C$26="UGC",0,IF(N22=VLOOKUP(N22,'IN RPS-2015'!$I$2:$J$5,1),0,ROUND(O22*VLOOKUP(L22,$H$205:$I$206,2)%,0))))</f>
        <v/>
      </c>
      <c r="U22" s="457" t="str">
        <f>IF(L22="","",IF(Main!$C$26="UGC",0,IF(L22&lt;DATE(2010,4,1),0,IF(OR(AD22=2,AD22=3,N22=VLOOKUP(N22,'IN RPS-2015'!$I$2:$J$5,1)),0,ROUND(IF(L22&lt;$J$152,VLOOKUP(L22,$B$1:$G$4,4),VLOOKUP(VLOOKUP(L22,$B$1:$G$4,4),Main!$CE$2:$CF$5,2,FALSE))*(DAY(M22)-DAY(L22)+1)/DAY(EOMONTH(L22,0)),0)))))</f>
        <v/>
      </c>
      <c r="V22" s="457" t="str">
        <f>IF(L22="","",IF(OR(AD22=2,AD22=3,$D$31=$D$28,N22=VLOOKUP(N22,'IN RPS-2015'!$I$2:$J$5,1)),0,ROUND(MIN(VLOOKUP(K22,$A$27:$C$29,2,TRUE),ROUND(N22*VLOOKUP(K22,$A$27:$C$29,3,TRUE)%,0))*IF(K22=$A$36,$C$36,IF(K22=$A$37,$C$37,IF(K22=$A$38,$C$38,IF(K22=$A$39,$C$39,IF(K22=$A$40,$C$40,IF(K22=$A$41,$C$41,1))))))*(DAY(M22)-DAY(L22)+1)/DAY(EOMONTH(L22,0)),0)))</f>
        <v/>
      </c>
      <c r="W22" s="457" t="str">
        <f>IF(L22="","",IF(Main!$C$26="UGC",0,IF(OR(AD22=3,N22=VLOOKUP(N22,'IN RPS-2015'!$I$2:$J$5,1)),0,ROUND(IF(AD22=2,VLOOKUP(N22,IF(L22&lt;$G$7,$A$20:$E$23,$F$144:$J$147),IF($B$19=VLOOKUP(L22,$B$2:$G$4,3,TRUE),2,IF($C$19=VLOOKUP(L22,$B$2:$G$4,3,TRUE),3,IF($D$19=VLOOKUP(L22,$B$2:$G$4,3,TRUE),4,5))),TRUE),VLOOKUP(N22,IF(L22&lt;$G$7,$A$20:$E$23,$F$144:$J$147),IF($B$19=VLOOKUP(L22,$B$2:$G$4,3,TRUE),2,IF($C$19=VLOOKUP(L22,$B$2:$G$4,3,TRUE),3,IF($D$19=VLOOKUP(L22,$B$2:$G$4,3,TRUE),4,5))),TRUE))*(DAY(M22)-DAY(L22)+1)/DAY(EOMONTH(L22,0)),0))))</f>
        <v/>
      </c>
      <c r="X22" s="457" t="str">
        <f>IF(L22="","",IF(Main!$C$26="UGC",0,IF(OR(K22&lt;DATE(2010,4,1),AD22=3,N22=VLOOKUP(N22,'IN RPS-2015'!$I$2:$J$5,1)),0,ROUND(IF(AD22=2,IF(L22&lt;$J$152,Main!$L$9,Main!$CI$3)/2,IF(L22&lt;$J$152,Main!$L$9,Main!$CI$3))*(DAY(M22)-DAY(L22)+1)/DAY(EOMONTH(L22,0)),0))))</f>
        <v/>
      </c>
      <c r="Y22" s="497"/>
      <c r="Z22" s="457" t="str">
        <f>IF(L22="","",IF(Main!$C$26="UGC",0,IF(OR(AD22=3,N22=VLOOKUP(N22,'IN RPS-2015'!$I$2:$J$5,1)),0,ROUND(IF(AD22=2,VLOOKUP(O22,IF(L22&lt;$J$152,$A$154:$E$159,$F$154:$J$159),IF($B$10=VLOOKUP(K22,$B$2:$G$4,6,TRUE),2,IF($B$10=VLOOKUP(K22,$B$2:$G$4,6,TRUE),3,IF($D$10=VLOOKUP(K22,$B$2:$G$4,6,TRUE),4,5))))/2,VLOOKUP(O22,IF(L22&lt;$J$152,$A$154:$E$159,$F$154:$J$159),IF($B$10=VLOOKUP(K22,$B$2:$G$4,6,TRUE),2,IF($B$10=VLOOKUP(K22,$B$2:$G$4,6,TRUE),3,IF($D$10=VLOOKUP(K22,$B$2:$G$4,6,TRUE),4,5)))))*(DAY(M22)-DAY(L22)+1)/DAY(EOMONTH(L22,0)),0))))</f>
        <v/>
      </c>
      <c r="AA22" s="497">
        <f t="shared" si="83"/>
        <v>0</v>
      </c>
      <c r="AB22" s="497"/>
      <c r="AC22" s="497"/>
      <c r="AD22" s="497">
        <f t="shared" si="53"/>
        <v>1</v>
      </c>
      <c r="AE22" s="497"/>
      <c r="AF22" s="497"/>
      <c r="AH22" s="461"/>
      <c r="AI22" s="499" t="str">
        <f t="shared" si="54"/>
        <v/>
      </c>
      <c r="AJ22" s="500" t="str">
        <f t="shared" si="84"/>
        <v/>
      </c>
      <c r="AK22" s="484" t="str">
        <f>IF(AJ22="","",MIN(EOMONTH(AJ22,0),VLOOKUP(AJ22,'IN RPS-2015'!$O$164:$P$202,2,TRUE)-1,LOOKUP(AJ22,$E$47:$F$53)-1,IF(AJ22&lt;$B$2,$B$2-1,'IN RPS-2015'!$Q$9),IF(AJ22&lt;$B$3,$B$3-1,'IN RPS-2015'!$Q$9),IF(AJ22&lt;$B$4,$B$4-1,'IN RPS-2015'!$Q$9),LOOKUP(AJ22,$H$47:$I$53)))</f>
        <v/>
      </c>
      <c r="AL22" s="490" t="str">
        <f>IF(AJ22="","",VLOOKUP(AJ22,'IN RPS-2015'!$P$164:$AA$202,9))</f>
        <v/>
      </c>
      <c r="AM22" s="461" t="str">
        <f t="shared" si="66"/>
        <v/>
      </c>
      <c r="AN22" s="461" t="str">
        <f>IF(AJ22="","",IF(AND($AG$3=$AG$1,AJ22&lt;=$AZ$1),0,ROUND(IF(BB22=3,0,IF(BB22=2,IF(AL22=VLOOKUP(AL22,'IN RPS-2015'!$I$2:$J$5,1),0,Main!$H$9)/2,IF(AL22=VLOOKUP(AL22,'IN RPS-2015'!$I$2:$J$5,1),0,Main!$H$9)))*(DAY(AK22)-DAY(AJ22)+1)/DAY(EOMONTH(AJ22,0)),0)))</f>
        <v/>
      </c>
      <c r="AO22" s="461" t="str">
        <f>IF(AJ22="","",IF(AND($AG$3=$AG$1,AJ22&lt;=$AZ$1),0,IF(AL22=VLOOKUP(AL22,'IN RPS-2015'!$I$2:$J$5,1),0,ROUND(AM22*VLOOKUP(AJ22,$AF$4:$AG$7,2)%,0))))</f>
        <v/>
      </c>
      <c r="AP22" s="461" t="str">
        <f>IF(AJ22="","",IF(AND($AG$3=$AG$1,AJ22&lt;=$AZ$1),0,IF(OR(BB22=3,AL22=VLOOKUP(AL22,'IN RPS-2015'!$I$2:$J$5,1)),0,ROUND(MIN(ROUND(AL22*VLOOKUP(AJ22,$B$1:$G$4,2)%,0),VLOOKUP(AJ22,$B$2:$I$4,IF($AG$3=$I$29,7,8),TRUE))*(DAY(AK22)-DAY(AJ22)+1)/DAY(EOMONTH(AJ22,0)),0))))</f>
        <v/>
      </c>
      <c r="AQ22" s="491" t="str">
        <f>IF(AJ22="","",IF(AND($AG$3=$AG$1,AJ22&lt;=$AZ$1),0,IF(Main!$C$26="UGC",0,IF(OR(AJ22&lt;DATE(2010,4,1),$I$6=VLOOKUP(AJ22,$B$2:$G$4,5,TRUE),AL22=VLOOKUP(AL22,'IN RPS-2015'!$I$2:$J$5,1)),0,ROUND(IF(BB22=3,0,IF(BB22=2,MIN(ROUND(AL22*$G$13%,0),IF(AJ22&lt;$J$152,$G$14,$G$15))/2,MIN(ROUND(AL22*$G$13%,0),IF(AJ22&lt;$J$152,$G$14,$G$15))))*(DAY(AK22)-DAY(AJ22)+1)/DAY(EOMONTH(AJ22,0)),0)))))</f>
        <v/>
      </c>
      <c r="AR22" s="461" t="str">
        <f>IF(AJ22="","",IF(AND($AG$3=$AG$1,AJ22&lt;=$AZ$1),0,IF(Main!$C$26="UGC",0,IF(AL22=VLOOKUP(AL22,'IN RPS-2015'!$I$2:$J$5,1),0,ROUND(AM22*VLOOKUP(AJ22,$AF$11:$AG$12,2)%,0)))))</f>
        <v/>
      </c>
      <c r="AS22" s="461" t="str">
        <f>IF(AJ22="","",IF(AND($AG$3=$AG$1,AJ22&lt;=$AZ$1),0,IF(Main!$C$26="UGC",0,IF(AJ22&lt;DATE(2010,4,1),0,IF(OR(BB22=2,BB22=3,AL22=VLOOKUP(AL22,'IN RPS-2015'!$I$2:$J$5,1)),0,ROUND(IF(AJ22&lt;$J$152,VLOOKUP(AJ22,$B$1:$G$4,4),VLOOKUP(VLOOKUP(AJ22,$B$1:$G$4,4),Main!$CE$2:$CF$5,2,FALSE))*(DAY(AK22)-DAY(AJ22)+1)/DAY(EOMONTH(AJ22,0)),0))))))</f>
        <v/>
      </c>
      <c r="AT22" s="461" t="str">
        <f>IF(AJ22="","",IF(AND($AG$3=$AG$1,AJ22&lt;=$AZ$1),0,IF(OR(BB22=2,BB22=3,$D$31=$D$28,AL22=VLOOKUP(AL22,'IN RPS-2015'!$I$2:$J$5,1)),0,ROUND(MIN(VLOOKUP(AI22,$A$27:$C$29,2,TRUE),ROUND(AL22*VLOOKUP(AI22,$A$27:$C$29,3,TRUE)%,0))*IF(AI22=$A$36,$C$36,IF(AI22=$A$37,$C$37,IF(AI22=$A$38,$C$38,IF(AI22=$A$39,$C$39,IF(AI22=$A$40,$C$40,IF(AI22=$A$41,$C$41,1))))))*(DAY(AK22)-DAY(AJ22)+1)/DAY(EOMONTH(AJ22,0)),0))))</f>
        <v/>
      </c>
      <c r="AU22" s="461" t="str">
        <f>IF(AJ22="","",IF(AND($AG$3=$AG$1,AJ22&lt;=$AZ$1),0,IF(Main!$C$26="UGC",0,IF(OR(BB22=3,AL22=VLOOKUP(AL22,'IN RPS-2015'!$I$2:$J$5,1)),0,ROUND(IF(BB22=2,VLOOKUP(AL22,IF($AG$3=$I$29,$A$20:$E$23,$F$144:$J$147),IF($B$19=VLOOKUP(AJ22,$B$2:$G$4,3,TRUE),2,IF($C$19=VLOOKUP(AJ22,$B$2:$G$4,3,TRUE),3,IF($D$19=VLOOKUP(AJ22,$B$2:$G$4,3,TRUE),4,5))),TRUE),VLOOKUP(AL22,IF($AG$3=$I$29,$A$20:$E$23,$F$144:$J$147),IF($B$19=VLOOKUP(AJ22,$B$2:$G$4,3,TRUE),2,IF($C$19=VLOOKUP(AJ22,$B$2:$G$4,3,TRUE),3,IF($D$19=VLOOKUP(AJ22,$B$2:$G$4,3,TRUE),4,5))),TRUE))*(DAY(AK22)-DAY(AJ22)+1)/DAY(EOMONTH(AJ22,0)),0)))))</f>
        <v/>
      </c>
      <c r="AV22" s="461" t="str">
        <f>IF(AJ22="","",IF(AND($AG$3=$AG$1,AJ22&lt;=$AZ$1),0,IF(Main!$C$26="UGC",0,IF(OR(AI22&lt;DATE(2010,4,1),BB22=3,AL22=VLOOKUP(AL22,'IN RPS-2015'!$I$2:$J$5,1)),0,ROUND(IF(BB22=2,IF(AJ22&lt;$J$152,Main!$L$9,Main!$CI$3)/2,IF(AJ22&lt;$J$152,Main!$L$9,Main!$CI$3))*(DAY(AK22)-DAY(AJ22)+1)/DAY(EOMONTH(AJ22,0)),0)))))</f>
        <v/>
      </c>
      <c r="AW22" s="461"/>
      <c r="AX22" s="461" t="str">
        <f>IF(AJ22="","",IF(AND($AG$3=$AG$1,AJ22&lt;=$AZ$1),0,IF(Main!$C$26="UGC",0,IF(OR(BB22=3,AL22=VLOOKUP(AL22,'IN RPS-2015'!$I$2:$J$5,1)),0,ROUND(IF(BB22=2,VLOOKUP(AM22,IF(AJ22&lt;$J$152,$A$154:$E$159,$F$154:$J$159),IF($B$10=VLOOKUP(AI22,$B$2:$G$4,6,TRUE),2,IF($B$10=VLOOKUP(AI22,$B$2:$G$4,6,TRUE),3,IF($D$10=VLOOKUP(AI22,$B$2:$G$4,6,TRUE),4,5))))/2,VLOOKUP(AM22,IF(AJ22&lt;$J$152,$A$154:$E$159,$F$154:$J$159),IF($B$10=VLOOKUP(AI22,$B$2:$G$4,6,TRUE),2,IF($B$10=VLOOKUP(AI22,$B$2:$G$4,6,TRUE),3,IF($D$10=VLOOKUP(AI22,$B$2:$G$4,6,TRUE),4,5)))))*(DAY(AK22)-DAY(AJ22)+1)/DAY(EOMONTH(AJ22,0)),0)))))</f>
        <v/>
      </c>
      <c r="AY22" s="461">
        <f t="shared" si="67"/>
        <v>0</v>
      </c>
      <c r="AZ22" s="464" t="str">
        <f>IF(AJ22="","",IF(AND($AG$3=$AG$1,AJ22&lt;=$AZ$1),0,IF(AND(Main!$F$22=Main!$CA$24,AJ22&gt;$AZ$1),ROUND(SUM(AM22,AO22)*10%,0),"")))</f>
        <v/>
      </c>
      <c r="BA22" s="464" t="str">
        <f>IF(AI22="","",IF(AND($AG$3=$AG$1,AJ22&lt;=$AZ$1),0,IF(OR(Main!$H$10=Main!$BH$4,Main!$H$10=Main!$BH$5),0,LOOKUP(AY22*DAY(EOMONTH(AJ22,0))/(DAY(AK22)-DAY(AJ22)+1),$H$184:$I$189))))</f>
        <v/>
      </c>
      <c r="BB22" s="497">
        <f t="shared" si="55"/>
        <v>1</v>
      </c>
      <c r="BC22" s="464"/>
      <c r="BD22" s="501" t="str">
        <f t="shared" si="56"/>
        <v/>
      </c>
      <c r="BE22" s="502" t="str">
        <f t="shared" si="85"/>
        <v/>
      </c>
      <c r="BF22" s="484" t="str">
        <f>IF(BE22="","",MIN(EOMONTH(BE22,0),VLOOKUP(BE22,'IN RPS-2015'!$O$164:$P$202,2,TRUE)-1,LOOKUP(BE22,$E$47:$F$53)-1,IF(BE22&lt;$B$2,$B$2-1,'IN RPS-2015'!$Q$9),IF(BE22&lt;$B$3,$B$3-1,'IN RPS-2015'!$Q$9),IF(BE22&lt;$B$4,$B$4-1,'IN RPS-2015'!$Q$9),LOOKUP(BE22,$H$47:$I$53)))</f>
        <v/>
      </c>
      <c r="BG22" s="493" t="str">
        <f>IF(BE22="","",VLOOKUP(BE22,'IN RPS-2015'!$P$164:$AA$202,10))</f>
        <v/>
      </c>
      <c r="BH22" s="461" t="str">
        <f t="shared" si="68"/>
        <v/>
      </c>
      <c r="BI22" s="461" t="str">
        <f>IF(BE22="","",IF(AND($AG$3=$AG$1,BE22&lt;=$AZ$1),0,ROUND(IF(BW22=3,0,IF(BW22=2,IF(BG22=VLOOKUP(BG22,'IN RPS-2015'!$I$2:$J$5,1),0,Main!$H$9)/2,IF(BG22=VLOOKUP(BG22,'IN RPS-2015'!$I$2:$J$5,1),0,Main!$H$9)))*(DAY(BF22)-DAY(BE22)+1)/DAY(EOMONTH(BE22,0)),0)))</f>
        <v/>
      </c>
      <c r="BJ22" s="461" t="str">
        <f>IF(BE22="","",IF(AND($AG$3=$AG$1,BE22&lt;=$AZ$1),0,IF(BG22=VLOOKUP(BG22,'IN RPS-2015'!$I$2:$J$5,1),0,ROUND(BH22*VLOOKUP(BE22,$AF$4:$AG$7,2)%,0))))</f>
        <v/>
      </c>
      <c r="BK22" s="461" t="str">
        <f>IF(BE22="","",IF(AND($AG$3=$AG$1,BE22&lt;=$AZ$1),0,IF(OR(BW22=3,BG22=VLOOKUP(BG22,'IN RPS-2015'!$I$2:$J$5,1)),0,ROUND(MIN(ROUND(BG22*VLOOKUP(BE22,$B$1:$G$4,2)%,0),VLOOKUP(BE22,$B$2:$I$4,IF($AG$3=$I$29,7,8),TRUE))*(DAY(BF22)-DAY(BE22)+1)/DAY(EOMONTH(BE22,0)),0))))</f>
        <v/>
      </c>
      <c r="BL22" s="491" t="str">
        <f>IF(BE22="","",IF(AND($AG$3=$AG$1,BE22&lt;=$AZ$1),0,IF(Main!$C$26="UGC",0,IF(OR(BE22&lt;DATE(2010,4,1),$I$6=VLOOKUP(BE22,$B$2:$G$4,5,TRUE),BG22=VLOOKUP(BG22,'IN RPS-2015'!$I$2:$J$5,1)),0,ROUND(IF(BW22=3,0,IF(BW22=2,MIN(ROUND(BG22*$G$13%,0),IF(BE22&lt;$J$152,$G$14,$G$15))/2,MIN(ROUND(BG22*$G$13%,0),IF(BE22&lt;$J$152,$G$14,$G$15))))*(DAY(BF22)-DAY(BE22)+1)/DAY(EOMONTH(BE22,0)),0)))))</f>
        <v/>
      </c>
      <c r="BM22" s="461" t="str">
        <f>IF(BE22="","",IF(AND($AG$3=$AG$1,BE22&lt;=$AZ$1),0,IF(Main!$C$26="UGC",0,IF(BG22=VLOOKUP(BG22,'IN RPS-2015'!$I$2:$J$5,1),0,ROUND(BH22*VLOOKUP(BE22,$AF$11:$AG$12,2)%,0)))))</f>
        <v/>
      </c>
      <c r="BN22" s="461" t="str">
        <f>IF(BE22="","",IF(AND($AG$3=$AG$1,BE22&lt;=$AZ$1),0,IF(Main!$C$26="UGC",0,IF(BE22&lt;DATE(2010,4,1),0,IF(OR(BW22=2,BW22=3,BG22=VLOOKUP(BG22,'IN RPS-2015'!$I$2:$J$5,1)),0,ROUND(IF(BE22&lt;$J$152,VLOOKUP(BE22,$B$1:$G$4,4),VLOOKUP(VLOOKUP(BE22,$B$1:$G$4,4),Main!$CE$2:$CF$5,2,FALSE))*(DAY(BF22)-DAY(BE22)+1)/DAY(EOMONTH(BE22,0)),0))))))</f>
        <v/>
      </c>
      <c r="BO22" s="461" t="str">
        <f>IF(BE22="","",IF(AND($AG$3=$AG$1,BE22&lt;=$AZ$1),0,IF(OR(BW22=2,BW22=3,$D$31=$D$28,BG22=VLOOKUP(BG22,'IN RPS-2015'!$I$2:$J$5,1)),0,ROUND(MIN(VLOOKUP(BD22,$A$27:$C$29,2,TRUE),ROUND(BG22*VLOOKUP(BD22,$A$27:$C$29,3,TRUE)%,0))*IF(BD22=$A$36,$C$36,IF(BD22=$A$37,$C$37,IF(BD22=$A$38,$C$38,IF(BD22=$A$39,$C$39,IF(BD22=$A$40,$C$40,IF(BD22=$A$41,$C$41,1))))))*(DAY(BF22)-DAY(BE22)+1)/DAY(EOMONTH(BE22,0)),0))))</f>
        <v/>
      </c>
      <c r="BP22" s="461" t="str">
        <f>IF(BE22="","",IF(AND($AG$3=$AG$1,BE22&lt;=$AZ$1),0,IF(Main!$C$26="UGC",0,IF(OR(BW22=3,BG22=VLOOKUP(BG22,'IN RPS-2015'!$I$2:$J$5,1)),0,ROUND(IF(BW22=2,VLOOKUP(BG22,IF($AG$3=$I$29,$A$20:$E$23,$F$144:$J$147),IF($B$19=VLOOKUP(BE22,$B$2:$G$4,3,TRUE),2,IF($C$19=VLOOKUP(BE22,$B$2:$G$4,3,TRUE),3,IF($D$19=VLOOKUP(BE22,$B$2:$G$4,3,TRUE),4,5))),TRUE),VLOOKUP(BG22,IF($AG$3=$I$29,$A$20:$E$23,$F$144:$J$147),IF($B$19=VLOOKUP(BE22,$B$2:$G$4,3,TRUE),2,IF($C$19=VLOOKUP(BE22,$B$2:$G$4,3,TRUE),3,IF($D$19=VLOOKUP(BE22,$B$2:$G$4,3,TRUE),4,5))),TRUE))*(DAY(BF22)-DAY(BE22)+1)/DAY(EOMONTH(BE22,0)),0)))))</f>
        <v/>
      </c>
      <c r="BQ22" s="461" t="str">
        <f>IF(BE22="","",IF(AND($AG$3=$AG$1,BE22&lt;=$AZ$1),0,IF(Main!$C$26="UGC",0,IF(OR(BD22&lt;DATE(2010,4,1),BW22=3,BG22=VLOOKUP(BG22,'IN RPS-2015'!$I$2:$J$5,1)),0,ROUND(IF(BW22=2,IF(BE22&lt;$J$152,Main!$L$9,Main!$CI$3)/2,IF(BE22&lt;$J$152,Main!$L$9,Main!$CI$3))*(DAY(BF22)-DAY(BE22)+1)/DAY(EOMONTH(BE22,0)),0)))))</f>
        <v/>
      </c>
      <c r="BR22" s="461"/>
      <c r="BS22" s="461" t="str">
        <f>IF(BE22="","",IF(AND($AG$3=$AG$1,BE22&lt;=$AZ$1),0,IF(Main!$C$26="UGC",0,IF(OR(BW22=3,BG22=VLOOKUP(BG22,'IN RPS-2015'!$I$2:$J$5,1)),0,ROUND(IF(BW22=2,VLOOKUP(BH22,IF(BE22&lt;$J$152,$A$154:$E$159,$F$154:$J$159),IF($B$10=VLOOKUP(BD22,$B$2:$G$4,6,TRUE),2,IF($B$10=VLOOKUP(BD22,$B$2:$G$4,6,TRUE),3,IF($D$10=VLOOKUP(BD22,$B$2:$G$4,6,TRUE),4,5))))/2,VLOOKUP(BH22,IF(BE22&lt;$J$152,$A$154:$E$159,$F$154:$J$159),IF($B$10=VLOOKUP(BD22,$B$2:$G$4,6,TRUE),2,IF($B$10=VLOOKUP(BD22,$B$2:$G$4,6,TRUE),3,IF($D$10=VLOOKUP(BD22,$B$2:$G$4,6,TRUE),4,5)))))*(DAY(BF22)-DAY(BE22)+1)/DAY(EOMONTH(BE22,0)),0)))))</f>
        <v/>
      </c>
      <c r="BT22" s="461">
        <f t="shared" si="69"/>
        <v>0</v>
      </c>
      <c r="BU22" s="464" t="str">
        <f>IF(BE22="","",IF(AND($AG$3=$AG$1,BE22&lt;=$AZ$1),0,IF(AND(Main!$F$22=Main!$CA$24,BE22&gt;$AZ$1),ROUND(SUM(BH22,BJ22)*10%,0),"")))</f>
        <v/>
      </c>
      <c r="BV22" s="464" t="str">
        <f>IF(BD22="","",IF(AND($AG$3=$AG$1,BE22&lt;=$AZ$1),0,IF(OR(Main!$H$10=Main!$BH$4,Main!$H$10=Main!$BH$5),0,LOOKUP(BT22*DAY(EOMONTH(BE22,0))/(DAY(BF22)-DAY(BE22)+1),$H$184:$I$189))))</f>
        <v/>
      </c>
      <c r="BW22" s="503">
        <f t="shared" si="70"/>
        <v>1</v>
      </c>
      <c r="BX22" s="457">
        <f t="shared" si="71"/>
        <v>0</v>
      </c>
      <c r="BY22" s="497"/>
      <c r="BZ22" s="497"/>
      <c r="CA22" s="457"/>
      <c r="CB22" s="461"/>
      <c r="CC22" s="499" t="str">
        <f t="shared" si="57"/>
        <v/>
      </c>
      <c r="CD22" s="500" t="str">
        <f t="shared" si="86"/>
        <v/>
      </c>
      <c r="CE22" s="484" t="str">
        <f>IF(CD22="","",MIN(EOMONTH(CD22,0),VLOOKUP(CD22,'IN RPS-2015'!$O$164:$P$202,2,TRUE)-1,LOOKUP(CD22,$E$47:$F$53)-1,IF(CD22&lt;$B$2,$B$2-1,'IN RPS-2015'!$Q$9),IF(CD22&lt;$B$3,$B$3-1,'IN RPS-2015'!$Q$9),IF(CD22&lt;$B$4,$B$4-1,'IN RPS-2015'!$Q$9),LOOKUP(CD22,$H$47:$I$53)))</f>
        <v/>
      </c>
      <c r="CF22" s="490" t="str">
        <f>IF(CD22="","",VLOOKUP(CD22,'IN RPS-2015'!$T$207:$Y$222,5))</f>
        <v/>
      </c>
      <c r="CG22" s="461" t="str">
        <f t="shared" si="72"/>
        <v/>
      </c>
      <c r="CH22" s="461" t="str">
        <f>IF(CD22="","",IF(AND($CA$3=$CA$1,CD22&lt;=$CT$1),0,ROUND(IF(CV22=3,0,IF(CV22=2,IF(CF22=VLOOKUP(CF22,'IN RPS-2015'!$I$2:$J$5,1),0,Main!$H$9)/2,IF(CF22=VLOOKUP(CF22,'IN RPS-2015'!$I$2:$J$5,1),0,Main!$H$9)))*(DAY(CE22)-DAY(CD22)+1)/DAY(EOMONTH(CD22,0)),0)))</f>
        <v/>
      </c>
      <c r="CI22" s="461" t="str">
        <f>IF(CD22="","",IF(AND($CA$3=$CA$1,CD22&lt;=$CT$1),0,IF(CF22=VLOOKUP(CF22,'IN RPS-2015'!$I$2:$J$5,1),0,ROUND(CG22*VLOOKUP(CD22,$BZ$4:$CA$7,2)%,0))))</f>
        <v/>
      </c>
      <c r="CJ22" s="461" t="str">
        <f>IF(CD22="","",IF(AND($CA$3=$CA$1,CD22&lt;=$CT$1),0,IF(OR(CV22=3,CF22=VLOOKUP(CF22,'IN RPS-2015'!$I$2:$J$5,1)),0,ROUND(MIN(ROUND(CF22*VLOOKUP(CD22,$B$1:$G$4,2)%,0),VLOOKUP(CD22,$B$2:$I$4,IF($CA$3=$I$29,7,8),TRUE))*(DAY(CE22)-DAY(CD22)+1)/DAY(EOMONTH(CD22,0)),0))))</f>
        <v/>
      </c>
      <c r="CK22" s="491" t="str">
        <f>IF(CD22="","",IF(AND($CA$3=$CA$1,CD22&lt;=$CT$1),0,IF(Main!$C$26="UGC",0,IF(OR(CD22&lt;DATE(2010,4,1),$I$6=VLOOKUP(CD22,$B$2:$G$4,5,TRUE),CF22=VLOOKUP(CF22,'IN RPS-2015'!$I$2:$J$5,1)),0,ROUND(IF(CV22=3,0,IF(CV22=2,MIN(ROUND(CF22*$G$13%,0),IF(CD22&lt;$J$152,$G$14,$G$15))/2,MIN(ROUND(CF22*$G$13%,0),IF(CD22&lt;$J$152,$G$14,$G$15))))*(DAY(CE22)-DAY(CD22)+1)/DAY(EOMONTH(CD22,0)),0)))))</f>
        <v/>
      </c>
      <c r="CL22" s="461" t="str">
        <f>IF(CD22="","",IF(AND($CA$3=$CA$1,CD22&lt;=$CT$1),0,IF(Main!$C$26="UGC",0,IF(CF22=VLOOKUP(CF22,'IN RPS-2015'!$I$2:$J$5,1),0,ROUND(CG22*VLOOKUP(CD22,$BZ$11:$CA$12,2)%,0)))))</f>
        <v/>
      </c>
      <c r="CM22" s="461" t="str">
        <f>IF(CD22="","",IF(AND($CA$3=$CA$1,CD22&lt;=$CT$1),0,IF(Main!$C$26="UGC",0,IF(CD22&lt;DATE(2010,4,1),0,IF(OR(CV22=2,CV22=3,CF22=VLOOKUP(CF22,'IN RPS-2015'!$I$2:$J$5,1)),0,ROUND(IF(CD22&lt;$J$152,VLOOKUP(CD22,$B$1:$G$4,4),VLOOKUP(VLOOKUP(CD22,$B$1:$G$4,4),Main!$CE$2:$CF$5,2,FALSE))*(DAY(CE22)-DAY(CD22)+1)/DAY(EOMONTH(CD22,0)),0))))))</f>
        <v/>
      </c>
      <c r="CN22" s="461" t="str">
        <f>IF(CD22="","",IF(AND($CA$3=$CA$1,CD22&lt;=$CT$1),0,IF(OR(CV22=2,CV22=3,$D$31=$D$28,CF22=VLOOKUP(CF22,'IN RPS-2015'!$I$2:$J$5,1)),0,ROUND(MIN(VLOOKUP(CC22,$A$27:$C$29,2,TRUE),ROUND(CF22*VLOOKUP(CC22,$A$27:$C$29,3,TRUE)%,0))*IF(CC22=$A$36,$C$36,IF(CC22=$A$37,$C$37,IF(CC22=$A$38,$C$38,IF(CC22=$A$39,$C$39,IF(CC22=$A$40,$C$40,IF(CC22=$A$41,$C$41,1))))))*(DAY(CE22)-DAY(CD22)+1)/DAY(EOMONTH(CD22,0)),0))))</f>
        <v/>
      </c>
      <c r="CO22" s="461" t="str">
        <f>IF(CD22="","",IF(AND($CA$3=$CA$1,CD22&lt;=$CT$1),0,IF(Main!$C$26="UGC",0,IF(OR(CV22=3,CF22=VLOOKUP(CF22,'IN RPS-2015'!$I$2:$J$5,1)),0,ROUND(IF(CV22=2,VLOOKUP(CF22,IF($CA$3=$I$29,$A$20:$E$23,$F$144:$J$147),IF($B$19=VLOOKUP(CD22,$B$2:$G$4,3,TRUE),2,IF($C$19=VLOOKUP(CD22,$B$2:$G$4,3,TRUE),3,IF($D$19=VLOOKUP(CD22,$B$2:$G$4,3,TRUE),4,5))),TRUE),VLOOKUP(CF22,IF($CA$3=$I$29,$A$20:$E$23,$F$144:$J$147),IF($B$19=VLOOKUP(CD22,$B$2:$G$4,3,TRUE),2,IF($C$19=VLOOKUP(CD22,$B$2:$G$4,3,TRUE),3,IF($D$19=VLOOKUP(CD22,$B$2:$G$4,3,TRUE),4,5))),TRUE))*(DAY(CE22)-DAY(CD22)+1)/DAY(EOMONTH(CD22,0)),0)))))</f>
        <v/>
      </c>
      <c r="CP22" s="461" t="str">
        <f>IF(CD22="","",IF(AND($CA$3=$CA$1,CD22&lt;=$CT$1),0,IF(Main!$C$26="UGC",0,IF(OR(CC22&lt;DATE(2010,4,1),CV22=3,CF22=VLOOKUP(CF22,'IN RPS-2015'!$I$2:$J$5,1)),0,ROUND(IF(CV22=2,IF(CD22&lt;$J$152,Main!$L$9,Main!$CI$3)/2,IF(CD22&lt;$J$152,Main!$L$9,Main!$CI$3))*(DAY(CE22)-DAY(CD22)+1)/DAY(EOMONTH(CD22,0)),0)))))</f>
        <v/>
      </c>
      <c r="CQ22" s="461"/>
      <c r="CR22" s="461" t="str">
        <f>IF(CD22="","",IF(AND($CA$3=$CA$1,CD22&lt;=$CT$1),0,IF(Main!$C$26="UGC",0,IF(OR(CV22=3,CF22=VLOOKUP(CF22,'IN RPS-2015'!$I$2:$J$5,1)),0,ROUND(IF(CV22=2,VLOOKUP(CG22,IF(CD22&lt;$J$152,$A$154:$E$159,$F$154:$J$159),IF($B$10=VLOOKUP(CC22,$B$2:$G$4,6,TRUE),2,IF($B$10=VLOOKUP(CC22,$B$2:$G$4,6,TRUE),3,IF($D$10=VLOOKUP(CC22,$B$2:$G$4,6,TRUE),4,5))))/2,VLOOKUP(CG22,IF(CD22&lt;$J$152,$A$154:$E$159,$F$154:$J$159),IF($B$10=VLOOKUP(CC22,$B$2:$G$4,6,TRUE),2,IF($B$10=VLOOKUP(CC22,$B$2:$G$4,6,TRUE),3,IF($D$10=VLOOKUP(CC22,$B$2:$G$4,6,TRUE),4,5)))))*(DAY(CE22)-DAY(CD22)+1)/DAY(EOMONTH(CD22,0)),0)))))</f>
        <v/>
      </c>
      <c r="CS22" s="461">
        <f t="shared" si="73"/>
        <v>0</v>
      </c>
      <c r="CT22" s="464" t="str">
        <f>IF(CD22="","",IF(AND($CA$3=$CA$1,CD22&lt;=$CT$1),0,IF(AND(Main!$F$22=Main!$CA$24,CD22&gt;$CT$1),ROUND(SUM(CG22,CI22)*10%,0),"")))</f>
        <v/>
      </c>
      <c r="CU22" s="464" t="str">
        <f>IF(CC22="","",IF(CG22=0,0,IF(OR(Main!$H$10=Main!$BH$4,Main!$H$10=Main!$BH$5),0,LOOKUP(CS22*DAY(EOMONTH(CD22,0))/(DAY(CE22)-DAY(CD22)+1),$H$184:$I$189))))</f>
        <v/>
      </c>
      <c r="CV22" s="457">
        <f t="shared" si="74"/>
        <v>1</v>
      </c>
      <c r="CW22" s="464"/>
      <c r="CX22" s="501" t="str">
        <f t="shared" si="59"/>
        <v/>
      </c>
      <c r="CY22" s="502" t="str">
        <f t="shared" si="87"/>
        <v/>
      </c>
      <c r="CZ22" s="484" t="str">
        <f>IF(CY22="","",MIN(EOMONTH(CY22,0),VLOOKUP(CY22,'IN RPS-2015'!$O$164:$P$202,2,TRUE)-1,LOOKUP(CY22,$E$47:$F$53)-1,IF(CY22&lt;$B$2,$B$2-1,'IN RPS-2015'!$Q$9),IF(CY22&lt;$B$3,$B$3-1,'IN RPS-2015'!$Q$9),IF(CY22&lt;$B$4,$B$4-1,'IN RPS-2015'!$Q$9),LOOKUP(CY22,$H$47:$I$53)))</f>
        <v/>
      </c>
      <c r="DA22" s="493" t="str">
        <f>IF(CY22="","",VLOOKUP(CY22,'IN RPS-2015'!$T$207:$Y$222,6))</f>
        <v/>
      </c>
      <c r="DB22" s="461" t="str">
        <f t="shared" si="75"/>
        <v/>
      </c>
      <c r="DC22" s="461" t="str">
        <f>IF(CY22="","",IF(AND($CA$3=$CA$1,CY22&lt;=$CT$1),0,ROUND(IF(DQ22=3,0,IF(DQ22=2,IF(DA22=VLOOKUP(DA22,'IN RPS-2015'!$I$2:$J$5,1),0,Main!$H$9)/2,IF(DA22=VLOOKUP(DA22,'IN RPS-2015'!$I$2:$J$5,1),0,Main!$H$9)))*(DAY(CZ22)-DAY(CY22)+1)/DAY(EOMONTH(CY22,0)),0)))</f>
        <v/>
      </c>
      <c r="DD22" s="461" t="str">
        <f>IF(CY22="","",IF(AND($CA$3=$CA$1,CY22&lt;=$CT$1),0,IF(DA22=VLOOKUP(DA22,'IN RPS-2015'!$I$2:$J$5,1),0,ROUND(DB22*VLOOKUP(CY22,$BZ$4:$CA$7,2)%,0))))</f>
        <v/>
      </c>
      <c r="DE22" s="461" t="str">
        <f>IF(CY22="","",IF(AND($CA$3=$CA$1,CY22&lt;=$CT$1),0,IF(OR(DQ22=3,DA22=VLOOKUP(DA22,'IN RPS-2015'!$I$2:$J$5,1)),0,ROUND(MIN(ROUND(DA22*VLOOKUP(CY22,$B$1:$G$4,2)%,0),VLOOKUP(CY22,$B$2:$I$4,IF($CA$3=$I$29,7,8),TRUE))*(DAY(CZ22)-DAY(CY22)+1)/DAY(EOMONTH(CY22,0)),0))))</f>
        <v/>
      </c>
      <c r="DF22" s="491" t="str">
        <f>IF(CY22="","",IF(AND($CA$3=$CA$1,CY22&lt;=$CT$1),0,IF(Main!$C$26="UGC",0,IF(OR(CY22&lt;DATE(2010,4,1),$I$6=VLOOKUP(CY22,$B$2:$G$4,5,TRUE),DA22=VLOOKUP(DA22,'IN RPS-2015'!$I$2:$J$5,1)),0,ROUND(IF(DQ22=3,0,IF(DQ22=2,MIN(ROUND(DA22*$G$13%,0),IF(CY22&lt;$J$152,$G$14,$G$15))/2,MIN(ROUND(DA22*$G$13%,0),IF(CY22&lt;$J$152,$G$14,$G$15))))*(DAY(CZ22)-DAY(CY22)+1)/DAY(EOMONTH(CY22,0)),0)))))</f>
        <v/>
      </c>
      <c r="DG22" s="461" t="str">
        <f>IF(CY22="","",IF(AND($CA$3=$CA$1,CY22&lt;=$CT$1),0,IF(Main!$C$26="UGC",0,IF(DA22=VLOOKUP(DA22,'IN RPS-2015'!$I$2:$J$5,1),0,ROUND(DB22*VLOOKUP(CY22,$BZ$11:$CA$12,2)%,0)))))</f>
        <v/>
      </c>
      <c r="DH22" s="461" t="str">
        <f>IF(CY22="","",IF(AND($CA$3=$CA$1,CY22&lt;=$CT$1),0,IF(Main!$C$26="UGC",0,IF(CY22&lt;DATE(2010,4,1),0,IF(OR(DQ22=2,DQ22=3,DA22=VLOOKUP(DA22,'IN RPS-2015'!$I$2:$J$5,1)),0,ROUND(IF(CY22&lt;$J$152,VLOOKUP(CY22,$B$1:$G$4,4),VLOOKUP(VLOOKUP(CY22,$B$1:$G$4,4),Main!$CE$2:$CF$5,2,FALSE))*(DAY(CZ22)-DAY(CY22)+1)/DAY(EOMONTH(CY22,0)),0))))))</f>
        <v/>
      </c>
      <c r="DI22" s="461" t="str">
        <f>IF(CY22="","",IF(AND($CA$3=$CA$1,CY22&lt;=$CT$1),0,IF(OR(DQ22=2,DQ22=3,$D$31=$D$28,DA22=VLOOKUP(DA22,'IN RPS-2015'!$I$2:$J$5,1)),0,ROUND(MIN(VLOOKUP(CX22,$A$27:$C$29,2,TRUE),ROUND(DA22*VLOOKUP(CX22,$A$27:$C$29,3,TRUE)%,0))*IF(CX22=$A$36,$C$36,IF(CX22=$A$37,$C$37,IF(CX22=$A$38,$C$38,IF(CX22=$A$39,$C$39,IF(CX22=$A$40,$C$40,IF(CX22=$A$41,$C$41,1))))))*(DAY(CZ22)-DAY(CY22)+1)/DAY(EOMONTH(CY22,0)),0))))</f>
        <v/>
      </c>
      <c r="DJ22" s="461" t="str">
        <f>IF(CY22="","",IF(AND($CA$3=$CA$1,CY22&lt;=$CT$1),0,IF(Main!$C$26="UGC",0,IF(OR(DQ22=3,DA22=VLOOKUP(DA22,'IN RPS-2015'!$I$2:$J$5,1)),0,ROUND(IF(DQ22=2,VLOOKUP(DA22,IF($CA$3=$I$29,$A$20:$E$23,$F$144:$J$147),IF($B$19=VLOOKUP(CY22,$B$2:$G$4,3,TRUE),2,IF($C$19=VLOOKUP(CY22,$B$2:$G$4,3,TRUE),3,IF($D$19=VLOOKUP(CY22,$B$2:$G$4,3,TRUE),4,5))),TRUE),VLOOKUP(DA22,IF($CA$3=$I$29,$A$20:$E$23,$F$144:$J$147),IF($B$19=VLOOKUP(CY22,$B$2:$G$4,3,TRUE),2,IF($C$19=VLOOKUP(CY22,$B$2:$G$4,3,TRUE),3,IF($D$19=VLOOKUP(CY22,$B$2:$G$4,3,TRUE),4,5))),TRUE))*(DAY(CZ22)-DAY(CY22)+1)/DAY(EOMONTH(CY22,0)),0)))))</f>
        <v/>
      </c>
      <c r="DK22" s="461" t="str">
        <f>IF(CY22="","",IF(AND($CA$3=$CA$1,CY22&lt;=$CT$1),0,IF(Main!$C$26="UGC",0,IF(OR(CX22&lt;DATE(2010,4,1),DQ22=3,DA22=VLOOKUP(DA22,'IN RPS-2015'!$I$2:$J$5,1)),0,ROUND(IF(DQ22=2,IF(CY22&lt;$J$152,Main!$L$9,Main!$CI$3)/2,IF(CY22&lt;$J$152,Main!$L$9,Main!$CI$3))*(DAY(CZ22)-DAY(CY22)+1)/DAY(EOMONTH(CY22,0)),0)))))</f>
        <v/>
      </c>
      <c r="DL22" s="461"/>
      <c r="DM22" s="461" t="str">
        <f>IF(CY22="","",IF(AND($CA$3=$CA$1,CY22&lt;=$CT$1),0,IF(Main!$C$26="UGC",0,IF(OR(DQ22=3,DA22=VLOOKUP(DA22,'IN RPS-2015'!$I$2:$J$5,1)),0,ROUND(IF(DQ22=2,VLOOKUP(DB22,IF(CY22&lt;$J$152,$A$154:$E$159,$F$154:$J$159),IF($B$10=VLOOKUP(CX22,$B$2:$G$4,6,TRUE),2,IF($B$10=VLOOKUP(CX22,$B$2:$G$4,6,TRUE),3,IF($D$10=VLOOKUP(CX22,$B$2:$G$4,6,TRUE),4,5))))/2,VLOOKUP(DB22,IF(CY22&lt;$J$152,$A$154:$E$159,$F$154:$J$159),IF($B$10=VLOOKUP(CX22,$B$2:$G$4,6,TRUE),2,IF($B$10=VLOOKUP(CX22,$B$2:$G$4,6,TRUE),3,IF($D$10=VLOOKUP(CX22,$B$2:$G$4,6,TRUE),4,5)))))*(DAY(CZ22)-DAY(CY22)+1)/DAY(EOMONTH(CY22,0)),0)))))</f>
        <v/>
      </c>
      <c r="DN22" s="461">
        <f t="shared" si="76"/>
        <v>0</v>
      </c>
      <c r="DO22" s="464" t="str">
        <f>IF(CY22="","",IF(AND($CA$3=$CA$1,CY22&lt;=$CT$1),0,IF(AND(Main!$F$22=Main!$CA$24,CY22&gt;$CT$1),ROUND(SUM(DB22,DD22)*10%,0),"")))</f>
        <v/>
      </c>
      <c r="DP22" s="464" t="str">
        <f>IF(CX22="","",IF(AND($CA$3=$CA$1,CY22&lt;=$CT$1),0,IF(OR(Main!$H$10=Main!$BH$4,Main!$H$10=Main!$BH$5),0,LOOKUP(DN22*DAY(EOMONTH(CY22,0))/(DAY(CZ22)-DAY(CY22)+1),$H$184:$I$189))))</f>
        <v/>
      </c>
      <c r="DQ22" s="457">
        <f t="shared" si="60"/>
        <v>1</v>
      </c>
      <c r="DR22" s="457">
        <f t="shared" si="77"/>
        <v>0</v>
      </c>
      <c r="DS22" s="497"/>
      <c r="DT22" s="497"/>
      <c r="DU22" s="457"/>
      <c r="DV22" s="461"/>
      <c r="DW22" s="499" t="str">
        <f t="shared" si="61"/>
        <v/>
      </c>
      <c r="DX22" s="500" t="str">
        <f t="shared" si="88"/>
        <v/>
      </c>
      <c r="DY22" s="484" t="str">
        <f>IF(DX22="","",MIN(EOMONTH(DX22,0),VLOOKUP(DX22,'IN RPS-2015'!$O$164:$P$202,2,TRUE)-1,LOOKUP(DX22,$E$47:$F$53)-1,IF(DX22&lt;$B$2,$B$2-1,'IN RPS-2015'!$Q$9),IF(DX22&lt;$B$3,$B$3-1,'IN RPS-2015'!$Q$9),IF(DX22&lt;$B$4,$B$4-1,'IN RPS-2015'!$Q$9),LOOKUP(DX22,$H$47:$I$53)))</f>
        <v/>
      </c>
      <c r="DZ22" s="490" t="str">
        <f>IF(DX22="","",VLOOKUP(DX22,'IN RPS-2015'!$P$164:$AA$202,11))</f>
        <v/>
      </c>
      <c r="EA22" s="461" t="str">
        <f t="shared" si="78"/>
        <v/>
      </c>
      <c r="EB22" s="461" t="str">
        <f>IF(DX22="","",ROUND(IF(EP22=3,0,IF(EP22=2,IF(DZ22=VLOOKUP(DZ22,'IN RPS-2015'!$I$2:$J$5,1),0,Main!$H$9)/2,IF(DZ22=VLOOKUP(DZ22,'IN RPS-2015'!$I$2:$J$5,1),0,Main!$H$9)))*(DAY(DY22)-DAY(DX22)+1)/DAY(EOMONTH(DX22,0)),0))</f>
        <v/>
      </c>
      <c r="EC22" s="461" t="str">
        <f>IF(DX22="","",IF(DZ22=VLOOKUP(DZ22,'IN RPS-2015'!$I$2:$J$5,1),0,ROUND(EA22*VLOOKUP(DX22,$DT$4:$DU$7,2)%,0)))</f>
        <v/>
      </c>
      <c r="ED22" s="461" t="str">
        <f>IF(DX22="","",IF(OR(EP22=3,DZ22=VLOOKUP(DZ22,'IN RPS-2015'!$I$2:$J$5,1)),0,ROUND(MIN(ROUND(DZ22*VLOOKUP(DX22,$B$1:$G$4,2)%,0),VLOOKUP(DX22,$B$2:$I$4,IF($DU$3=$I$29,7,8),TRUE))*(DAY(DY22)-DAY(DX22)+1)/DAY(EOMONTH(DX22,0)),0)))</f>
        <v/>
      </c>
      <c r="EE22" s="491" t="str">
        <f>IF(DX22="","",IF(Main!$C$26="UGC",0,IF(OR(DX22&lt;DATE(2010,4,1),$I$6=VLOOKUP(DX22,$B$2:$G$4,5,TRUE),DZ22=VLOOKUP(DZ22,'IN RPS-2015'!$I$2:$J$5,1)),0,ROUND(IF(EP22=3,0,IF(EP22=2,MIN(ROUND(DZ22*$G$13%,0),IF(DX22&lt;$I$152,$G$14,$G$15))/2,MIN(ROUND(DZ22*$G$13%,0),IF(DX22&lt;$I$152,$G$14,$G$15))))*(DAY(DY22)-DAY(DX22)+1)/DAY(EOMONTH(DX22,0)),0))))</f>
        <v/>
      </c>
      <c r="EF22" s="461" t="str">
        <f>IF(DX22="","",IF(Main!$C$26="UGC",0,IF(DZ22=VLOOKUP(DZ22,'IN RPS-2015'!$I$2:$J$5,1),0,ROUND(EA22*VLOOKUP(DX22,$DT$11:$DU$12,2)%,0))))</f>
        <v/>
      </c>
      <c r="EG22" s="461" t="str">
        <f>IF(DX22="","",IF(Main!$C$26="UGC",0,IF(DX22&lt;DATE(2010,4,1),0,IF(OR(EP22=2,EP22=3,DZ22=VLOOKUP(DZ22,'IN RPS-2015'!$I$2:$J$5,1)),0,ROUND(IF(DX22&lt;$I$152,VLOOKUP(DX22,$B$1:$G$4,4),VLOOKUP(VLOOKUP(DX22,$B$1:$G$4,4),Main!$CE$2:$CF$5,2,FALSE))*(DAY(DY22)-DAY(DX22)+1)/DAY(EOMONTH(DX22,0)),0)))))</f>
        <v/>
      </c>
      <c r="EH22" s="461" t="str">
        <f>IF(DX22="","",IF(OR(EP22=2,EP22=3,$D$31=$D$28,DZ22=VLOOKUP(DZ22,'IN RPS-2015'!$I$2:$J$5,1)),0,ROUND(MIN(IF(DX22&lt;$I$152,900,1350),ROUND(DZ22*VLOOKUP(DW22,$A$27:$C$29,3,TRUE)%,0))*IF(DW22=$A$36,$C$36,IF(DW22=$A$37,$C$37,IF(DW22=$A$38,$C$38,IF(DW22=$A$39,$C$39,IF(DW22=$A$40,$C$40,IF(DW22=$A$41,$C$41,1))))))*(DAY(DY22)-DAY(DX22)+1)/DAY(EOMONTH(DX22,0)),0)))</f>
        <v/>
      </c>
      <c r="EI22" s="461" t="str">
        <f>IF(DX22="","",IF(Main!$C$26="UGC",0,IF(OR(EP22=3,DZ22=VLOOKUP(DZ22,'IN RPS-2015'!$I$2:$J$5,1)),0,ROUND(IF(EP22=2,VLOOKUP(DZ22,IF($DU$3=$I$29,$A$20:$E$23,$F$144:$J$147),IF($B$19=VLOOKUP(DX22,$B$2:$G$4,3,TRUE),2,IF($C$19=VLOOKUP(DX22,$B$2:$G$4,3,TRUE),3,IF($D$19=VLOOKUP(DX22,$B$2:$G$4,3,TRUE),4,5))),TRUE),VLOOKUP(DZ22,IF($DU$3=$I$29,$A$20:$E$23,$F$144:$J$147),IF($B$19=VLOOKUP(DX22,$B$2:$G$4,3,TRUE),2,IF($C$19=VLOOKUP(DX22,$B$2:$G$4,3,TRUE),3,IF($D$19=VLOOKUP(DX22,$B$2:$G$4,3,TRUE),4,5))),TRUE))*(DAY(DY22)-DAY(DX22)+1)/DAY(EOMONTH(DX22,0)),0))))</f>
        <v/>
      </c>
      <c r="EJ22" s="461" t="str">
        <f>IF(DX22="","",IF(Main!$C$26="UGC",0,IF(OR(DW22&lt;DATE(2010,4,1),EP22=3,DZ22=VLOOKUP(DZ22,'IN RPS-2015'!$I$2:$J$5,1)),0,ROUND(IF(EP22=2,IF(DX22&lt;$I$152,Main!$L$9,Main!$CI$3)/2,IF(DX22&lt;$I$152,Main!$L$9,Main!$CI$3))*(DAY(DY22)-DAY(DX22)+1)/DAY(EOMONTH(DX22,0)),0))))</f>
        <v/>
      </c>
      <c r="EK22" s="461"/>
      <c r="EL22" s="461" t="str">
        <f>IF(DX22="","",IF(Main!$C$26="UGC",0,IF(OR(EP22=3,DZ22=VLOOKUP(DZ22,'IN RPS-2015'!$I$2:$J$5,1)),0,ROUND(IF(EP22=2,VLOOKUP(EA22,IF(DX22&lt;$I$152,$A$154:$E$159,$F$154:$J$159),IF($B$10=VLOOKUP(DW22,$B$2:$G$4,6,TRUE),2,IF($B$10=VLOOKUP(DW22,$B$2:$G$4,6,TRUE),3,IF($D$10=VLOOKUP(DW22,$B$2:$G$4,6,TRUE),4,5))))/2,VLOOKUP(EA22,IF(DX22&lt;$I$152,$A$154:$E$159,$F$154:$J$159),IF($B$10=VLOOKUP(DW22,$B$2:$G$4,6,TRUE),2,IF($B$10=VLOOKUP(DW22,$B$2:$G$4,6,TRUE),3,IF($D$10=VLOOKUP(DW22,$B$2:$G$4,6,TRUE),4,5)))))*(DAY(DY22)-DAY(DX22)+1)/DAY(EOMONTH(DX22,0)),0))))</f>
        <v/>
      </c>
      <c r="EM22" s="461">
        <f t="shared" si="79"/>
        <v>0</v>
      </c>
      <c r="EN22" s="464" t="str">
        <f>IF(DX22="","",IF(AND(Main!$F$22=Main!$CA$24,DX22&gt;$EN$1),ROUND(SUM(EA22,EC22)*10%,0),""))</f>
        <v/>
      </c>
      <c r="EO22" s="464" t="str">
        <f>IF(DW22="","",IF(EA22=0,0,IF(OR(Main!$H$10=Main!$BH$4,Main!$H$10=Main!$BH$5),0,LOOKUP(EM22*DAY(EOMONTH(DX22,0))/(DAY(DY22)-DAY(DX22)+1),$H$184:$I$189))))</f>
        <v/>
      </c>
      <c r="EP22" s="457">
        <f t="shared" si="62"/>
        <v>1</v>
      </c>
      <c r="ER22" s="497"/>
      <c r="ET22" s="461"/>
      <c r="EU22" s="499" t="str">
        <f t="shared" si="63"/>
        <v/>
      </c>
      <c r="EV22" s="500" t="str">
        <f t="shared" si="89"/>
        <v/>
      </c>
      <c r="EW22" s="484" t="str">
        <f>IF(EV22="","",MIN(EOMONTH(EV22,0),VLOOKUP(EV22,'IN RPS-2015'!$O$164:$P$202,2,TRUE)-1,LOOKUP(EV22,$E$47:$F$53)-1,IF(EV22&lt;$B$2,$B$2-1,'IN RPS-2015'!$Q$9),IF(EV22&lt;$B$3,$B$3-1,'IN RPS-2015'!$Q$9),IF(EV22&lt;$B$4,$B$4-1,'IN RPS-2015'!$Q$9),LOOKUP(EV22,$H$47:$I$53)))</f>
        <v/>
      </c>
      <c r="EX22" s="490" t="str">
        <f>IF(EV22="","",VLOOKUP(EV22,'IN RPS-2015'!$P$164:$AA$202,12))</f>
        <v/>
      </c>
      <c r="EY22" s="461" t="str">
        <f t="shared" si="80"/>
        <v/>
      </c>
      <c r="EZ22" s="461" t="str">
        <f>IF(EV22="","",ROUND(IF(FN22=3,0,IF(FN22=2,IF(EX22=VLOOKUP(EX22,'IN RPS-2015'!$I$2:$J$5,1),0,Main!$H$9)/2,IF(EX22=VLOOKUP(EX22,'IN RPS-2015'!$I$2:$J$5,1),0,Main!$H$9)))*(DAY(EW22)-DAY(EV22)+1)/DAY(EOMONTH(EV22,0)),0))</f>
        <v/>
      </c>
      <c r="FA22" s="461" t="str">
        <f>IF(EV22="","",IF(EX22=VLOOKUP(EX22,'IN RPS-2015'!$I$2:$J$5,1),0,ROUND(EY22*VLOOKUP(EV22,$ER$4:$ES$7,2)%,0)))</f>
        <v/>
      </c>
      <c r="FB22" s="461" t="str">
        <f>IF(EV22="","",IF(OR(FN22=3,EX22=VLOOKUP(EX22,'IN RPS-2015'!$I$2:$J$5,1)),0,ROUND(MIN(ROUND(EX22*VLOOKUP(EV22,$B$1:$G$4,2)%,0),VLOOKUP(EV22,$B$2:$I$4,IF($ES$3=$I$29,7,8),TRUE))*(DAY(EW22)-DAY(EV22)+1)/DAY(EOMONTH(EV22,0)),0)))</f>
        <v/>
      </c>
      <c r="FC22" s="491" t="str">
        <f>IF(EV22="","",IF(Main!$C$26="UGC",0,IF(OR(EV22&lt;DATE(2010,4,1),$I$6=VLOOKUP(EV22,$B$2:$G$4,5,TRUE),EX22=VLOOKUP(EX22,'IN RPS-2015'!$I$2:$J$5,1)),0,ROUND(IF(FN22=3,0,IF(FN22=2,MIN(ROUND(EX22*$G$13%,0),IF(EV22&lt;$J$152,$G$14,$G$15))/2,MIN(ROUND(EX22*$G$13%,0),IF(EV22&lt;$J$152,$G$14,$G$15))))*(DAY(EW22)-DAY(EV22)+1)/DAY(EOMONTH(EV22,0)),0))))</f>
        <v/>
      </c>
      <c r="FD22" s="461" t="str">
        <f>IF(EV22="","",IF(Main!$C$26="UGC",0,IF(EX22=VLOOKUP(EX22,'IN RPS-2015'!$I$2:$J$5,1),0,ROUND(EY22*VLOOKUP(EV22,$ER$11:$ES$12,2)%,0))))</f>
        <v/>
      </c>
      <c r="FE22" s="461" t="str">
        <f>IF(EV22="","",IF(Main!$C$26="UGC",0,IF(EV22&lt;DATE(2010,4,1),0,IF(OR(FN22=2,FN22=3,EX22=VLOOKUP(EX22,'IN RPS-2015'!$I$2:$J$5,1)),0,ROUND(IF(EV22&lt;$J$152,VLOOKUP(EV22,$B$1:$G$4,4),VLOOKUP(VLOOKUP(EV22,$B$1:$G$4,4),Main!$CE$2:$CF$5,2,FALSE))*(DAY(EW22)-DAY(EV22)+1)/DAY(EOMONTH(EV22,0)),0)))))</f>
        <v/>
      </c>
      <c r="FF22" s="461" t="str">
        <f>IF(EV22="","",IF(OR(FN22=2,FN22=3,$D$31=$D$28,EX22=VLOOKUP(EX22,'IN RPS-2015'!$I$2:$J$5,1)),0,ROUND(MIN(VLOOKUP(EU22,$A$27:$C$29,2,TRUE),ROUND(EX22*VLOOKUP(EU22,$A$27:$C$29,3,TRUE)%,0))*IF(EU22=$A$36,$C$36,IF(EU22=$A$37,$C$37,IF(EU22=$A$38,$C$38,IF(EU22=$A$39,$C$39,IF(EU22=$A$40,$C$40,IF(EU22=$A$41,$C$41,1))))))*(DAY(EW22)-DAY(EV22)+1)/DAY(EOMONTH(EV22,0)),0)))</f>
        <v/>
      </c>
      <c r="FG22" s="461" t="str">
        <f>IF(EV22="","",IF(Main!$C$26="UGC",0,IF(OR(FN22=3,EX22=VLOOKUP(EX22,'IN RPS-2015'!$I$2:$J$5,1)),0,ROUND(IF(FN22=2,VLOOKUP(EX22,IF($ES$3=$I$29,$A$20:$E$23,$F$144:$J$147),IF($B$19=VLOOKUP(EV22,$B$2:$G$4,3,TRUE),2,IF($C$19=VLOOKUP(EV22,$B$2:$G$4,3,TRUE),3,IF($D$19=VLOOKUP(EV22,$B$2:$G$4,3,TRUE),4,5))),TRUE),VLOOKUP(EX22,IF($ES$3=$I$29,$A$20:$E$23,$F$144:$J$147),IF($B$19=VLOOKUP(EV22,$B$2:$G$4,3,TRUE),2,IF($C$19=VLOOKUP(EV22,$B$2:$G$4,3,TRUE),3,IF($D$19=VLOOKUP(EV22,$B$2:$G$4,3,TRUE),4,5))),TRUE))*(DAY(EW22)-DAY(EV22)+1)/DAY(EOMONTH(EV22,0)),0))))</f>
        <v/>
      </c>
      <c r="FH22" s="461" t="str">
        <f>IF(EV22="","",IF(Main!$C$26="UGC",0,IF(OR(EU22&lt;DATE(2010,4,1),FN22=3,EX22=VLOOKUP(EX22,'IN RPS-2015'!$I$2:$J$5,1)),0,ROUND(IF(FN22=2,IF(EV22&lt;$J$152,Main!$L$9,Main!$CI$3)/2,IF(EV22&lt;$J$152,Main!$L$9,Main!$CI$3))*(DAY(EW22)-DAY(EV22)+1)/DAY(EOMONTH(EV22,0)),0))))</f>
        <v/>
      </c>
      <c r="FI22" s="461"/>
      <c r="FJ22" s="461" t="str">
        <f>IF(EV22="","",IF(Main!$C$26="UGC",0,IF(OR(FN22=3,EX22=VLOOKUP(EX22,'IN RPS-2015'!$I$2:$J$5,1)),0,ROUND(IF(FN22=2,VLOOKUP(EY22,IF(EV22&lt;$J$152,$A$154:$E$159,$F$154:$J$159),IF($B$10=VLOOKUP(EU22,$B$2:$G$4,6,TRUE),2,IF($B$10=VLOOKUP(EU22,$B$2:$G$4,6,TRUE),3,IF($D$10=VLOOKUP(EU22,$B$2:$G$4,6,TRUE),4,5))))/2,VLOOKUP(EY22,IF(EV22&lt;$J$152,$A$154:$E$159,$F$154:$J$159),IF($B$10=VLOOKUP(EU22,$B$2:$G$4,6,TRUE),2,IF($B$10=VLOOKUP(EU22,$B$2:$G$4,6,TRUE),3,IF($D$10=VLOOKUP(EU22,$B$2:$G$4,6,TRUE),4,5)))))*(DAY(EW22)-DAY(EV22)+1)/DAY(EOMONTH(EV22,0)),0))))</f>
        <v/>
      </c>
      <c r="FK22" s="461">
        <f t="shared" si="81"/>
        <v>0</v>
      </c>
      <c r="FL22" s="464" t="str">
        <f>IF(EV22="","",IF(AND(Main!$F$22=Main!$CA$24,EV22&gt;$FL$1),ROUND(SUM(EY22,FA22)*10%,0),""))</f>
        <v/>
      </c>
      <c r="FM22" s="464" t="str">
        <f>IF(EU22="","",IF(EY22=0,0,IF(OR(Main!$H$10=Main!$BH$4,Main!$H$10=Main!$BH$5),0,LOOKUP(FK22*DAY(EOMONTH(EV22,0))/(DAY(EW22)-DAY(EV22)+1),$H$184:$I$189))))</f>
        <v/>
      </c>
      <c r="FN22" s="457">
        <f t="shared" si="64"/>
        <v>1</v>
      </c>
    </row>
    <row r="23" spans="1:170">
      <c r="A23" s="7">
        <v>18031</v>
      </c>
      <c r="B23" s="7">
        <v>525</v>
      </c>
      <c r="C23" s="7">
        <v>350</v>
      </c>
      <c r="D23" s="7">
        <v>140</v>
      </c>
      <c r="E23" s="7">
        <v>0</v>
      </c>
      <c r="F23" s="459">
        <f>IF(G23=0,'IN RPS-2015'!C9,IF(OR(Main!H11=Main!BC3,Main!BC4=Main!H11),Main!J11,'IN RPS-2015'!C9))</f>
        <v>42156</v>
      </c>
      <c r="G23" s="510">
        <f>IF(Main!H11=Main!BC2,0,Main!K11)</f>
        <v>15</v>
      </c>
      <c r="K23" s="494" t="str">
        <f t="shared" si="65"/>
        <v/>
      </c>
      <c r="L23" s="495" t="str">
        <f t="shared" si="82"/>
        <v/>
      </c>
      <c r="M23" s="484" t="str">
        <f>IF(L23="","",MIN(EOMONTH(L23,0),VLOOKUP(L23,'IN RPS-2015'!$O$164:$P$202,2,TRUE)-1,LOOKUP(L23,$E$47:$F$53)-1,IF(L23&lt;$B$2,$B$2-1,'IN RPS-2015'!$Q$9),IF(L23&lt;$B$3,$B$3-1,'IN RPS-2015'!$Q$9),IF(L23&lt;$B$4,$B$4-1,'IN RPS-2015'!$Q$9),LOOKUP(L23,$H$47:$I$53)))</f>
        <v/>
      </c>
      <c r="N23" s="496" t="str">
        <f>IF(L23="","",VLOOKUP(L23,'Advance Tax'!$A$3:$C$14,3))</f>
        <v/>
      </c>
      <c r="O23" s="509" t="str">
        <f t="shared" si="52"/>
        <v/>
      </c>
      <c r="P23" s="497" t="str">
        <f>IF(L23="","",ROUND(IF(AD23=3,0,IF(AD23=2,IF(N23=VLOOKUP(N23,'IN RPS-2015'!$I$2:$J$5,1),0,Main!$H$9)/2,IF(N23=VLOOKUP(N23,'IN RPS-2015'!$I$2:$J$5,1),0,Main!$H$9)))*(DAY(M23)-DAY(L23)+1)/DAY(EOMONTH(L23,0)),0))</f>
        <v/>
      </c>
      <c r="Q23" s="457" t="str">
        <f>IF(L23="","",IF(N23=VLOOKUP(N23,'IN RPS-2015'!$I$2:$J$5,1),0,ROUND(O23*IF(L23&lt;Main!$C$27,VLOOKUP(L23,$H$9:$J$12,3),VLOOKUP(L23,$H$9:$J$12,2))%,0)))</f>
        <v/>
      </c>
      <c r="R23" s="457" t="str">
        <f>IF(L23="","",IF(OR(AD23=3,N23=VLOOKUP(N23,'IN RPS-2015'!$I$2:$J$5,1)),0,ROUND(MIN(ROUND(N23*VLOOKUP(L23,$B$1:$G$4,2)%,0),VLOOKUP(L23,$B$2:$I$4,IF(L23&lt;$G$7,7,8),TRUE))*(DAY(M23)-DAY(L23)+1)/DAY(EOMONTH(L23,0)),0)))</f>
        <v/>
      </c>
      <c r="S23" s="486" t="str">
        <f>IF(L23="","",IF(Main!$C$26="UGC",0,IF(OR(L23&lt;DATE(2010,4,1),$I$6=VLOOKUP(L23,$B$2:$G$4,5,TRUE),N23=VLOOKUP(N23,'IN RPS-2015'!$I$2:$J$5,1)),0,ROUND(IF(AD23=3,0,IF(AD23=2,MIN(ROUND(N23*$G$13%,0),IF(L23&lt;$J$152,$G$14,$G$15))/2,MIN(ROUND(N23*$G$13%,0),IF(L23&lt;$J$152,$G$14,$G$15))))*(DAY(M23)-DAY(L23)+1)/DAY(EOMONTH(L23,0)),0))))</f>
        <v/>
      </c>
      <c r="T23" s="457" t="str">
        <f>IF(L23="","",IF(Main!$C$26="UGC",0,IF(N23=VLOOKUP(N23,'IN RPS-2015'!$I$2:$J$5,1),0,ROUND(O23*VLOOKUP(L23,$H$205:$I$206,2)%,0))))</f>
        <v/>
      </c>
      <c r="U23" s="457" t="str">
        <f>IF(L23="","",IF(Main!$C$26="UGC",0,IF(L23&lt;DATE(2010,4,1),0,IF(OR(AD23=2,AD23=3,N23=VLOOKUP(N23,'IN RPS-2015'!$I$2:$J$5,1)),0,ROUND(IF(L23&lt;$J$152,VLOOKUP(L23,$B$1:$G$4,4),VLOOKUP(VLOOKUP(L23,$B$1:$G$4,4),Main!$CE$2:$CF$5,2,FALSE))*(DAY(M23)-DAY(L23)+1)/DAY(EOMONTH(L23,0)),0)))))</f>
        <v/>
      </c>
      <c r="V23" s="457" t="str">
        <f>IF(L23="","",IF(OR(AD23=2,AD23=3,$D$31=$D$28,N23=VLOOKUP(N23,'IN RPS-2015'!$I$2:$J$5,1)),0,ROUND(MIN(VLOOKUP(K23,$A$27:$C$29,2,TRUE),ROUND(N23*VLOOKUP(K23,$A$27:$C$29,3,TRUE)%,0))*IF(K23=$A$36,$C$36,IF(K23=$A$37,$C$37,IF(K23=$A$38,$C$38,IF(K23=$A$39,$C$39,IF(K23=$A$40,$C$40,IF(K23=$A$41,$C$41,1))))))*(DAY(M23)-DAY(L23)+1)/DAY(EOMONTH(L23,0)),0)))</f>
        <v/>
      </c>
      <c r="W23" s="457" t="str">
        <f>IF(L23="","",IF(Main!$C$26="UGC",0,IF(OR(AD23=3,N23=VLOOKUP(N23,'IN RPS-2015'!$I$2:$J$5,1)),0,ROUND(IF(AD23=2,VLOOKUP(N23,IF(L23&lt;$G$7,$A$20:$E$23,$F$144:$J$147),IF($B$19=VLOOKUP(L23,$B$2:$G$4,3,TRUE),2,IF($C$19=VLOOKUP(L23,$B$2:$G$4,3,TRUE),3,IF($D$19=VLOOKUP(L23,$B$2:$G$4,3,TRUE),4,5))),TRUE),VLOOKUP(N23,IF(L23&lt;$G$7,$A$20:$E$23,$F$144:$J$147),IF($B$19=VLOOKUP(L23,$B$2:$G$4,3,TRUE),2,IF($C$19=VLOOKUP(L23,$B$2:$G$4,3,TRUE),3,IF($D$19=VLOOKUP(L23,$B$2:$G$4,3,TRUE),4,5))),TRUE))*(DAY(M23)-DAY(L23)+1)/DAY(EOMONTH(L23,0)),0))))</f>
        <v/>
      </c>
      <c r="X23" s="457" t="str">
        <f>IF(L23="","",IF(Main!$C$26="UGC",0,IF(OR(K23&lt;DATE(2010,4,1),AD23=3,N23=VLOOKUP(N23,'IN RPS-2015'!$I$2:$J$5,1)),0,ROUND(IF(AD23=2,IF(L23&lt;$J$152,Main!$L$9,Main!$CI$3)/2,IF(L23&lt;$J$152,Main!$L$9,Main!$CI$3))*(DAY(M23)-DAY(L23)+1)/DAY(EOMONTH(L23,0)),0))))</f>
        <v/>
      </c>
      <c r="Y23" s="497"/>
      <c r="Z23" s="457" t="str">
        <f>IF(L23="","",IF(Main!$C$26="UGC",0,IF(OR(AD23=3,N23=VLOOKUP(N23,'IN RPS-2015'!$I$2:$J$5,1)),0,ROUND(IF(AD23=2,VLOOKUP(O23,IF(L23&lt;$J$152,$A$154:$E$159,$F$154:$J$159),IF($B$10=VLOOKUP(K23,$B$2:$G$4,6,TRUE),2,IF($B$10=VLOOKUP(K23,$B$2:$G$4,6,TRUE),3,IF($D$10=VLOOKUP(K23,$B$2:$G$4,6,TRUE),4,5))))/2,VLOOKUP(O23,IF(L23&lt;$J$152,$A$154:$E$159,$F$154:$J$159),IF($B$10=VLOOKUP(K23,$B$2:$G$4,6,TRUE),2,IF($B$10=VLOOKUP(K23,$B$2:$G$4,6,TRUE),3,IF($D$10=VLOOKUP(K23,$B$2:$G$4,6,TRUE),4,5)))))*(DAY(M23)-DAY(L23)+1)/DAY(EOMONTH(L23,0)),0))))</f>
        <v/>
      </c>
      <c r="AA23" s="497">
        <f t="shared" si="83"/>
        <v>0</v>
      </c>
      <c r="AB23" s="497"/>
      <c r="AC23" s="497"/>
      <c r="AD23" s="497">
        <f t="shared" si="53"/>
        <v>1</v>
      </c>
      <c r="AE23" s="497"/>
      <c r="AF23" s="497"/>
      <c r="AH23" s="461"/>
      <c r="AI23" s="499" t="str">
        <f t="shared" si="54"/>
        <v/>
      </c>
      <c r="AJ23" s="500" t="str">
        <f t="shared" si="84"/>
        <v/>
      </c>
      <c r="AK23" s="484" t="str">
        <f>IF(AJ23="","",MIN(EOMONTH(AJ23,0),VLOOKUP(AJ23,'IN RPS-2015'!$O$164:$P$202,2,TRUE)-1,LOOKUP(AJ23,$E$47:$F$53)-1,IF(AJ23&lt;$B$2,$B$2-1,'IN RPS-2015'!$Q$9),IF(AJ23&lt;$B$3,$B$3-1,'IN RPS-2015'!$Q$9),IF(AJ23&lt;$B$4,$B$4-1,'IN RPS-2015'!$Q$9),LOOKUP(AJ23,$H$47:$I$53)))</f>
        <v/>
      </c>
      <c r="AL23" s="490" t="str">
        <f>IF(AJ23="","",VLOOKUP(AJ23,'IN RPS-2015'!$P$164:$AA$202,9))</f>
        <v/>
      </c>
      <c r="AM23" s="461" t="str">
        <f t="shared" si="66"/>
        <v/>
      </c>
      <c r="AN23" s="461" t="str">
        <f>IF(AJ23="","",IF(AND($AG$3=$AG$1,AJ23&lt;=$AZ$1),0,ROUND(IF(BB23=3,0,IF(BB23=2,IF(AL23=VLOOKUP(AL23,'IN RPS-2015'!$I$2:$J$5,1),0,Main!$H$9)/2,IF(AL23=VLOOKUP(AL23,'IN RPS-2015'!$I$2:$J$5,1),0,Main!$H$9)))*(DAY(AK23)-DAY(AJ23)+1)/DAY(EOMONTH(AJ23,0)),0)))</f>
        <v/>
      </c>
      <c r="AO23" s="461" t="str">
        <f>IF(AJ23="","",IF(AND($AG$3=$AG$1,AJ23&lt;=$AZ$1),0,IF(AL23=VLOOKUP(AL23,'IN RPS-2015'!$I$2:$J$5,1),0,ROUND(AM23*VLOOKUP(AJ23,$AF$4:$AG$7,2)%,0))))</f>
        <v/>
      </c>
      <c r="AP23" s="461" t="str">
        <f>IF(AJ23="","",IF(AND($AG$3=$AG$1,AJ23&lt;=$AZ$1),0,IF(OR(BB23=3,AL23=VLOOKUP(AL23,'IN RPS-2015'!$I$2:$J$5,1)),0,ROUND(MIN(ROUND(AL23*VLOOKUP(AJ23,$B$1:$G$4,2)%,0),VLOOKUP(AJ23,$B$2:$I$4,IF($AG$3=$I$29,7,8),TRUE))*(DAY(AK23)-DAY(AJ23)+1)/DAY(EOMONTH(AJ23,0)),0))))</f>
        <v/>
      </c>
      <c r="AQ23" s="491" t="str">
        <f>IF(AJ23="","",IF(AND($AG$3=$AG$1,AJ23&lt;=$AZ$1),0,IF(Main!$C$26="UGC",0,IF(OR(AJ23&lt;DATE(2010,4,1),$I$6=VLOOKUP(AJ23,$B$2:$G$4,5,TRUE),AL23=VLOOKUP(AL23,'IN RPS-2015'!$I$2:$J$5,1)),0,ROUND(IF(BB23=3,0,IF(BB23=2,MIN(ROUND(AL23*$G$13%,0),IF(AJ23&lt;$J$152,$G$14,$G$15))/2,MIN(ROUND(AL23*$G$13%,0),IF(AJ23&lt;$J$152,$G$14,$G$15))))*(DAY(AK23)-DAY(AJ23)+1)/DAY(EOMONTH(AJ23,0)),0)))))</f>
        <v/>
      </c>
      <c r="AR23" s="461" t="str">
        <f>IF(AJ23="","",IF(AND($AG$3=$AG$1,AJ23&lt;=$AZ$1),0,IF(Main!$C$26="UGC",0,IF(AL23=VLOOKUP(AL23,'IN RPS-2015'!$I$2:$J$5,1),0,ROUND(AM23*VLOOKUP(AJ23,$AF$11:$AG$12,2)%,0)))))</f>
        <v/>
      </c>
      <c r="AS23" s="461" t="str">
        <f>IF(AJ23="","",IF(AND($AG$3=$AG$1,AJ23&lt;=$AZ$1),0,IF(Main!$C$26="UGC",0,IF(AJ23&lt;DATE(2010,4,1),0,IF(OR(BB23=2,BB23=3,AL23=VLOOKUP(AL23,'IN RPS-2015'!$I$2:$J$5,1)),0,ROUND(IF(AJ23&lt;$J$152,VLOOKUP(AJ23,$B$1:$G$4,4),VLOOKUP(VLOOKUP(AJ23,$B$1:$G$4,4),Main!$CE$2:$CF$5,2,FALSE))*(DAY(AK23)-DAY(AJ23)+1)/DAY(EOMONTH(AJ23,0)),0))))))</f>
        <v/>
      </c>
      <c r="AT23" s="461" t="str">
        <f>IF(AJ23="","",IF(AND($AG$3=$AG$1,AJ23&lt;=$AZ$1),0,IF(OR(BB23=2,BB23=3,$D$31=$D$28,AL23=VLOOKUP(AL23,'IN RPS-2015'!$I$2:$J$5,1)),0,ROUND(MIN(VLOOKUP(AI23,$A$27:$C$29,2,TRUE),ROUND(AL23*VLOOKUP(AI23,$A$27:$C$29,3,TRUE)%,0))*IF(AI23=$A$36,$C$36,IF(AI23=$A$37,$C$37,IF(AI23=$A$38,$C$38,IF(AI23=$A$39,$C$39,IF(AI23=$A$40,$C$40,IF(AI23=$A$41,$C$41,1))))))*(DAY(AK23)-DAY(AJ23)+1)/DAY(EOMONTH(AJ23,0)),0))))</f>
        <v/>
      </c>
      <c r="AU23" s="461" t="str">
        <f>IF(AJ23="","",IF(AND($AG$3=$AG$1,AJ23&lt;=$AZ$1),0,IF(Main!$C$26="UGC",0,IF(OR(BB23=3,AL23=VLOOKUP(AL23,'IN RPS-2015'!$I$2:$J$5,1)),0,ROUND(IF(BB23=2,VLOOKUP(AL23,IF($AG$3=$I$29,$A$20:$E$23,$F$144:$J$147),IF($B$19=VLOOKUP(AJ23,$B$2:$G$4,3,TRUE),2,IF($C$19=VLOOKUP(AJ23,$B$2:$G$4,3,TRUE),3,IF($D$19=VLOOKUP(AJ23,$B$2:$G$4,3,TRUE),4,5))),TRUE),VLOOKUP(AL23,IF($AG$3=$I$29,$A$20:$E$23,$F$144:$J$147),IF($B$19=VLOOKUP(AJ23,$B$2:$G$4,3,TRUE),2,IF($C$19=VLOOKUP(AJ23,$B$2:$G$4,3,TRUE),3,IF($D$19=VLOOKUP(AJ23,$B$2:$G$4,3,TRUE),4,5))),TRUE))*(DAY(AK23)-DAY(AJ23)+1)/DAY(EOMONTH(AJ23,0)),0)))))</f>
        <v/>
      </c>
      <c r="AV23" s="461" t="str">
        <f>IF(AJ23="","",IF(AND($AG$3=$AG$1,AJ23&lt;=$AZ$1),0,IF(Main!$C$26="UGC",0,IF(OR(AI23&lt;DATE(2010,4,1),BB23=3,AL23=VLOOKUP(AL23,'IN RPS-2015'!$I$2:$J$5,1)),0,ROUND(IF(BB23=2,IF(AJ23&lt;$J$152,Main!$L$9,Main!$CI$3)/2,IF(AJ23&lt;$J$152,Main!$L$9,Main!$CI$3))*(DAY(AK23)-DAY(AJ23)+1)/DAY(EOMONTH(AJ23,0)),0)))))</f>
        <v/>
      </c>
      <c r="AW23" s="461"/>
      <c r="AX23" s="461" t="str">
        <f>IF(AJ23="","",IF(AND($AG$3=$AG$1,AJ23&lt;=$AZ$1),0,IF(Main!$C$26="UGC",0,IF(OR(BB23=3,AL23=VLOOKUP(AL23,'IN RPS-2015'!$I$2:$J$5,1)),0,ROUND(IF(BB23=2,VLOOKUP(AM23,IF(AJ23&lt;$J$152,$A$154:$E$159,$F$154:$J$159),IF($B$10=VLOOKUP(AI23,$B$2:$G$4,6,TRUE),2,IF($B$10=VLOOKUP(AI23,$B$2:$G$4,6,TRUE),3,IF($D$10=VLOOKUP(AI23,$B$2:$G$4,6,TRUE),4,5))))/2,VLOOKUP(AM23,IF(AJ23&lt;$J$152,$A$154:$E$159,$F$154:$J$159),IF($B$10=VLOOKUP(AI23,$B$2:$G$4,6,TRUE),2,IF($B$10=VLOOKUP(AI23,$B$2:$G$4,6,TRUE),3,IF($D$10=VLOOKUP(AI23,$B$2:$G$4,6,TRUE),4,5)))))*(DAY(AK23)-DAY(AJ23)+1)/DAY(EOMONTH(AJ23,0)),0)))))</f>
        <v/>
      </c>
      <c r="AY23" s="461">
        <f t="shared" si="67"/>
        <v>0</v>
      </c>
      <c r="AZ23" s="464" t="str">
        <f>IF(AJ23="","",IF(AND($AG$3=$AG$1,AJ23&lt;=$AZ$1),0,IF(AND(Main!$F$22=Main!$CA$24,AJ23&gt;$AZ$1),ROUND(SUM(AM23,AO23)*10%,0),"")))</f>
        <v/>
      </c>
      <c r="BA23" s="464" t="str">
        <f>IF(AI23="","",IF(AND($AG$3=$AG$1,AJ23&lt;=$AZ$1),0,IF(OR(Main!$H$10=Main!$BH$4,Main!$H$10=Main!$BH$5),0,LOOKUP(AY23*DAY(EOMONTH(AJ23,0))/(DAY(AK23)-DAY(AJ23)+1),$H$184:$I$189))))</f>
        <v/>
      </c>
      <c r="BB23" s="497">
        <f t="shared" si="55"/>
        <v>1</v>
      </c>
      <c r="BC23" s="464"/>
      <c r="BD23" s="501" t="str">
        <f t="shared" si="56"/>
        <v/>
      </c>
      <c r="BE23" s="502" t="str">
        <f t="shared" si="85"/>
        <v/>
      </c>
      <c r="BF23" s="484" t="str">
        <f>IF(BE23="","",MIN(EOMONTH(BE23,0),VLOOKUP(BE23,'IN RPS-2015'!$O$164:$P$202,2,TRUE)-1,LOOKUP(BE23,$E$47:$F$53)-1,IF(BE23&lt;$B$2,$B$2-1,'IN RPS-2015'!$Q$9),IF(BE23&lt;$B$3,$B$3-1,'IN RPS-2015'!$Q$9),IF(BE23&lt;$B$4,$B$4-1,'IN RPS-2015'!$Q$9),LOOKUP(BE23,$H$47:$I$53)))</f>
        <v/>
      </c>
      <c r="BG23" s="493" t="str">
        <f>IF(BE23="","",VLOOKUP(BE23,'IN RPS-2015'!$P$164:$AA$202,10))</f>
        <v/>
      </c>
      <c r="BH23" s="461" t="str">
        <f t="shared" si="68"/>
        <v/>
      </c>
      <c r="BI23" s="461" t="str">
        <f>IF(BE23="","",IF(AND($AG$3=$AG$1,BE23&lt;=$AZ$1),0,ROUND(IF(BW23=3,0,IF(BW23=2,IF(BG23=VLOOKUP(BG23,'IN RPS-2015'!$I$2:$J$5,1),0,Main!$H$9)/2,IF(BG23=VLOOKUP(BG23,'IN RPS-2015'!$I$2:$J$5,1),0,Main!$H$9)))*(DAY(BF23)-DAY(BE23)+1)/DAY(EOMONTH(BE23,0)),0)))</f>
        <v/>
      </c>
      <c r="BJ23" s="461" t="str">
        <f>IF(BE23="","",IF(AND($AG$3=$AG$1,BE23&lt;=$AZ$1),0,IF(BG23=VLOOKUP(BG23,'IN RPS-2015'!$I$2:$J$5,1),0,ROUND(BH23*VLOOKUP(BE23,$AF$4:$AG$7,2)%,0))))</f>
        <v/>
      </c>
      <c r="BK23" s="461" t="str">
        <f>IF(BE23="","",IF(AND($AG$3=$AG$1,BE23&lt;=$AZ$1),0,IF(OR(BW23=3,BG23=VLOOKUP(BG23,'IN RPS-2015'!$I$2:$J$5,1)),0,ROUND(MIN(ROUND(BG23*VLOOKUP(BE23,$B$1:$G$4,2)%,0),VLOOKUP(BE23,$B$2:$I$4,IF($AG$3=$I$29,7,8),TRUE))*(DAY(BF23)-DAY(BE23)+1)/DAY(EOMONTH(BE23,0)),0))))</f>
        <v/>
      </c>
      <c r="BL23" s="491" t="str">
        <f>IF(BE23="","",IF(AND($AG$3=$AG$1,BE23&lt;=$AZ$1),0,IF(Main!$C$26="UGC",0,IF(OR(BE23&lt;DATE(2010,4,1),$I$6=VLOOKUP(BE23,$B$2:$G$4,5,TRUE),BG23=VLOOKUP(BG23,'IN RPS-2015'!$I$2:$J$5,1)),0,ROUND(IF(BW23=3,0,IF(BW23=2,MIN(ROUND(BG23*$G$13%,0),IF(BE23&lt;$J$152,$G$14,$G$15))/2,MIN(ROUND(BG23*$G$13%,0),IF(BE23&lt;$J$152,$G$14,$G$15))))*(DAY(BF23)-DAY(BE23)+1)/DAY(EOMONTH(BE23,0)),0)))))</f>
        <v/>
      </c>
      <c r="BM23" s="461" t="str">
        <f>IF(BE23="","",IF(AND($AG$3=$AG$1,BE23&lt;=$AZ$1),0,IF(Main!$C$26="UGC",0,IF(BG23=VLOOKUP(BG23,'IN RPS-2015'!$I$2:$J$5,1),0,ROUND(BH23*VLOOKUP(BE23,$AF$11:$AG$12,2)%,0)))))</f>
        <v/>
      </c>
      <c r="BN23" s="461" t="str">
        <f>IF(BE23="","",IF(AND($AG$3=$AG$1,BE23&lt;=$AZ$1),0,IF(Main!$C$26="UGC",0,IF(BE23&lt;DATE(2010,4,1),0,IF(OR(BW23=2,BW23=3,BG23=VLOOKUP(BG23,'IN RPS-2015'!$I$2:$J$5,1)),0,ROUND(IF(BE23&lt;$J$152,VLOOKUP(BE23,$B$1:$G$4,4),VLOOKUP(VLOOKUP(BE23,$B$1:$G$4,4),Main!$CE$2:$CF$5,2,FALSE))*(DAY(BF23)-DAY(BE23)+1)/DAY(EOMONTH(BE23,0)),0))))))</f>
        <v/>
      </c>
      <c r="BO23" s="461" t="str">
        <f>IF(BE23="","",IF(AND($AG$3=$AG$1,BE23&lt;=$AZ$1),0,IF(OR(BW23=2,BW23=3,$D$31=$D$28,BG23=VLOOKUP(BG23,'IN RPS-2015'!$I$2:$J$5,1)),0,ROUND(MIN(VLOOKUP(BD23,$A$27:$C$29,2,TRUE),ROUND(BG23*VLOOKUP(BD23,$A$27:$C$29,3,TRUE)%,0))*IF(BD23=$A$36,$C$36,IF(BD23=$A$37,$C$37,IF(BD23=$A$38,$C$38,IF(BD23=$A$39,$C$39,IF(BD23=$A$40,$C$40,IF(BD23=$A$41,$C$41,1))))))*(DAY(BF23)-DAY(BE23)+1)/DAY(EOMONTH(BE23,0)),0))))</f>
        <v/>
      </c>
      <c r="BP23" s="461" t="str">
        <f>IF(BE23="","",IF(AND($AG$3=$AG$1,BE23&lt;=$AZ$1),0,IF(Main!$C$26="UGC",0,IF(OR(BW23=3,BG23=VLOOKUP(BG23,'IN RPS-2015'!$I$2:$J$5,1)),0,ROUND(IF(BW23=2,VLOOKUP(BG23,IF($AG$3=$I$29,$A$20:$E$23,$F$144:$J$147),IF($B$19=VLOOKUP(BE23,$B$2:$G$4,3,TRUE),2,IF($C$19=VLOOKUP(BE23,$B$2:$G$4,3,TRUE),3,IF($D$19=VLOOKUP(BE23,$B$2:$G$4,3,TRUE),4,5))),TRUE),VLOOKUP(BG23,IF($AG$3=$I$29,$A$20:$E$23,$F$144:$J$147),IF($B$19=VLOOKUP(BE23,$B$2:$G$4,3,TRUE),2,IF($C$19=VLOOKUP(BE23,$B$2:$G$4,3,TRUE),3,IF($D$19=VLOOKUP(BE23,$B$2:$G$4,3,TRUE),4,5))),TRUE))*(DAY(BF23)-DAY(BE23)+1)/DAY(EOMONTH(BE23,0)),0)))))</f>
        <v/>
      </c>
      <c r="BQ23" s="461" t="str">
        <f>IF(BE23="","",IF(AND($AG$3=$AG$1,BE23&lt;=$AZ$1),0,IF(Main!$C$26="UGC",0,IF(OR(BD23&lt;DATE(2010,4,1),BW23=3,BG23=VLOOKUP(BG23,'IN RPS-2015'!$I$2:$J$5,1)),0,ROUND(IF(BW23=2,IF(BE23&lt;$J$152,Main!$L$9,Main!$CI$3)/2,IF(BE23&lt;$J$152,Main!$L$9,Main!$CI$3))*(DAY(BF23)-DAY(BE23)+1)/DAY(EOMONTH(BE23,0)),0)))))</f>
        <v/>
      </c>
      <c r="BR23" s="461"/>
      <c r="BS23" s="461" t="str">
        <f>IF(BE23="","",IF(AND($AG$3=$AG$1,BE23&lt;=$AZ$1),0,IF(Main!$C$26="UGC",0,IF(OR(BW23=3,BG23=VLOOKUP(BG23,'IN RPS-2015'!$I$2:$J$5,1)),0,ROUND(IF(BW23=2,VLOOKUP(BH23,IF(BE23&lt;$J$152,$A$154:$E$159,$F$154:$J$159),IF($B$10=VLOOKUP(BD23,$B$2:$G$4,6,TRUE),2,IF($B$10=VLOOKUP(BD23,$B$2:$G$4,6,TRUE),3,IF($D$10=VLOOKUP(BD23,$B$2:$G$4,6,TRUE),4,5))))/2,VLOOKUP(BH23,IF(BE23&lt;$J$152,$A$154:$E$159,$F$154:$J$159),IF($B$10=VLOOKUP(BD23,$B$2:$G$4,6,TRUE),2,IF($B$10=VLOOKUP(BD23,$B$2:$G$4,6,TRUE),3,IF($D$10=VLOOKUP(BD23,$B$2:$G$4,6,TRUE),4,5)))))*(DAY(BF23)-DAY(BE23)+1)/DAY(EOMONTH(BE23,0)),0)))))</f>
        <v/>
      </c>
      <c r="BT23" s="461">
        <f t="shared" si="69"/>
        <v>0</v>
      </c>
      <c r="BU23" s="464" t="str">
        <f>IF(BE23="","",IF(AND($AG$3=$AG$1,BE23&lt;=$AZ$1),0,IF(AND(Main!$F$22=Main!$CA$24,BE23&gt;$AZ$1),ROUND(SUM(BH23,BJ23)*10%,0),"")))</f>
        <v/>
      </c>
      <c r="BV23" s="464" t="str">
        <f>IF(BD23="","",IF(AND($AG$3=$AG$1,BE23&lt;=$AZ$1),0,IF(OR(Main!$H$10=Main!$BH$4,Main!$H$10=Main!$BH$5),0,LOOKUP(BT23*DAY(EOMONTH(BE23,0))/(DAY(BF23)-DAY(BE23)+1),$H$184:$I$189))))</f>
        <v/>
      </c>
      <c r="BW23" s="503">
        <f t="shared" si="70"/>
        <v>1</v>
      </c>
      <c r="BX23" s="457">
        <f t="shared" si="71"/>
        <v>0</v>
      </c>
      <c r="BY23" s="497"/>
      <c r="BZ23" s="497"/>
      <c r="CA23" s="457"/>
      <c r="CB23" s="461"/>
      <c r="CC23" s="499" t="str">
        <f t="shared" si="57"/>
        <v/>
      </c>
      <c r="CD23" s="500" t="str">
        <f t="shared" si="86"/>
        <v/>
      </c>
      <c r="CE23" s="484" t="str">
        <f>IF(CD23="","",MIN(EOMONTH(CD23,0),VLOOKUP(CD23,'IN RPS-2015'!$O$164:$P$202,2,TRUE)-1,LOOKUP(CD23,$E$47:$F$53)-1,IF(CD23&lt;$B$2,$B$2-1,'IN RPS-2015'!$Q$9),IF(CD23&lt;$B$3,$B$3-1,'IN RPS-2015'!$Q$9),IF(CD23&lt;$B$4,$B$4-1,'IN RPS-2015'!$Q$9),LOOKUP(CD23,$H$47:$I$53)))</f>
        <v/>
      </c>
      <c r="CF23" s="490" t="str">
        <f>IF(CD23="","",VLOOKUP(CD23,'IN RPS-2015'!$T$207:$Y$222,5))</f>
        <v/>
      </c>
      <c r="CG23" s="461" t="str">
        <f t="shared" si="72"/>
        <v/>
      </c>
      <c r="CH23" s="461" t="str">
        <f>IF(CD23="","",IF(AND($CA$3=$CA$1,CD23&lt;=$CT$1),0,ROUND(IF(CV23=3,0,IF(CV23=2,IF(CF23=VLOOKUP(CF23,'IN RPS-2015'!$I$2:$J$5,1),0,Main!$H$9)/2,IF(CF23=VLOOKUP(CF23,'IN RPS-2015'!$I$2:$J$5,1),0,Main!$H$9)))*(DAY(CE23)-DAY(CD23)+1)/DAY(EOMONTH(CD23,0)),0)))</f>
        <v/>
      </c>
      <c r="CI23" s="461" t="str">
        <f>IF(CD23="","",IF(AND($CA$3=$CA$1,CD23&lt;=$CT$1),0,IF(CF23=VLOOKUP(CF23,'IN RPS-2015'!$I$2:$J$5,1),0,ROUND(CG23*VLOOKUP(CD23,$BZ$4:$CA$7,2)%,0))))</f>
        <v/>
      </c>
      <c r="CJ23" s="461" t="str">
        <f>IF(CD23="","",IF(AND($CA$3=$CA$1,CD23&lt;=$CT$1),0,IF(OR(CV23=3,CF23=VLOOKUP(CF23,'IN RPS-2015'!$I$2:$J$5,1)),0,ROUND(MIN(ROUND(CF23*VLOOKUP(CD23,$B$1:$G$4,2)%,0),VLOOKUP(CD23,$B$2:$I$4,IF($CA$3=$I$29,7,8),TRUE))*(DAY(CE23)-DAY(CD23)+1)/DAY(EOMONTH(CD23,0)),0))))</f>
        <v/>
      </c>
      <c r="CK23" s="491" t="str">
        <f>IF(CD23="","",IF(AND($CA$3=$CA$1,CD23&lt;=$CT$1),0,IF(Main!$C$26="UGC",0,IF(OR(CD23&lt;DATE(2010,4,1),$I$6=VLOOKUP(CD23,$B$2:$G$4,5,TRUE),CF23=VLOOKUP(CF23,'IN RPS-2015'!$I$2:$J$5,1)),0,ROUND(IF(CV23=3,0,IF(CV23=2,MIN(ROUND(CF23*$G$13%,0),IF(CD23&lt;$J$152,$G$14,$G$15))/2,MIN(ROUND(CF23*$G$13%,0),IF(CD23&lt;$J$152,$G$14,$G$15))))*(DAY(CE23)-DAY(CD23)+1)/DAY(EOMONTH(CD23,0)),0)))))</f>
        <v/>
      </c>
      <c r="CL23" s="461" t="str">
        <f>IF(CD23="","",IF(AND($CA$3=$CA$1,CD23&lt;=$CT$1),0,IF(Main!$C$26="UGC",0,IF(CF23=VLOOKUP(CF23,'IN RPS-2015'!$I$2:$J$5,1),0,ROUND(CG23*VLOOKUP(CD23,$BZ$11:$CA$12,2)%,0)))))</f>
        <v/>
      </c>
      <c r="CM23" s="461" t="str">
        <f>IF(CD23="","",IF(AND($CA$3=$CA$1,CD23&lt;=$CT$1),0,IF(Main!$C$26="UGC",0,IF(CD23&lt;DATE(2010,4,1),0,IF(OR(CV23=2,CV23=3,CF23=VLOOKUP(CF23,'IN RPS-2015'!$I$2:$J$5,1)),0,ROUND(IF(CD23&lt;$J$152,VLOOKUP(CD23,$B$1:$G$4,4),VLOOKUP(VLOOKUP(CD23,$B$1:$G$4,4),Main!$CE$2:$CF$5,2,FALSE))*(DAY(CE23)-DAY(CD23)+1)/DAY(EOMONTH(CD23,0)),0))))))</f>
        <v/>
      </c>
      <c r="CN23" s="461" t="str">
        <f>IF(CD23="","",IF(AND($CA$3=$CA$1,CD23&lt;=$CT$1),0,IF(OR(CV23=2,CV23=3,$D$31=$D$28,CF23=VLOOKUP(CF23,'IN RPS-2015'!$I$2:$J$5,1)),0,ROUND(MIN(VLOOKUP(CC23,$A$27:$C$29,2,TRUE),ROUND(CF23*VLOOKUP(CC23,$A$27:$C$29,3,TRUE)%,0))*IF(CC23=$A$36,$C$36,IF(CC23=$A$37,$C$37,IF(CC23=$A$38,$C$38,IF(CC23=$A$39,$C$39,IF(CC23=$A$40,$C$40,IF(CC23=$A$41,$C$41,1))))))*(DAY(CE23)-DAY(CD23)+1)/DAY(EOMONTH(CD23,0)),0))))</f>
        <v/>
      </c>
      <c r="CO23" s="461" t="str">
        <f>IF(CD23="","",IF(AND($CA$3=$CA$1,CD23&lt;=$CT$1),0,IF(Main!$C$26="UGC",0,IF(OR(CV23=3,CF23=VLOOKUP(CF23,'IN RPS-2015'!$I$2:$J$5,1)),0,ROUND(IF(CV23=2,VLOOKUP(CF23,IF($CA$3=$I$29,$A$20:$E$23,$F$144:$J$147),IF($B$19=VLOOKUP(CD23,$B$2:$G$4,3,TRUE),2,IF($C$19=VLOOKUP(CD23,$B$2:$G$4,3,TRUE),3,IF($D$19=VLOOKUP(CD23,$B$2:$G$4,3,TRUE),4,5))),TRUE),VLOOKUP(CF23,IF($CA$3=$I$29,$A$20:$E$23,$F$144:$J$147),IF($B$19=VLOOKUP(CD23,$B$2:$G$4,3,TRUE),2,IF($C$19=VLOOKUP(CD23,$B$2:$G$4,3,TRUE),3,IF($D$19=VLOOKUP(CD23,$B$2:$G$4,3,TRUE),4,5))),TRUE))*(DAY(CE23)-DAY(CD23)+1)/DAY(EOMONTH(CD23,0)),0)))))</f>
        <v/>
      </c>
      <c r="CP23" s="461" t="str">
        <f>IF(CD23="","",IF(AND($CA$3=$CA$1,CD23&lt;=$CT$1),0,IF(Main!$C$26="UGC",0,IF(OR(CC23&lt;DATE(2010,4,1),CV23=3,CF23=VLOOKUP(CF23,'IN RPS-2015'!$I$2:$J$5,1)),0,ROUND(IF(CV23=2,IF(CD23&lt;$J$152,Main!$L$9,Main!$CI$3)/2,IF(CD23&lt;$J$152,Main!$L$9,Main!$CI$3))*(DAY(CE23)-DAY(CD23)+1)/DAY(EOMONTH(CD23,0)),0)))))</f>
        <v/>
      </c>
      <c r="CQ23" s="461"/>
      <c r="CR23" s="461" t="str">
        <f>IF(CD23="","",IF(AND($CA$3=$CA$1,CD23&lt;=$CT$1),0,IF(Main!$C$26="UGC",0,IF(OR(CV23=3,CF23=VLOOKUP(CF23,'IN RPS-2015'!$I$2:$J$5,1)),0,ROUND(IF(CV23=2,VLOOKUP(CG23,IF(CD23&lt;$J$152,$A$154:$E$159,$F$154:$J$159),IF($B$10=VLOOKUP(CC23,$B$2:$G$4,6,TRUE),2,IF($B$10=VLOOKUP(CC23,$B$2:$G$4,6,TRUE),3,IF($D$10=VLOOKUP(CC23,$B$2:$G$4,6,TRUE),4,5))))/2,VLOOKUP(CG23,IF(CD23&lt;$J$152,$A$154:$E$159,$F$154:$J$159),IF($B$10=VLOOKUP(CC23,$B$2:$G$4,6,TRUE),2,IF($B$10=VLOOKUP(CC23,$B$2:$G$4,6,TRUE),3,IF($D$10=VLOOKUP(CC23,$B$2:$G$4,6,TRUE),4,5)))))*(DAY(CE23)-DAY(CD23)+1)/DAY(EOMONTH(CD23,0)),0)))))</f>
        <v/>
      </c>
      <c r="CS23" s="461">
        <f t="shared" si="73"/>
        <v>0</v>
      </c>
      <c r="CT23" s="464" t="str">
        <f>IF(CD23="","",IF(AND($CA$3=$CA$1,CD23&lt;=$CT$1),0,IF(AND(Main!$F$22=Main!$CA$24,CD23&gt;$CT$1),ROUND(SUM(CG23,CI23)*10%,0),"")))</f>
        <v/>
      </c>
      <c r="CU23" s="464" t="str">
        <f>IF(CC23="","",IF(CG23=0,0,IF(OR(Main!$H$10=Main!$BH$4,Main!$H$10=Main!$BH$5),0,LOOKUP(CS23*DAY(EOMONTH(CD23,0))/(DAY(CE23)-DAY(CD23)+1),$H$184:$I$189))))</f>
        <v/>
      </c>
      <c r="CV23" s="457">
        <f t="shared" si="74"/>
        <v>1</v>
      </c>
      <c r="CW23" s="464"/>
      <c r="CX23" s="501" t="str">
        <f t="shared" si="59"/>
        <v/>
      </c>
      <c r="CY23" s="502" t="str">
        <f t="shared" si="87"/>
        <v/>
      </c>
      <c r="CZ23" s="484" t="str">
        <f>IF(CY23="","",MIN(EOMONTH(CY23,0),VLOOKUP(CY23,'IN RPS-2015'!$O$164:$P$202,2,TRUE)-1,LOOKUP(CY23,$E$47:$F$53)-1,IF(CY23&lt;$B$2,$B$2-1,'IN RPS-2015'!$Q$9),IF(CY23&lt;$B$3,$B$3-1,'IN RPS-2015'!$Q$9),IF(CY23&lt;$B$4,$B$4-1,'IN RPS-2015'!$Q$9),LOOKUP(CY23,$H$47:$I$53)))</f>
        <v/>
      </c>
      <c r="DA23" s="493" t="str">
        <f>IF(CY23="","",VLOOKUP(CY23,'IN RPS-2015'!$T$207:$Y$222,6))</f>
        <v/>
      </c>
      <c r="DB23" s="461" t="str">
        <f t="shared" si="75"/>
        <v/>
      </c>
      <c r="DC23" s="461" t="str">
        <f>IF(CY23="","",IF(AND($CA$3=$CA$1,CY23&lt;=$CT$1),0,ROUND(IF(DQ23=3,0,IF(DQ23=2,IF(DA23=VLOOKUP(DA23,'IN RPS-2015'!$I$2:$J$5,1),0,Main!$H$9)/2,IF(DA23=VLOOKUP(DA23,'IN RPS-2015'!$I$2:$J$5,1),0,Main!$H$9)))*(DAY(CZ23)-DAY(CY23)+1)/DAY(EOMONTH(CY23,0)),0)))</f>
        <v/>
      </c>
      <c r="DD23" s="461" t="str">
        <f>IF(CY23="","",IF(AND($CA$3=$CA$1,CY23&lt;=$CT$1),0,IF(DA23=VLOOKUP(DA23,'IN RPS-2015'!$I$2:$J$5,1),0,ROUND(DB23*VLOOKUP(CY23,$BZ$4:$CA$7,2)%,0))))</f>
        <v/>
      </c>
      <c r="DE23" s="461" t="str">
        <f>IF(CY23="","",IF(AND($CA$3=$CA$1,CY23&lt;=$CT$1),0,IF(OR(DQ23=3,DA23=VLOOKUP(DA23,'IN RPS-2015'!$I$2:$J$5,1)),0,ROUND(MIN(ROUND(DA23*VLOOKUP(CY23,$B$1:$G$4,2)%,0),VLOOKUP(CY23,$B$2:$I$4,IF($CA$3=$I$29,7,8),TRUE))*(DAY(CZ23)-DAY(CY23)+1)/DAY(EOMONTH(CY23,0)),0))))</f>
        <v/>
      </c>
      <c r="DF23" s="491" t="str">
        <f>IF(CY23="","",IF(AND($CA$3=$CA$1,CY23&lt;=$CT$1),0,IF(Main!$C$26="UGC",0,IF(OR(CY23&lt;DATE(2010,4,1),$I$6=VLOOKUP(CY23,$B$2:$G$4,5,TRUE),DA23=VLOOKUP(DA23,'IN RPS-2015'!$I$2:$J$5,1)),0,ROUND(IF(DQ23=3,0,IF(DQ23=2,MIN(ROUND(DA23*$G$13%,0),IF(CY23&lt;$J$152,$G$14,$G$15))/2,MIN(ROUND(DA23*$G$13%,0),IF(CY23&lt;$J$152,$G$14,$G$15))))*(DAY(CZ23)-DAY(CY23)+1)/DAY(EOMONTH(CY23,0)),0)))))</f>
        <v/>
      </c>
      <c r="DG23" s="461" t="str">
        <f>IF(CY23="","",IF(AND($CA$3=$CA$1,CY23&lt;=$CT$1),0,IF(Main!$C$26="UGC",0,IF(DA23=VLOOKUP(DA23,'IN RPS-2015'!$I$2:$J$5,1),0,ROUND(DB23*VLOOKUP(CY23,$BZ$11:$CA$12,2)%,0)))))</f>
        <v/>
      </c>
      <c r="DH23" s="461" t="str">
        <f>IF(CY23="","",IF(AND($CA$3=$CA$1,CY23&lt;=$CT$1),0,IF(Main!$C$26="UGC",0,IF(CY23&lt;DATE(2010,4,1),0,IF(OR(DQ23=2,DQ23=3,DA23=VLOOKUP(DA23,'IN RPS-2015'!$I$2:$J$5,1)),0,ROUND(IF(CY23&lt;$J$152,VLOOKUP(CY23,$B$1:$G$4,4),VLOOKUP(VLOOKUP(CY23,$B$1:$G$4,4),Main!$CE$2:$CF$5,2,FALSE))*(DAY(CZ23)-DAY(CY23)+1)/DAY(EOMONTH(CY23,0)),0))))))</f>
        <v/>
      </c>
      <c r="DI23" s="461" t="str">
        <f>IF(CY23="","",IF(AND($CA$3=$CA$1,CY23&lt;=$CT$1),0,IF(OR(DQ23=2,DQ23=3,$D$31=$D$28,DA23=VLOOKUP(DA23,'IN RPS-2015'!$I$2:$J$5,1)),0,ROUND(MIN(VLOOKUP(CX23,$A$27:$C$29,2,TRUE),ROUND(DA23*VLOOKUP(CX23,$A$27:$C$29,3,TRUE)%,0))*IF(CX23=$A$36,$C$36,IF(CX23=$A$37,$C$37,IF(CX23=$A$38,$C$38,IF(CX23=$A$39,$C$39,IF(CX23=$A$40,$C$40,IF(CX23=$A$41,$C$41,1))))))*(DAY(CZ23)-DAY(CY23)+1)/DAY(EOMONTH(CY23,0)),0))))</f>
        <v/>
      </c>
      <c r="DJ23" s="461" t="str">
        <f>IF(CY23="","",IF(AND($CA$3=$CA$1,CY23&lt;=$CT$1),0,IF(Main!$C$26="UGC",0,IF(OR(DQ23=3,DA23=VLOOKUP(DA23,'IN RPS-2015'!$I$2:$J$5,1)),0,ROUND(IF(DQ23=2,VLOOKUP(DA23,IF($CA$3=$I$29,$A$20:$E$23,$F$144:$J$147),IF($B$19=VLOOKUP(CY23,$B$2:$G$4,3,TRUE),2,IF($C$19=VLOOKUP(CY23,$B$2:$G$4,3,TRUE),3,IF($D$19=VLOOKUP(CY23,$B$2:$G$4,3,TRUE),4,5))),TRUE),VLOOKUP(DA23,IF($CA$3=$I$29,$A$20:$E$23,$F$144:$J$147),IF($B$19=VLOOKUP(CY23,$B$2:$G$4,3,TRUE),2,IF($C$19=VLOOKUP(CY23,$B$2:$G$4,3,TRUE),3,IF($D$19=VLOOKUP(CY23,$B$2:$G$4,3,TRUE),4,5))),TRUE))*(DAY(CZ23)-DAY(CY23)+1)/DAY(EOMONTH(CY23,0)),0)))))</f>
        <v/>
      </c>
      <c r="DK23" s="461" t="str">
        <f>IF(CY23="","",IF(AND($CA$3=$CA$1,CY23&lt;=$CT$1),0,IF(Main!$C$26="UGC",0,IF(OR(CX23&lt;DATE(2010,4,1),DQ23=3,DA23=VLOOKUP(DA23,'IN RPS-2015'!$I$2:$J$5,1)),0,ROUND(IF(DQ23=2,IF(CY23&lt;$J$152,Main!$L$9,Main!$CI$3)/2,IF(CY23&lt;$J$152,Main!$L$9,Main!$CI$3))*(DAY(CZ23)-DAY(CY23)+1)/DAY(EOMONTH(CY23,0)),0)))))</f>
        <v/>
      </c>
      <c r="DL23" s="461"/>
      <c r="DM23" s="461" t="str">
        <f>IF(CY23="","",IF(AND($CA$3=$CA$1,CY23&lt;=$CT$1),0,IF(Main!$C$26="UGC",0,IF(OR(DQ23=3,DA23=VLOOKUP(DA23,'IN RPS-2015'!$I$2:$J$5,1)),0,ROUND(IF(DQ23=2,VLOOKUP(DB23,IF(CY23&lt;$J$152,$A$154:$E$159,$F$154:$J$159),IF($B$10=VLOOKUP(CX23,$B$2:$G$4,6,TRUE),2,IF($B$10=VLOOKUP(CX23,$B$2:$G$4,6,TRUE),3,IF($D$10=VLOOKUP(CX23,$B$2:$G$4,6,TRUE),4,5))))/2,VLOOKUP(DB23,IF(CY23&lt;$J$152,$A$154:$E$159,$F$154:$J$159),IF($B$10=VLOOKUP(CX23,$B$2:$G$4,6,TRUE),2,IF($B$10=VLOOKUP(CX23,$B$2:$G$4,6,TRUE),3,IF($D$10=VLOOKUP(CX23,$B$2:$G$4,6,TRUE),4,5)))))*(DAY(CZ23)-DAY(CY23)+1)/DAY(EOMONTH(CY23,0)),0)))))</f>
        <v/>
      </c>
      <c r="DN23" s="461">
        <f t="shared" si="76"/>
        <v>0</v>
      </c>
      <c r="DO23" s="464" t="str">
        <f>IF(CY23="","",IF(AND($CA$3=$CA$1,CY23&lt;=$CT$1),0,IF(AND(Main!$F$22=Main!$CA$24,CY23&gt;$CT$1),ROUND(SUM(DB23,DD23)*10%,0),"")))</f>
        <v/>
      </c>
      <c r="DP23" s="464" t="str">
        <f>IF(CX23="","",IF(AND($CA$3=$CA$1,CY23&lt;=$CT$1),0,IF(OR(Main!$H$10=Main!$BH$4,Main!$H$10=Main!$BH$5),0,LOOKUP(DN23*DAY(EOMONTH(CY23,0))/(DAY(CZ23)-DAY(CY23)+1),$H$184:$I$189))))</f>
        <v/>
      </c>
      <c r="DQ23" s="457">
        <f t="shared" si="60"/>
        <v>1</v>
      </c>
      <c r="DR23" s="457">
        <f t="shared" si="77"/>
        <v>0</v>
      </c>
      <c r="DS23" s="497"/>
      <c r="DT23" s="497"/>
      <c r="DU23" s="457"/>
      <c r="DV23" s="461"/>
      <c r="DW23" s="499" t="str">
        <f t="shared" si="61"/>
        <v/>
      </c>
      <c r="DX23" s="500" t="str">
        <f t="shared" si="88"/>
        <v/>
      </c>
      <c r="DY23" s="484" t="str">
        <f>IF(DX23="","",MIN(EOMONTH(DX23,0),VLOOKUP(DX23,'IN RPS-2015'!$O$164:$P$202,2,TRUE)-1,LOOKUP(DX23,$E$47:$F$53)-1,IF(DX23&lt;$B$2,$B$2-1,'IN RPS-2015'!$Q$9),IF(DX23&lt;$B$3,$B$3-1,'IN RPS-2015'!$Q$9),IF(DX23&lt;$B$4,$B$4-1,'IN RPS-2015'!$Q$9),LOOKUP(DX23,$H$47:$I$53)))</f>
        <v/>
      </c>
      <c r="DZ23" s="490" t="str">
        <f>IF(DX23="","",VLOOKUP(DX23,'IN RPS-2015'!$P$164:$AA$202,11))</f>
        <v/>
      </c>
      <c r="EA23" s="461" t="str">
        <f t="shared" si="78"/>
        <v/>
      </c>
      <c r="EB23" s="461" t="str">
        <f>IF(DX23="","",ROUND(IF(EP23=3,0,IF(EP23=2,IF(DZ23=VLOOKUP(DZ23,'IN RPS-2015'!$I$2:$J$5,1),0,Main!$H$9)/2,IF(DZ23=VLOOKUP(DZ23,'IN RPS-2015'!$I$2:$J$5,1),0,Main!$H$9)))*(DAY(DY23)-DAY(DX23)+1)/DAY(EOMONTH(DX23,0)),0))</f>
        <v/>
      </c>
      <c r="EC23" s="461" t="str">
        <f>IF(DX23="","",IF(DZ23=VLOOKUP(DZ23,'IN RPS-2015'!$I$2:$J$5,1),0,ROUND(EA23*VLOOKUP(DX23,$DT$4:$DU$7,2)%,0)))</f>
        <v/>
      </c>
      <c r="ED23" s="461" t="str">
        <f>IF(DX23="","",IF(OR(EP23=3,DZ23=VLOOKUP(DZ23,'IN RPS-2015'!$I$2:$J$5,1)),0,ROUND(MIN(ROUND(DZ23*VLOOKUP(DX23,$B$1:$G$4,2)%,0),VLOOKUP(DX23,$B$2:$I$4,IF($DU$3=$I$29,7,8),TRUE))*(DAY(DY23)-DAY(DX23)+1)/DAY(EOMONTH(DX23,0)),0)))</f>
        <v/>
      </c>
      <c r="EE23" s="491" t="str">
        <f>IF(DX23="","",IF(Main!$C$26="UGC",0,IF(OR(DX23&lt;DATE(2010,4,1),$I$6=VLOOKUP(DX23,$B$2:$G$4,5,TRUE),DZ23=VLOOKUP(DZ23,'IN RPS-2015'!$I$2:$J$5,1)),0,ROUND(IF(EP23=3,0,IF(EP23=2,MIN(ROUND(DZ23*$G$13%,0),IF(DX23&lt;$I$152,$G$14,$G$15))/2,MIN(ROUND(DZ23*$G$13%,0),IF(DX23&lt;$I$152,$G$14,$G$15))))*(DAY(DY23)-DAY(DX23)+1)/DAY(EOMONTH(DX23,0)),0))))</f>
        <v/>
      </c>
      <c r="EF23" s="461" t="str">
        <f>IF(DX23="","",IF(Main!$C$26="UGC",0,IF(DZ23=VLOOKUP(DZ23,'IN RPS-2015'!$I$2:$J$5,1),0,ROUND(EA23*VLOOKUP(DX23,$DT$11:$DU$12,2)%,0))))</f>
        <v/>
      </c>
      <c r="EG23" s="461" t="str">
        <f>IF(DX23="","",IF(Main!$C$26="UGC",0,IF(DX23&lt;DATE(2010,4,1),0,IF(OR(EP23=2,EP23=3,DZ23=VLOOKUP(DZ23,'IN RPS-2015'!$I$2:$J$5,1)),0,ROUND(IF(DX23&lt;$I$152,VLOOKUP(DX23,$B$1:$G$4,4),VLOOKUP(VLOOKUP(DX23,$B$1:$G$4,4),Main!$CE$2:$CF$5,2,FALSE))*(DAY(DY23)-DAY(DX23)+1)/DAY(EOMONTH(DX23,0)),0)))))</f>
        <v/>
      </c>
      <c r="EH23" s="461" t="str">
        <f>IF(DX23="","",IF(OR(EP23=2,EP23=3,$D$31=$D$28,DZ23=VLOOKUP(DZ23,'IN RPS-2015'!$I$2:$J$5,1)),0,ROUND(MIN(IF(DX23&lt;$I$152,900,1350),ROUND(DZ23*VLOOKUP(DW23,$A$27:$C$29,3,TRUE)%,0))*IF(DW23=$A$36,$C$36,IF(DW23=$A$37,$C$37,IF(DW23=$A$38,$C$38,IF(DW23=$A$39,$C$39,IF(DW23=$A$40,$C$40,IF(DW23=$A$41,$C$41,1))))))*(DAY(DY23)-DAY(DX23)+1)/DAY(EOMONTH(DX23,0)),0)))</f>
        <v/>
      </c>
      <c r="EI23" s="461" t="str">
        <f>IF(DX23="","",IF(Main!$C$26="UGC",0,IF(OR(EP23=3,DZ23=VLOOKUP(DZ23,'IN RPS-2015'!$I$2:$J$5,1)),0,ROUND(IF(EP23=2,VLOOKUP(DZ23,IF($DU$3=$I$29,$A$20:$E$23,$F$144:$J$147),IF($B$19=VLOOKUP(DX23,$B$2:$G$4,3,TRUE),2,IF($C$19=VLOOKUP(DX23,$B$2:$G$4,3,TRUE),3,IF($D$19=VLOOKUP(DX23,$B$2:$G$4,3,TRUE),4,5))),TRUE),VLOOKUP(DZ23,IF($DU$3=$I$29,$A$20:$E$23,$F$144:$J$147),IF($B$19=VLOOKUP(DX23,$B$2:$G$4,3,TRUE),2,IF($C$19=VLOOKUP(DX23,$B$2:$G$4,3,TRUE),3,IF($D$19=VLOOKUP(DX23,$B$2:$G$4,3,TRUE),4,5))),TRUE))*(DAY(DY23)-DAY(DX23)+1)/DAY(EOMONTH(DX23,0)),0))))</f>
        <v/>
      </c>
      <c r="EJ23" s="461" t="str">
        <f>IF(DX23="","",IF(Main!$C$26="UGC",0,IF(OR(DW23&lt;DATE(2010,4,1),EP23=3,DZ23=VLOOKUP(DZ23,'IN RPS-2015'!$I$2:$J$5,1)),0,ROUND(IF(EP23=2,IF(DX23&lt;$I$152,Main!$L$9,Main!$CI$3)/2,IF(DX23&lt;$I$152,Main!$L$9,Main!$CI$3))*(DAY(DY23)-DAY(DX23)+1)/DAY(EOMONTH(DX23,0)),0))))</f>
        <v/>
      </c>
      <c r="EK23" s="461"/>
      <c r="EL23" s="461" t="str">
        <f>IF(DX23="","",IF(Main!$C$26="UGC",0,IF(OR(EP23=3,DZ23=VLOOKUP(DZ23,'IN RPS-2015'!$I$2:$J$5,1)),0,ROUND(IF(EP23=2,VLOOKUP(EA23,IF(DX23&lt;$I$152,$A$154:$E$159,$F$154:$J$159),IF($B$10=VLOOKUP(DW23,$B$2:$G$4,6,TRUE),2,IF($B$10=VLOOKUP(DW23,$B$2:$G$4,6,TRUE),3,IF($D$10=VLOOKUP(DW23,$B$2:$G$4,6,TRUE),4,5))))/2,VLOOKUP(EA23,IF(DX23&lt;$I$152,$A$154:$E$159,$F$154:$J$159),IF($B$10=VLOOKUP(DW23,$B$2:$G$4,6,TRUE),2,IF($B$10=VLOOKUP(DW23,$B$2:$G$4,6,TRUE),3,IF($D$10=VLOOKUP(DW23,$B$2:$G$4,6,TRUE),4,5)))))*(DAY(DY23)-DAY(DX23)+1)/DAY(EOMONTH(DX23,0)),0))))</f>
        <v/>
      </c>
      <c r="EM23" s="461">
        <f t="shared" si="79"/>
        <v>0</v>
      </c>
      <c r="EN23" s="464" t="str">
        <f>IF(DX23="","",IF(AND(Main!$F$22=Main!$CA$24,DX23&gt;$EN$1),ROUND(SUM(EA23,EC23)*10%,0),""))</f>
        <v/>
      </c>
      <c r="EO23" s="464" t="str">
        <f>IF(DW23="","",IF(EA23=0,0,IF(OR(Main!$H$10=Main!$BH$4,Main!$H$10=Main!$BH$5),0,LOOKUP(EM23*DAY(EOMONTH(DX23,0))/(DAY(DY23)-DAY(DX23)+1),$H$184:$I$189))))</f>
        <v/>
      </c>
      <c r="EP23" s="457">
        <f t="shared" si="62"/>
        <v>1</v>
      </c>
      <c r="ER23" s="497"/>
      <c r="ET23" s="461"/>
      <c r="EU23" s="499" t="str">
        <f t="shared" si="63"/>
        <v/>
      </c>
      <c r="EV23" s="500" t="str">
        <f t="shared" si="89"/>
        <v/>
      </c>
      <c r="EW23" s="484" t="str">
        <f>IF(EV23="","",MIN(EOMONTH(EV23,0),VLOOKUP(EV23,'IN RPS-2015'!$O$164:$P$202,2,TRUE)-1,LOOKUP(EV23,$E$47:$F$53)-1,IF(EV23&lt;$B$2,$B$2-1,'IN RPS-2015'!$Q$9),IF(EV23&lt;$B$3,$B$3-1,'IN RPS-2015'!$Q$9),IF(EV23&lt;$B$4,$B$4-1,'IN RPS-2015'!$Q$9),LOOKUP(EV23,$H$47:$I$53)))</f>
        <v/>
      </c>
      <c r="EX23" s="490" t="str">
        <f>IF(EV23="","",VLOOKUP(EV23,'IN RPS-2015'!$P$164:$AA$202,12))</f>
        <v/>
      </c>
      <c r="EY23" s="461" t="str">
        <f t="shared" si="80"/>
        <v/>
      </c>
      <c r="EZ23" s="461" t="str">
        <f>IF(EV23="","",ROUND(IF(FN23=3,0,IF(FN23=2,IF(EX23=VLOOKUP(EX23,'IN RPS-2015'!$I$2:$J$5,1),0,Main!$H$9)/2,IF(EX23=VLOOKUP(EX23,'IN RPS-2015'!$I$2:$J$5,1),0,Main!$H$9)))*(DAY(EW23)-DAY(EV23)+1)/DAY(EOMONTH(EV23,0)),0))</f>
        <v/>
      </c>
      <c r="FA23" s="461" t="str">
        <f>IF(EV23="","",IF(EX23=VLOOKUP(EX23,'IN RPS-2015'!$I$2:$J$5,1),0,ROUND(EY23*VLOOKUP(EV23,$ER$4:$ES$7,2)%,0)))</f>
        <v/>
      </c>
      <c r="FB23" s="461" t="str">
        <f>IF(EV23="","",IF(OR(FN23=3,EX23=VLOOKUP(EX23,'IN RPS-2015'!$I$2:$J$5,1)),0,ROUND(MIN(ROUND(EX23*VLOOKUP(EV23,$B$1:$G$4,2)%,0),VLOOKUP(EV23,$B$2:$I$4,IF($ES$3=$I$29,7,8),TRUE))*(DAY(EW23)-DAY(EV23)+1)/DAY(EOMONTH(EV23,0)),0)))</f>
        <v/>
      </c>
      <c r="FC23" s="491" t="str">
        <f>IF(EV23="","",IF(Main!$C$26="UGC",0,IF(OR(EV23&lt;DATE(2010,4,1),$I$6=VLOOKUP(EV23,$B$2:$G$4,5,TRUE),EX23=VLOOKUP(EX23,'IN RPS-2015'!$I$2:$J$5,1)),0,ROUND(IF(FN23=3,0,IF(FN23=2,MIN(ROUND(EX23*$G$13%,0),IF(EV23&lt;$J$152,$G$14,$G$15))/2,MIN(ROUND(EX23*$G$13%,0),IF(EV23&lt;$J$152,$G$14,$G$15))))*(DAY(EW23)-DAY(EV23)+1)/DAY(EOMONTH(EV23,0)),0))))</f>
        <v/>
      </c>
      <c r="FD23" s="461" t="str">
        <f>IF(EV23="","",IF(Main!$C$26="UGC",0,IF(EX23=VLOOKUP(EX23,'IN RPS-2015'!$I$2:$J$5,1),0,ROUND(EY23*VLOOKUP(EV23,$ER$11:$ES$12,2)%,0))))</f>
        <v/>
      </c>
      <c r="FE23" s="461" t="str">
        <f>IF(EV23="","",IF(Main!$C$26="UGC",0,IF(EV23&lt;DATE(2010,4,1),0,IF(OR(FN23=2,FN23=3,EX23=VLOOKUP(EX23,'IN RPS-2015'!$I$2:$J$5,1)),0,ROUND(IF(EV23&lt;$J$152,VLOOKUP(EV23,$B$1:$G$4,4),VLOOKUP(VLOOKUP(EV23,$B$1:$G$4,4),Main!$CE$2:$CF$5,2,FALSE))*(DAY(EW23)-DAY(EV23)+1)/DAY(EOMONTH(EV23,0)),0)))))</f>
        <v/>
      </c>
      <c r="FF23" s="461" t="str">
        <f>IF(EV23="","",IF(OR(FN23=2,FN23=3,$D$31=$D$28,EX23=VLOOKUP(EX23,'IN RPS-2015'!$I$2:$J$5,1)),0,ROUND(MIN(VLOOKUP(EU23,$A$27:$C$29,2,TRUE),ROUND(EX23*VLOOKUP(EU23,$A$27:$C$29,3,TRUE)%,0))*IF(EU23=$A$36,$C$36,IF(EU23=$A$37,$C$37,IF(EU23=$A$38,$C$38,IF(EU23=$A$39,$C$39,IF(EU23=$A$40,$C$40,IF(EU23=$A$41,$C$41,1))))))*(DAY(EW23)-DAY(EV23)+1)/DAY(EOMONTH(EV23,0)),0)))</f>
        <v/>
      </c>
      <c r="FG23" s="461" t="str">
        <f>IF(EV23="","",IF(Main!$C$26="UGC",0,IF(OR(FN23=3,EX23=VLOOKUP(EX23,'IN RPS-2015'!$I$2:$J$5,1)),0,ROUND(IF(FN23=2,VLOOKUP(EX23,IF($ES$3=$I$29,$A$20:$E$23,$F$144:$J$147),IF($B$19=VLOOKUP(EV23,$B$2:$G$4,3,TRUE),2,IF($C$19=VLOOKUP(EV23,$B$2:$G$4,3,TRUE),3,IF($D$19=VLOOKUP(EV23,$B$2:$G$4,3,TRUE),4,5))),TRUE),VLOOKUP(EX23,IF($ES$3=$I$29,$A$20:$E$23,$F$144:$J$147),IF($B$19=VLOOKUP(EV23,$B$2:$G$4,3,TRUE),2,IF($C$19=VLOOKUP(EV23,$B$2:$G$4,3,TRUE),3,IF($D$19=VLOOKUP(EV23,$B$2:$G$4,3,TRUE),4,5))),TRUE))*(DAY(EW23)-DAY(EV23)+1)/DAY(EOMONTH(EV23,0)),0))))</f>
        <v/>
      </c>
      <c r="FH23" s="461" t="str">
        <f>IF(EV23="","",IF(Main!$C$26="UGC",0,IF(OR(EU23&lt;DATE(2010,4,1),FN23=3,EX23=VLOOKUP(EX23,'IN RPS-2015'!$I$2:$J$5,1)),0,ROUND(IF(FN23=2,IF(EV23&lt;$J$152,Main!$L$9,Main!$CI$3)/2,IF(EV23&lt;$J$152,Main!$L$9,Main!$CI$3))*(DAY(EW23)-DAY(EV23)+1)/DAY(EOMONTH(EV23,0)),0))))</f>
        <v/>
      </c>
      <c r="FI23" s="461"/>
      <c r="FJ23" s="461" t="str">
        <f>IF(EV23="","",IF(Main!$C$26="UGC",0,IF(OR(FN23=3,EX23=VLOOKUP(EX23,'IN RPS-2015'!$I$2:$J$5,1)),0,ROUND(IF(FN23=2,VLOOKUP(EY23,IF(EV23&lt;$J$152,$A$154:$E$159,$F$154:$J$159),IF($B$10=VLOOKUP(EU23,$B$2:$G$4,6,TRUE),2,IF($B$10=VLOOKUP(EU23,$B$2:$G$4,6,TRUE),3,IF($D$10=VLOOKUP(EU23,$B$2:$G$4,6,TRUE),4,5))))/2,VLOOKUP(EY23,IF(EV23&lt;$J$152,$A$154:$E$159,$F$154:$J$159),IF($B$10=VLOOKUP(EU23,$B$2:$G$4,6,TRUE),2,IF($B$10=VLOOKUP(EU23,$B$2:$G$4,6,TRUE),3,IF($D$10=VLOOKUP(EU23,$B$2:$G$4,6,TRUE),4,5)))))*(DAY(EW23)-DAY(EV23)+1)/DAY(EOMONTH(EV23,0)),0))))</f>
        <v/>
      </c>
      <c r="FK23" s="461">
        <f t="shared" si="81"/>
        <v>0</v>
      </c>
      <c r="FL23" s="464" t="str">
        <f>IF(EV23="","",IF(AND(Main!$F$22=Main!$CA$24,EV23&gt;$FL$1),ROUND(SUM(EY23,FA23)*10%,0),""))</f>
        <v/>
      </c>
      <c r="FM23" s="464" t="str">
        <f>IF(EU23="","",IF(EY23=0,0,IF(OR(Main!$H$10=Main!$BH$4,Main!$H$10=Main!$BH$5),0,LOOKUP(FK23*DAY(EOMONTH(EV23,0))/(DAY(EW23)-DAY(EV23)+1),$H$184:$I$189))))</f>
        <v/>
      </c>
      <c r="FN23" s="457">
        <f t="shared" si="64"/>
        <v>1</v>
      </c>
    </row>
    <row r="24" spans="1:170">
      <c r="F24" s="459">
        <f>IF(Main!H11=Main!BC4,Main!L11,'IN RPS-2015'!C9)</f>
        <v>42461</v>
      </c>
      <c r="G24" s="510">
        <f>IF(Main!H11=Main!BC4,Main!M11,0)</f>
        <v>0</v>
      </c>
      <c r="K24" s="494" t="str">
        <f t="shared" si="65"/>
        <v/>
      </c>
      <c r="L24" s="495" t="str">
        <f t="shared" si="82"/>
        <v/>
      </c>
      <c r="M24" s="484" t="str">
        <f>IF(L24="","",MIN(EOMONTH(L24,0),VLOOKUP(L24,'IN RPS-2015'!$O$164:$P$202,2,TRUE)-1,LOOKUP(L24,$E$47:$F$53)-1,IF(L24&lt;$B$2,$B$2-1,'IN RPS-2015'!$Q$9),IF(L24&lt;$B$3,$B$3-1,'IN RPS-2015'!$Q$9),IF(L24&lt;$B$4,$B$4-1,'IN RPS-2015'!$Q$9),LOOKUP(L24,$H$47:$I$53)))</f>
        <v/>
      </c>
      <c r="N24" s="496" t="str">
        <f>IF(L24="","",VLOOKUP(L24,'Advance Tax'!$A$3:$C$14,3))</f>
        <v/>
      </c>
      <c r="O24" s="509" t="str">
        <f t="shared" si="52"/>
        <v/>
      </c>
      <c r="P24" s="497" t="str">
        <f>IF(L24="","",ROUND(IF(AD24=3,0,IF(AD24=2,IF(N24=VLOOKUP(N24,'IN RPS-2015'!$I$2:$J$5,1),0,Main!$H$9)/2,IF(N24=VLOOKUP(N24,'IN RPS-2015'!$I$2:$J$5,1),0,Main!$H$9)))*(DAY(M24)-DAY(L24)+1)/DAY(EOMONTH(L24,0)),0))</f>
        <v/>
      </c>
      <c r="Q24" s="457" t="str">
        <f>IF(L24="","",IF(N24=VLOOKUP(N24,'IN RPS-2015'!$I$2:$J$5,1),0,ROUND(O24*IF(L24&lt;Main!$C$27,VLOOKUP(L24,$H$9:$J$12,3),VLOOKUP(L24,$H$9:$J$12,2))%,0)))</f>
        <v/>
      </c>
      <c r="R24" s="457" t="str">
        <f>IF(L24="","",IF(OR(AD24=3,N24=VLOOKUP(N24,'IN RPS-2015'!$I$2:$J$5,1)),0,ROUND(MIN(ROUND(N24*VLOOKUP(L24,$B$1:$G$4,2)%,0),VLOOKUP(L24,$B$2:$I$4,IF(L24&lt;$G$7,7,8),TRUE))*(DAY(M24)-DAY(L24)+1)/DAY(EOMONTH(L24,0)),0)))</f>
        <v/>
      </c>
      <c r="S24" s="486" t="str">
        <f>IF(L24="","",IF(Main!$C$26="UGC",0,IF(OR(L24&lt;DATE(2010,4,1),$I$6=VLOOKUP(L24,$B$2:$G$4,5,TRUE),N24=VLOOKUP(N24,'IN RPS-2015'!$I$2:$J$5,1)),0,ROUND(IF(AD24=3,0,IF(AD24=2,MIN(ROUND(N24*$G$13%,0),IF(L24&lt;$J$152,$G$14,$G$15))/2,MIN(ROUND(N24*$G$13%,0),IF(L24&lt;$J$152,$G$14,$G$15))))*(DAY(M24)-DAY(L24)+1)/DAY(EOMONTH(L24,0)),0))))</f>
        <v/>
      </c>
      <c r="T24" s="457" t="str">
        <f>IF(L24="","",IF(Main!$C$26="UGC",0,IF(N24=VLOOKUP(N24,'IN RPS-2015'!$I$2:$J$5,1),0,ROUND(O24*VLOOKUP(L24,$H$205:$I$206,2)%,0))))</f>
        <v/>
      </c>
      <c r="U24" s="457" t="str">
        <f>IF(L24="","",IF(Main!$C$26="UGC",0,IF(L24&lt;DATE(2010,4,1),0,IF(OR(AD24=2,AD24=3,N24=VLOOKUP(N24,'IN RPS-2015'!$I$2:$J$5,1)),0,ROUND(IF(L24&lt;$J$152,VLOOKUP(L24,$B$1:$G$4,4),VLOOKUP(VLOOKUP(L24,$B$1:$G$4,4),Main!$CE$2:$CF$5,2,FALSE))*(DAY(M24)-DAY(L24)+1)/DAY(EOMONTH(L24,0)),0)))))</f>
        <v/>
      </c>
      <c r="V24" s="457" t="str">
        <f>IF(L24="","",IF(OR(AD24=2,AD24=3,$D$31=$D$28,N24=VLOOKUP(N24,'IN RPS-2015'!$I$2:$J$5,1)),0,ROUND(MIN(VLOOKUP(K24,$A$27:$C$29,2,TRUE),ROUND(N24*VLOOKUP(K24,$A$27:$C$29,3,TRUE)%,0))*IF(K24=$A$36,$C$36,IF(K24=$A$37,$C$37,IF(K24=$A$38,$C$38,IF(K24=$A$39,$C$39,IF(K24=$A$40,$C$40,IF(K24=$A$41,$C$41,1))))))*(DAY(M24)-DAY(L24)+1)/DAY(EOMONTH(L24,0)),0)))</f>
        <v/>
      </c>
      <c r="W24" s="457" t="str">
        <f>IF(L24="","",IF(Main!$C$26="UGC",0,IF(OR(AD24=3,N24=VLOOKUP(N24,'IN RPS-2015'!$I$2:$J$5,1)),0,ROUND(IF(AD24=2,VLOOKUP(N24,IF(L24&lt;$G$7,$A$20:$E$23,$F$144:$J$147),IF($B$19=VLOOKUP(L24,$B$2:$G$4,3,TRUE),2,IF($C$19=VLOOKUP(L24,$B$2:$G$4,3,TRUE),3,IF($D$19=VLOOKUP(L24,$B$2:$G$4,3,TRUE),4,5))),TRUE),VLOOKUP(N24,IF(L24&lt;$G$7,$A$20:$E$23,$F$144:$J$147),IF($B$19=VLOOKUP(L24,$B$2:$G$4,3,TRUE),2,IF($C$19=VLOOKUP(L24,$B$2:$G$4,3,TRUE),3,IF($D$19=VLOOKUP(L24,$B$2:$G$4,3,TRUE),4,5))),TRUE))*(DAY(M24)-DAY(L24)+1)/DAY(EOMONTH(L24,0)),0))))</f>
        <v/>
      </c>
      <c r="X24" s="457" t="str">
        <f>IF(L24="","",IF(Main!$C$26="UGC",0,IF(OR(K24&lt;DATE(2010,4,1),AD24=3,N24=VLOOKUP(N24,'IN RPS-2015'!$I$2:$J$5,1)),0,ROUND(IF(AD24=2,IF(L24&lt;$J$152,Main!$L$9,Main!$CI$3)/2,IF(L24&lt;$J$152,Main!$L$9,Main!$CI$3))*(DAY(M24)-DAY(L24)+1)/DAY(EOMONTH(L24,0)),0))))</f>
        <v/>
      </c>
      <c r="Y24" s="497"/>
      <c r="Z24" s="457" t="str">
        <f>IF(L24="","",IF(Main!$C$26="UGC",0,IF(OR(AD24=3,N24=VLOOKUP(N24,'IN RPS-2015'!$I$2:$J$5,1)),0,ROUND(IF(AD24=2,VLOOKUP(O24,IF(L24&lt;$J$152,$A$154:$E$159,$F$154:$J$159),IF($B$10=VLOOKUP(K24,$B$2:$G$4,6,TRUE),2,IF($B$10=VLOOKUP(K24,$B$2:$G$4,6,TRUE),3,IF($D$10=VLOOKUP(K24,$B$2:$G$4,6,TRUE),4,5))))/2,VLOOKUP(O24,IF(L24&lt;$J$152,$A$154:$E$159,$F$154:$J$159),IF($B$10=VLOOKUP(K24,$B$2:$G$4,6,TRUE),2,IF($B$10=VLOOKUP(K24,$B$2:$G$4,6,TRUE),3,IF($D$10=VLOOKUP(K24,$B$2:$G$4,6,TRUE),4,5)))))*(DAY(M24)-DAY(L24)+1)/DAY(EOMONTH(L24,0)),0))))</f>
        <v/>
      </c>
      <c r="AA24" s="497">
        <f t="shared" si="83"/>
        <v>0</v>
      </c>
      <c r="AB24" s="497"/>
      <c r="AC24" s="497"/>
      <c r="AD24" s="497">
        <f t="shared" si="53"/>
        <v>1</v>
      </c>
      <c r="AE24" s="497"/>
      <c r="AF24" s="497"/>
      <c r="AH24" s="461"/>
      <c r="AI24" s="499" t="str">
        <f t="shared" si="54"/>
        <v/>
      </c>
      <c r="AJ24" s="500" t="str">
        <f t="shared" si="84"/>
        <v/>
      </c>
      <c r="AK24" s="484" t="str">
        <f>IF(AJ24="","",MIN(EOMONTH(AJ24,0),VLOOKUP(AJ24,'IN RPS-2015'!$O$164:$P$202,2,TRUE)-1,LOOKUP(AJ24,$E$47:$F$53)-1,IF(AJ24&lt;$B$2,$B$2-1,'IN RPS-2015'!$Q$9),IF(AJ24&lt;$B$3,$B$3-1,'IN RPS-2015'!$Q$9),IF(AJ24&lt;$B$4,$B$4-1,'IN RPS-2015'!$Q$9),LOOKUP(AJ24,$H$47:$I$53)))</f>
        <v/>
      </c>
      <c r="AL24" s="490" t="str">
        <f>IF(AJ24="","",VLOOKUP(AJ24,'IN RPS-2015'!$P$164:$AA$202,9))</f>
        <v/>
      </c>
      <c r="AM24" s="461" t="str">
        <f t="shared" si="66"/>
        <v/>
      </c>
      <c r="AN24" s="461" t="str">
        <f>IF(AJ24="","",IF(AND($AG$3=$AG$1,AJ24&lt;=$AZ$1),0,ROUND(IF(BB24=3,0,IF(BB24=2,IF(AL24=VLOOKUP(AL24,'IN RPS-2015'!$I$2:$J$5,1),0,Main!$H$9)/2,IF(AL24=VLOOKUP(AL24,'IN RPS-2015'!$I$2:$J$5,1),0,Main!$H$9)))*(DAY(AK24)-DAY(AJ24)+1)/DAY(EOMONTH(AJ24,0)),0)))</f>
        <v/>
      </c>
      <c r="AO24" s="461" t="str">
        <f>IF(AJ24="","",IF(AND($AG$3=$AG$1,AJ24&lt;=$AZ$1),0,IF(AL24=VLOOKUP(AL24,'IN RPS-2015'!$I$2:$J$5,1),0,ROUND(AM24*VLOOKUP(AJ24,$AF$4:$AG$7,2)%,0))))</f>
        <v/>
      </c>
      <c r="AP24" s="461" t="str">
        <f>IF(AJ24="","",IF(AND($AG$3=$AG$1,AJ24&lt;=$AZ$1),0,IF(OR(BB24=3,AL24=VLOOKUP(AL24,'IN RPS-2015'!$I$2:$J$5,1)),0,ROUND(MIN(ROUND(AL24*VLOOKUP(AJ24,$B$1:$G$4,2)%,0),VLOOKUP(AJ24,$B$2:$I$4,IF($AG$3=$I$29,7,8),TRUE))*(DAY(AK24)-DAY(AJ24)+1)/DAY(EOMONTH(AJ24,0)),0))))</f>
        <v/>
      </c>
      <c r="AQ24" s="491" t="str">
        <f>IF(AJ24="","",IF(AND($AG$3=$AG$1,AJ24&lt;=$AZ$1),0,IF(Main!$C$26="UGC",0,IF(OR(AJ24&lt;DATE(2010,4,1),$I$6=VLOOKUP(AJ24,$B$2:$G$4,5,TRUE),AL24=VLOOKUP(AL24,'IN RPS-2015'!$I$2:$J$5,1)),0,ROUND(IF(BB24=3,0,IF(BB24=2,MIN(ROUND(AL24*$G$13%,0),IF(AJ24&lt;$J$152,$G$14,$G$15))/2,MIN(ROUND(AL24*$G$13%,0),IF(AJ24&lt;$J$152,$G$14,$G$15))))*(DAY(AK24)-DAY(AJ24)+1)/DAY(EOMONTH(AJ24,0)),0)))))</f>
        <v/>
      </c>
      <c r="AR24" s="461" t="str">
        <f>IF(AJ24="","",IF(AND($AG$3=$AG$1,AJ24&lt;=$AZ$1),0,IF(Main!$C$26="UGC",0,IF(AL24=VLOOKUP(AL24,'IN RPS-2015'!$I$2:$J$5,1),0,ROUND(AM24*VLOOKUP(AJ24,$AF$11:$AG$12,2)%,0)))))</f>
        <v/>
      </c>
      <c r="AS24" s="461" t="str">
        <f>IF(AJ24="","",IF(AND($AG$3=$AG$1,AJ24&lt;=$AZ$1),0,IF(Main!$C$26="UGC",0,IF(AJ24&lt;DATE(2010,4,1),0,IF(OR(BB24=2,BB24=3,AL24=VLOOKUP(AL24,'IN RPS-2015'!$I$2:$J$5,1)),0,ROUND(IF(AJ24&lt;$J$152,VLOOKUP(AJ24,$B$1:$G$4,4),VLOOKUP(VLOOKUP(AJ24,$B$1:$G$4,4),Main!$CE$2:$CF$5,2,FALSE))*(DAY(AK24)-DAY(AJ24)+1)/DAY(EOMONTH(AJ24,0)),0))))))</f>
        <v/>
      </c>
      <c r="AT24" s="461" t="str">
        <f>IF(AJ24="","",IF(AND($AG$3=$AG$1,AJ24&lt;=$AZ$1),0,IF(OR(BB24=2,BB24=3,$D$31=$D$28,AL24=VLOOKUP(AL24,'IN RPS-2015'!$I$2:$J$5,1)),0,ROUND(MIN(VLOOKUP(AI24,$A$27:$C$29,2,TRUE),ROUND(AL24*VLOOKUP(AI24,$A$27:$C$29,3,TRUE)%,0))*IF(AI24=$A$36,$C$36,IF(AI24=$A$37,$C$37,IF(AI24=$A$38,$C$38,IF(AI24=$A$39,$C$39,IF(AI24=$A$40,$C$40,IF(AI24=$A$41,$C$41,1))))))*(DAY(AK24)-DAY(AJ24)+1)/DAY(EOMONTH(AJ24,0)),0))))</f>
        <v/>
      </c>
      <c r="AU24" s="461" t="str">
        <f>IF(AJ24="","",IF(AND($AG$3=$AG$1,AJ24&lt;=$AZ$1),0,IF(Main!$C$26="UGC",0,IF(OR(BB24=3,AL24=VLOOKUP(AL24,'IN RPS-2015'!$I$2:$J$5,1)),0,ROUND(IF(BB24=2,VLOOKUP(AL24,IF($AG$3=$I$29,$A$20:$E$23,$F$144:$J$147),IF($B$19=VLOOKUP(AJ24,$B$2:$G$4,3,TRUE),2,IF($C$19=VLOOKUP(AJ24,$B$2:$G$4,3,TRUE),3,IF($D$19=VLOOKUP(AJ24,$B$2:$G$4,3,TRUE),4,5))),TRUE),VLOOKUP(AL24,IF($AG$3=$I$29,$A$20:$E$23,$F$144:$J$147),IF($B$19=VLOOKUP(AJ24,$B$2:$G$4,3,TRUE),2,IF($C$19=VLOOKUP(AJ24,$B$2:$G$4,3,TRUE),3,IF($D$19=VLOOKUP(AJ24,$B$2:$G$4,3,TRUE),4,5))),TRUE))*(DAY(AK24)-DAY(AJ24)+1)/DAY(EOMONTH(AJ24,0)),0)))))</f>
        <v/>
      </c>
      <c r="AV24" s="461" t="str">
        <f>IF(AJ24="","",IF(AND($AG$3=$AG$1,AJ24&lt;=$AZ$1),0,IF(Main!$C$26="UGC",0,IF(OR(AI24&lt;DATE(2010,4,1),BB24=3,AL24=VLOOKUP(AL24,'IN RPS-2015'!$I$2:$J$5,1)),0,ROUND(IF(BB24=2,IF(AJ24&lt;$J$152,Main!$L$9,Main!$CI$3)/2,IF(AJ24&lt;$J$152,Main!$L$9,Main!$CI$3))*(DAY(AK24)-DAY(AJ24)+1)/DAY(EOMONTH(AJ24,0)),0)))))</f>
        <v/>
      </c>
      <c r="AW24" s="461"/>
      <c r="AX24" s="461" t="str">
        <f>IF(AJ24="","",IF(AND($AG$3=$AG$1,AJ24&lt;=$AZ$1),0,IF(Main!$C$26="UGC",0,IF(OR(BB24=3,AL24=VLOOKUP(AL24,'IN RPS-2015'!$I$2:$J$5,1)),0,ROUND(IF(BB24=2,VLOOKUP(AM24,IF(AJ24&lt;$J$152,$A$154:$E$159,$F$154:$J$159),IF($B$10=VLOOKUP(AI24,$B$2:$G$4,6,TRUE),2,IF($B$10=VLOOKUP(AI24,$B$2:$G$4,6,TRUE),3,IF($D$10=VLOOKUP(AI24,$B$2:$G$4,6,TRUE),4,5))))/2,VLOOKUP(AM24,IF(AJ24&lt;$J$152,$A$154:$E$159,$F$154:$J$159),IF($B$10=VLOOKUP(AI24,$B$2:$G$4,6,TRUE),2,IF($B$10=VLOOKUP(AI24,$B$2:$G$4,6,TRUE),3,IF($D$10=VLOOKUP(AI24,$B$2:$G$4,6,TRUE),4,5)))))*(DAY(AK24)-DAY(AJ24)+1)/DAY(EOMONTH(AJ24,0)),0)))))</f>
        <v/>
      </c>
      <c r="AY24" s="461">
        <f t="shared" si="67"/>
        <v>0</v>
      </c>
      <c r="AZ24" s="464" t="str">
        <f>IF(AJ24="","",IF(AND($AG$3=$AG$1,AJ24&lt;=$AZ$1),0,IF(AND(Main!$F$22=Main!$CA$24,AJ24&gt;$AZ$1),ROUND(SUM(AM24,AO24)*10%,0),"")))</f>
        <v/>
      </c>
      <c r="BA24" s="464" t="str">
        <f>IF(AI24="","",IF(AND($AG$3=$AG$1,AJ24&lt;=$AZ$1),0,IF(OR(Main!$H$10=Main!$BH$4,Main!$H$10=Main!$BH$5),0,LOOKUP(AY24*DAY(EOMONTH(AJ24,0))/(DAY(AK24)-DAY(AJ24)+1),$H$184:$I$189))))</f>
        <v/>
      </c>
      <c r="BB24" s="497">
        <f t="shared" si="55"/>
        <v>1</v>
      </c>
      <c r="BC24" s="464"/>
      <c r="BD24" s="501" t="str">
        <f t="shared" si="56"/>
        <v/>
      </c>
      <c r="BE24" s="502" t="str">
        <f t="shared" si="85"/>
        <v/>
      </c>
      <c r="BF24" s="484" t="str">
        <f>IF(BE24="","",MIN(EOMONTH(BE24,0),VLOOKUP(BE24,'IN RPS-2015'!$O$164:$P$202,2,TRUE)-1,LOOKUP(BE24,$E$47:$F$53)-1,IF(BE24&lt;$B$2,$B$2-1,'IN RPS-2015'!$Q$9),IF(BE24&lt;$B$3,$B$3-1,'IN RPS-2015'!$Q$9),IF(BE24&lt;$B$4,$B$4-1,'IN RPS-2015'!$Q$9),LOOKUP(BE24,$H$47:$I$53)))</f>
        <v/>
      </c>
      <c r="BG24" s="493" t="str">
        <f>IF(BE24="","",VLOOKUP(BE24,'IN RPS-2015'!$P$164:$AA$202,10))</f>
        <v/>
      </c>
      <c r="BH24" s="461" t="str">
        <f t="shared" si="68"/>
        <v/>
      </c>
      <c r="BI24" s="461" t="str">
        <f>IF(BE24="","",IF(AND($AG$3=$AG$1,BE24&lt;=$AZ$1),0,ROUND(IF(BW24=3,0,IF(BW24=2,IF(BG24=VLOOKUP(BG24,'IN RPS-2015'!$I$2:$J$5,1),0,Main!$H$9)/2,IF(BG24=VLOOKUP(BG24,'IN RPS-2015'!$I$2:$J$5,1),0,Main!$H$9)))*(DAY(BF24)-DAY(BE24)+1)/DAY(EOMONTH(BE24,0)),0)))</f>
        <v/>
      </c>
      <c r="BJ24" s="461" t="str">
        <f>IF(BE24="","",IF(AND($AG$3=$AG$1,BE24&lt;=$AZ$1),0,IF(BG24=VLOOKUP(BG24,'IN RPS-2015'!$I$2:$J$5,1),0,ROUND(BH24*VLOOKUP(BE24,$AF$4:$AG$7,2)%,0))))</f>
        <v/>
      </c>
      <c r="BK24" s="461" t="str">
        <f>IF(BE24="","",IF(AND($AG$3=$AG$1,BE24&lt;=$AZ$1),0,IF(OR(BW24=3,BG24=VLOOKUP(BG24,'IN RPS-2015'!$I$2:$J$5,1)),0,ROUND(MIN(ROUND(BG24*VLOOKUP(BE24,$B$1:$G$4,2)%,0),VLOOKUP(BE24,$B$2:$I$4,IF($AG$3=$I$29,7,8),TRUE))*(DAY(BF24)-DAY(BE24)+1)/DAY(EOMONTH(BE24,0)),0))))</f>
        <v/>
      </c>
      <c r="BL24" s="491" t="str">
        <f>IF(BE24="","",IF(AND($AG$3=$AG$1,BE24&lt;=$AZ$1),0,IF(Main!$C$26="UGC",0,IF(OR(BE24&lt;DATE(2010,4,1),$I$6=VLOOKUP(BE24,$B$2:$G$4,5,TRUE),BG24=VLOOKUP(BG24,'IN RPS-2015'!$I$2:$J$5,1)),0,ROUND(IF(BW24=3,0,IF(BW24=2,MIN(ROUND(BG24*$G$13%,0),IF(BE24&lt;$J$152,$G$14,$G$15))/2,MIN(ROUND(BG24*$G$13%,0),IF(BE24&lt;$J$152,$G$14,$G$15))))*(DAY(BF24)-DAY(BE24)+1)/DAY(EOMONTH(BE24,0)),0)))))</f>
        <v/>
      </c>
      <c r="BM24" s="461" t="str">
        <f>IF(BE24="","",IF(AND($AG$3=$AG$1,BE24&lt;=$AZ$1),0,IF(Main!$C$26="UGC",0,IF(BG24=VLOOKUP(BG24,'IN RPS-2015'!$I$2:$J$5,1),0,ROUND(BH24*VLOOKUP(BE24,$AF$11:$AG$12,2)%,0)))))</f>
        <v/>
      </c>
      <c r="BN24" s="461" t="str">
        <f>IF(BE24="","",IF(AND($AG$3=$AG$1,BE24&lt;=$AZ$1),0,IF(Main!$C$26="UGC",0,IF(BE24&lt;DATE(2010,4,1),0,IF(OR(BW24=2,BW24=3,BG24=VLOOKUP(BG24,'IN RPS-2015'!$I$2:$J$5,1)),0,ROUND(IF(BE24&lt;$J$152,VLOOKUP(BE24,$B$1:$G$4,4),VLOOKUP(VLOOKUP(BE24,$B$1:$G$4,4),Main!$CE$2:$CF$5,2,FALSE))*(DAY(BF24)-DAY(BE24)+1)/DAY(EOMONTH(BE24,0)),0))))))</f>
        <v/>
      </c>
      <c r="BO24" s="461" t="str">
        <f>IF(BE24="","",IF(AND($AG$3=$AG$1,BE24&lt;=$AZ$1),0,IF(OR(BW24=2,BW24=3,$D$31=$D$28,BG24=VLOOKUP(BG24,'IN RPS-2015'!$I$2:$J$5,1)),0,ROUND(MIN(VLOOKUP(BD24,$A$27:$C$29,2,TRUE),ROUND(BG24*VLOOKUP(BD24,$A$27:$C$29,3,TRUE)%,0))*IF(BD24=$A$36,$C$36,IF(BD24=$A$37,$C$37,IF(BD24=$A$38,$C$38,IF(BD24=$A$39,$C$39,IF(BD24=$A$40,$C$40,IF(BD24=$A$41,$C$41,1))))))*(DAY(BF24)-DAY(BE24)+1)/DAY(EOMONTH(BE24,0)),0))))</f>
        <v/>
      </c>
      <c r="BP24" s="461" t="str">
        <f>IF(BE24="","",IF(AND($AG$3=$AG$1,BE24&lt;=$AZ$1),0,IF(Main!$C$26="UGC",0,IF(OR(BW24=3,BG24=VLOOKUP(BG24,'IN RPS-2015'!$I$2:$J$5,1)),0,ROUND(IF(BW24=2,VLOOKUP(BG24,IF($AG$3=$I$29,$A$20:$E$23,$F$144:$J$147),IF($B$19=VLOOKUP(BE24,$B$2:$G$4,3,TRUE),2,IF($C$19=VLOOKUP(BE24,$B$2:$G$4,3,TRUE),3,IF($D$19=VLOOKUP(BE24,$B$2:$G$4,3,TRUE),4,5))),TRUE),VLOOKUP(BG24,IF($AG$3=$I$29,$A$20:$E$23,$F$144:$J$147),IF($B$19=VLOOKUP(BE24,$B$2:$G$4,3,TRUE),2,IF($C$19=VLOOKUP(BE24,$B$2:$G$4,3,TRUE),3,IF($D$19=VLOOKUP(BE24,$B$2:$G$4,3,TRUE),4,5))),TRUE))*(DAY(BF24)-DAY(BE24)+1)/DAY(EOMONTH(BE24,0)),0)))))</f>
        <v/>
      </c>
      <c r="BQ24" s="461" t="str">
        <f>IF(BE24="","",IF(AND($AG$3=$AG$1,BE24&lt;=$AZ$1),0,IF(Main!$C$26="UGC",0,IF(OR(BD24&lt;DATE(2010,4,1),BW24=3,BG24=VLOOKUP(BG24,'IN RPS-2015'!$I$2:$J$5,1)),0,ROUND(IF(BW24=2,IF(BE24&lt;$J$152,Main!$L$9,Main!$CI$3)/2,IF(BE24&lt;$J$152,Main!$L$9,Main!$CI$3))*(DAY(BF24)-DAY(BE24)+1)/DAY(EOMONTH(BE24,0)),0)))))</f>
        <v/>
      </c>
      <c r="BR24" s="461"/>
      <c r="BS24" s="461" t="str">
        <f>IF(BE24="","",IF(AND($AG$3=$AG$1,BE24&lt;=$AZ$1),0,IF(Main!$C$26="UGC",0,IF(OR(BW24=3,BG24=VLOOKUP(BG24,'IN RPS-2015'!$I$2:$J$5,1)),0,ROUND(IF(BW24=2,VLOOKUP(BH24,IF(BE24&lt;$J$152,$A$154:$E$159,$F$154:$J$159),IF($B$10=VLOOKUP(BD24,$B$2:$G$4,6,TRUE),2,IF($B$10=VLOOKUP(BD24,$B$2:$G$4,6,TRUE),3,IF($D$10=VLOOKUP(BD24,$B$2:$G$4,6,TRUE),4,5))))/2,VLOOKUP(BH24,IF(BE24&lt;$J$152,$A$154:$E$159,$F$154:$J$159),IF($B$10=VLOOKUP(BD24,$B$2:$G$4,6,TRUE),2,IF($B$10=VLOOKUP(BD24,$B$2:$G$4,6,TRUE),3,IF($D$10=VLOOKUP(BD24,$B$2:$G$4,6,TRUE),4,5)))))*(DAY(BF24)-DAY(BE24)+1)/DAY(EOMONTH(BE24,0)),0)))))</f>
        <v/>
      </c>
      <c r="BT24" s="461">
        <f t="shared" si="69"/>
        <v>0</v>
      </c>
      <c r="BU24" s="464" t="str">
        <f>IF(BE24="","",IF(AND($AG$3=$AG$1,BE24&lt;=$AZ$1),0,IF(AND(Main!$F$22=Main!$CA$24,BE24&gt;$AZ$1),ROUND(SUM(BH24,BJ24)*10%,0),"")))</f>
        <v/>
      </c>
      <c r="BV24" s="464" t="str">
        <f>IF(BD24="","",IF(AND($AG$3=$AG$1,BE24&lt;=$AZ$1),0,IF(OR(Main!$H$10=Main!$BH$4,Main!$H$10=Main!$BH$5),0,LOOKUP(BT24*DAY(EOMONTH(BE24,0))/(DAY(BF24)-DAY(BE24)+1),$H$184:$I$189))))</f>
        <v/>
      </c>
      <c r="BW24" s="503">
        <f t="shared" si="70"/>
        <v>1</v>
      </c>
      <c r="BX24" s="457">
        <f t="shared" si="71"/>
        <v>0</v>
      </c>
      <c r="BY24" s="497"/>
      <c r="BZ24" s="497"/>
      <c r="CA24" s="457"/>
      <c r="CB24" s="461"/>
      <c r="CC24" s="499" t="str">
        <f t="shared" si="57"/>
        <v/>
      </c>
      <c r="CD24" s="500" t="str">
        <f t="shared" si="86"/>
        <v/>
      </c>
      <c r="CE24" s="484" t="str">
        <f>IF(CD24="","",MIN(EOMONTH(CD24,0),VLOOKUP(CD24,'IN RPS-2015'!$O$164:$P$202,2,TRUE)-1,LOOKUP(CD24,$E$47:$F$53)-1,IF(CD24&lt;$B$2,$B$2-1,'IN RPS-2015'!$Q$9),IF(CD24&lt;$B$3,$B$3-1,'IN RPS-2015'!$Q$9),IF(CD24&lt;$B$4,$B$4-1,'IN RPS-2015'!$Q$9),LOOKUP(CD24,$H$47:$I$53)))</f>
        <v/>
      </c>
      <c r="CF24" s="490" t="str">
        <f>IF(CD24="","",VLOOKUP(CD24,'IN RPS-2015'!$T$207:$Y$222,5))</f>
        <v/>
      </c>
      <c r="CG24" s="461" t="str">
        <f t="shared" si="72"/>
        <v/>
      </c>
      <c r="CH24" s="461" t="str">
        <f>IF(CD24="","",IF(AND($CA$3=$CA$1,CD24&lt;=$CT$1),0,ROUND(IF(CV24=3,0,IF(CV24=2,IF(CF24=VLOOKUP(CF24,'IN RPS-2015'!$I$2:$J$5,1),0,Main!$H$9)/2,IF(CF24=VLOOKUP(CF24,'IN RPS-2015'!$I$2:$J$5,1),0,Main!$H$9)))*(DAY(CE24)-DAY(CD24)+1)/DAY(EOMONTH(CD24,0)),0)))</f>
        <v/>
      </c>
      <c r="CI24" s="461" t="str">
        <f>IF(CD24="","",IF(AND($CA$3=$CA$1,CD24&lt;=$CT$1),0,IF(CF24=VLOOKUP(CF24,'IN RPS-2015'!$I$2:$J$5,1),0,ROUND(CG24*VLOOKUP(CD24,$BZ$4:$CA$7,2)%,0))))</f>
        <v/>
      </c>
      <c r="CJ24" s="461" t="str">
        <f>IF(CD24="","",IF(AND($CA$3=$CA$1,CD24&lt;=$CT$1),0,IF(OR(CV24=3,CF24=VLOOKUP(CF24,'IN RPS-2015'!$I$2:$J$5,1)),0,ROUND(MIN(ROUND(CF24*VLOOKUP(CD24,$B$1:$G$4,2)%,0),VLOOKUP(CD24,$B$2:$I$4,IF($CA$3=$I$29,7,8),TRUE))*(DAY(CE24)-DAY(CD24)+1)/DAY(EOMONTH(CD24,0)),0))))</f>
        <v/>
      </c>
      <c r="CK24" s="491" t="str">
        <f>IF(CD24="","",IF(AND($CA$3=$CA$1,CD24&lt;=$CT$1),0,IF(Main!$C$26="UGC",0,IF(OR(CD24&lt;DATE(2010,4,1),$I$6=VLOOKUP(CD24,$B$2:$G$4,5,TRUE),CF24=VLOOKUP(CF24,'IN RPS-2015'!$I$2:$J$5,1)),0,ROUND(IF(CV24=3,0,IF(CV24=2,MIN(ROUND(CF24*$G$13%,0),IF(CD24&lt;$J$152,$G$14,$G$15))/2,MIN(ROUND(CF24*$G$13%,0),IF(CD24&lt;$J$152,$G$14,$G$15))))*(DAY(CE24)-DAY(CD24)+1)/DAY(EOMONTH(CD24,0)),0)))))</f>
        <v/>
      </c>
      <c r="CL24" s="461" t="str">
        <f>IF(CD24="","",IF(AND($CA$3=$CA$1,CD24&lt;=$CT$1),0,IF(Main!$C$26="UGC",0,IF(CF24=VLOOKUP(CF24,'IN RPS-2015'!$I$2:$J$5,1),0,ROUND(CG24*VLOOKUP(CD24,$BZ$11:$CA$12,2)%,0)))))</f>
        <v/>
      </c>
      <c r="CM24" s="461" t="str">
        <f>IF(CD24="","",IF(AND($CA$3=$CA$1,CD24&lt;=$CT$1),0,IF(Main!$C$26="UGC",0,IF(CD24&lt;DATE(2010,4,1),0,IF(OR(CV24=2,CV24=3,CF24=VLOOKUP(CF24,'IN RPS-2015'!$I$2:$J$5,1)),0,ROUND(IF(CD24&lt;$J$152,VLOOKUP(CD24,$B$1:$G$4,4),VLOOKUP(VLOOKUP(CD24,$B$1:$G$4,4),Main!$CE$2:$CF$5,2,FALSE))*(DAY(CE24)-DAY(CD24)+1)/DAY(EOMONTH(CD24,0)),0))))))</f>
        <v/>
      </c>
      <c r="CN24" s="461" t="str">
        <f>IF(CD24="","",IF(AND($CA$3=$CA$1,CD24&lt;=$CT$1),0,IF(OR(CV24=2,CV24=3,$D$31=$D$28,CF24=VLOOKUP(CF24,'IN RPS-2015'!$I$2:$J$5,1)),0,ROUND(MIN(VLOOKUP(CC24,$A$27:$C$29,2,TRUE),ROUND(CF24*VLOOKUP(CC24,$A$27:$C$29,3,TRUE)%,0))*IF(CC24=$A$36,$C$36,IF(CC24=$A$37,$C$37,IF(CC24=$A$38,$C$38,IF(CC24=$A$39,$C$39,IF(CC24=$A$40,$C$40,IF(CC24=$A$41,$C$41,1))))))*(DAY(CE24)-DAY(CD24)+1)/DAY(EOMONTH(CD24,0)),0))))</f>
        <v/>
      </c>
      <c r="CO24" s="461" t="str">
        <f>IF(CD24="","",IF(AND($CA$3=$CA$1,CD24&lt;=$CT$1),0,IF(Main!$C$26="UGC",0,IF(OR(CV24=3,CF24=VLOOKUP(CF24,'IN RPS-2015'!$I$2:$J$5,1)),0,ROUND(IF(CV24=2,VLOOKUP(CF24,IF($CA$3=$I$29,$A$20:$E$23,$F$144:$J$147),IF($B$19=VLOOKUP(CD24,$B$2:$G$4,3,TRUE),2,IF($C$19=VLOOKUP(CD24,$B$2:$G$4,3,TRUE),3,IF($D$19=VLOOKUP(CD24,$B$2:$G$4,3,TRUE),4,5))),TRUE),VLOOKUP(CF24,IF($CA$3=$I$29,$A$20:$E$23,$F$144:$J$147),IF($B$19=VLOOKUP(CD24,$B$2:$G$4,3,TRUE),2,IF($C$19=VLOOKUP(CD24,$B$2:$G$4,3,TRUE),3,IF($D$19=VLOOKUP(CD24,$B$2:$G$4,3,TRUE),4,5))),TRUE))*(DAY(CE24)-DAY(CD24)+1)/DAY(EOMONTH(CD24,0)),0)))))</f>
        <v/>
      </c>
      <c r="CP24" s="461" t="str">
        <f>IF(CD24="","",IF(AND($CA$3=$CA$1,CD24&lt;=$CT$1),0,IF(Main!$C$26="UGC",0,IF(OR(CC24&lt;DATE(2010,4,1),CV24=3,CF24=VLOOKUP(CF24,'IN RPS-2015'!$I$2:$J$5,1)),0,ROUND(IF(CV24=2,IF(CD24&lt;$J$152,Main!$L$9,Main!$CI$3)/2,IF(CD24&lt;$J$152,Main!$L$9,Main!$CI$3))*(DAY(CE24)-DAY(CD24)+1)/DAY(EOMONTH(CD24,0)),0)))))</f>
        <v/>
      </c>
      <c r="CQ24" s="461"/>
      <c r="CR24" s="461" t="str">
        <f>IF(CD24="","",IF(AND($CA$3=$CA$1,CD24&lt;=$CT$1),0,IF(Main!$C$26="UGC",0,IF(OR(CV24=3,CF24=VLOOKUP(CF24,'IN RPS-2015'!$I$2:$J$5,1)),0,ROUND(IF(CV24=2,VLOOKUP(CG24,IF(CD24&lt;$J$152,$A$154:$E$159,$F$154:$J$159),IF($B$10=VLOOKUP(CC24,$B$2:$G$4,6,TRUE),2,IF($B$10=VLOOKUP(CC24,$B$2:$G$4,6,TRUE),3,IF($D$10=VLOOKUP(CC24,$B$2:$G$4,6,TRUE),4,5))))/2,VLOOKUP(CG24,IF(CD24&lt;$J$152,$A$154:$E$159,$F$154:$J$159),IF($B$10=VLOOKUP(CC24,$B$2:$G$4,6,TRUE),2,IF($B$10=VLOOKUP(CC24,$B$2:$G$4,6,TRUE),3,IF($D$10=VLOOKUP(CC24,$B$2:$G$4,6,TRUE),4,5)))))*(DAY(CE24)-DAY(CD24)+1)/DAY(EOMONTH(CD24,0)),0)))))</f>
        <v/>
      </c>
      <c r="CS24" s="461">
        <f t="shared" si="73"/>
        <v>0</v>
      </c>
      <c r="CT24" s="464" t="str">
        <f>IF(CD24="","",IF(AND($CA$3=$CA$1,CD24&lt;=$CT$1),0,IF(AND(Main!$F$22=Main!$CA$24,CD24&gt;$CT$1),ROUND(SUM(CG24,CI24)*10%,0),"")))</f>
        <v/>
      </c>
      <c r="CU24" s="464" t="str">
        <f>IF(CC24="","",IF(CG24=0,0,IF(OR(Main!$H$10=Main!$BH$4,Main!$H$10=Main!$BH$5),0,LOOKUP(CS24*DAY(EOMONTH(CD24,0))/(DAY(CE24)-DAY(CD24)+1),$H$184:$I$189))))</f>
        <v/>
      </c>
      <c r="CV24" s="457">
        <f t="shared" si="74"/>
        <v>1</v>
      </c>
      <c r="CW24" s="464"/>
      <c r="CX24" s="501" t="str">
        <f t="shared" si="59"/>
        <v/>
      </c>
      <c r="CY24" s="502" t="str">
        <f t="shared" si="87"/>
        <v/>
      </c>
      <c r="CZ24" s="484" t="str">
        <f>IF(CY24="","",MIN(EOMONTH(CY24,0),VLOOKUP(CY24,'IN RPS-2015'!$O$164:$P$202,2,TRUE)-1,LOOKUP(CY24,$E$47:$F$53)-1,IF(CY24&lt;$B$2,$B$2-1,'IN RPS-2015'!$Q$9),IF(CY24&lt;$B$3,$B$3-1,'IN RPS-2015'!$Q$9),IF(CY24&lt;$B$4,$B$4-1,'IN RPS-2015'!$Q$9),LOOKUP(CY24,$H$47:$I$53)))</f>
        <v/>
      </c>
      <c r="DA24" s="493" t="str">
        <f>IF(CY24="","",VLOOKUP(CY24,'IN RPS-2015'!$T$207:$Y$222,6))</f>
        <v/>
      </c>
      <c r="DB24" s="461" t="str">
        <f t="shared" si="75"/>
        <v/>
      </c>
      <c r="DC24" s="461" t="str">
        <f>IF(CY24="","",IF(AND($CA$3=$CA$1,CY24&lt;=$CT$1),0,ROUND(IF(DQ24=3,0,IF(DQ24=2,IF(DA24=VLOOKUP(DA24,'IN RPS-2015'!$I$2:$J$5,1),0,Main!$H$9)/2,IF(DA24=VLOOKUP(DA24,'IN RPS-2015'!$I$2:$J$5,1),0,Main!$H$9)))*(DAY(CZ24)-DAY(CY24)+1)/DAY(EOMONTH(CY24,0)),0)))</f>
        <v/>
      </c>
      <c r="DD24" s="461" t="str">
        <f>IF(CY24="","",IF(AND($CA$3=$CA$1,CY24&lt;=$CT$1),0,IF(DA24=VLOOKUP(DA24,'IN RPS-2015'!$I$2:$J$5,1),0,ROUND(DB24*VLOOKUP(CY24,$BZ$4:$CA$7,2)%,0))))</f>
        <v/>
      </c>
      <c r="DE24" s="461" t="str">
        <f>IF(CY24="","",IF(AND($CA$3=$CA$1,CY24&lt;=$CT$1),0,IF(OR(DQ24=3,DA24=VLOOKUP(DA24,'IN RPS-2015'!$I$2:$J$5,1)),0,ROUND(MIN(ROUND(DA24*VLOOKUP(CY24,$B$1:$G$4,2)%,0),VLOOKUP(CY24,$B$2:$I$4,IF($CA$3=$I$29,7,8),TRUE))*(DAY(CZ24)-DAY(CY24)+1)/DAY(EOMONTH(CY24,0)),0))))</f>
        <v/>
      </c>
      <c r="DF24" s="491" t="str">
        <f>IF(CY24="","",IF(AND($CA$3=$CA$1,CY24&lt;=$CT$1),0,IF(Main!$C$26="UGC",0,IF(OR(CY24&lt;DATE(2010,4,1),$I$6=VLOOKUP(CY24,$B$2:$G$4,5,TRUE),DA24=VLOOKUP(DA24,'IN RPS-2015'!$I$2:$J$5,1)),0,ROUND(IF(DQ24=3,0,IF(DQ24=2,MIN(ROUND(DA24*$G$13%,0),IF(CY24&lt;$J$152,$G$14,$G$15))/2,MIN(ROUND(DA24*$G$13%,0),IF(CY24&lt;$J$152,$G$14,$G$15))))*(DAY(CZ24)-DAY(CY24)+1)/DAY(EOMONTH(CY24,0)),0)))))</f>
        <v/>
      </c>
      <c r="DG24" s="461" t="str">
        <f>IF(CY24="","",IF(AND($CA$3=$CA$1,CY24&lt;=$CT$1),0,IF(Main!$C$26="UGC",0,IF(DA24=VLOOKUP(DA24,'IN RPS-2015'!$I$2:$J$5,1),0,ROUND(DB24*VLOOKUP(CY24,$BZ$11:$CA$12,2)%,0)))))</f>
        <v/>
      </c>
      <c r="DH24" s="461" t="str">
        <f>IF(CY24="","",IF(AND($CA$3=$CA$1,CY24&lt;=$CT$1),0,IF(Main!$C$26="UGC",0,IF(CY24&lt;DATE(2010,4,1),0,IF(OR(DQ24=2,DQ24=3,DA24=VLOOKUP(DA24,'IN RPS-2015'!$I$2:$J$5,1)),0,ROUND(IF(CY24&lt;$J$152,VLOOKUP(CY24,$B$1:$G$4,4),VLOOKUP(VLOOKUP(CY24,$B$1:$G$4,4),Main!$CE$2:$CF$5,2,FALSE))*(DAY(CZ24)-DAY(CY24)+1)/DAY(EOMONTH(CY24,0)),0))))))</f>
        <v/>
      </c>
      <c r="DI24" s="461" t="str">
        <f>IF(CY24="","",IF(AND($CA$3=$CA$1,CY24&lt;=$CT$1),0,IF(OR(DQ24=2,DQ24=3,$D$31=$D$28,DA24=VLOOKUP(DA24,'IN RPS-2015'!$I$2:$J$5,1)),0,ROUND(MIN(VLOOKUP(CX24,$A$27:$C$29,2,TRUE),ROUND(DA24*VLOOKUP(CX24,$A$27:$C$29,3,TRUE)%,0))*IF(CX24=$A$36,$C$36,IF(CX24=$A$37,$C$37,IF(CX24=$A$38,$C$38,IF(CX24=$A$39,$C$39,IF(CX24=$A$40,$C$40,IF(CX24=$A$41,$C$41,1))))))*(DAY(CZ24)-DAY(CY24)+1)/DAY(EOMONTH(CY24,0)),0))))</f>
        <v/>
      </c>
      <c r="DJ24" s="461" t="str">
        <f>IF(CY24="","",IF(AND($CA$3=$CA$1,CY24&lt;=$CT$1),0,IF(Main!$C$26="UGC",0,IF(OR(DQ24=3,DA24=VLOOKUP(DA24,'IN RPS-2015'!$I$2:$J$5,1)),0,ROUND(IF(DQ24=2,VLOOKUP(DA24,IF($CA$3=$I$29,$A$20:$E$23,$F$144:$J$147),IF($B$19=VLOOKUP(CY24,$B$2:$G$4,3,TRUE),2,IF($C$19=VLOOKUP(CY24,$B$2:$G$4,3,TRUE),3,IF($D$19=VLOOKUP(CY24,$B$2:$G$4,3,TRUE),4,5))),TRUE),VLOOKUP(DA24,IF($CA$3=$I$29,$A$20:$E$23,$F$144:$J$147),IF($B$19=VLOOKUP(CY24,$B$2:$G$4,3,TRUE),2,IF($C$19=VLOOKUP(CY24,$B$2:$G$4,3,TRUE),3,IF($D$19=VLOOKUP(CY24,$B$2:$G$4,3,TRUE),4,5))),TRUE))*(DAY(CZ24)-DAY(CY24)+1)/DAY(EOMONTH(CY24,0)),0)))))</f>
        <v/>
      </c>
      <c r="DK24" s="461" t="str">
        <f>IF(CY24="","",IF(AND($CA$3=$CA$1,CY24&lt;=$CT$1),0,IF(Main!$C$26="UGC",0,IF(OR(CX24&lt;DATE(2010,4,1),DQ24=3,DA24=VLOOKUP(DA24,'IN RPS-2015'!$I$2:$J$5,1)),0,ROUND(IF(DQ24=2,IF(CY24&lt;$J$152,Main!$L$9,Main!$CI$3)/2,IF(CY24&lt;$J$152,Main!$L$9,Main!$CI$3))*(DAY(CZ24)-DAY(CY24)+1)/DAY(EOMONTH(CY24,0)),0)))))</f>
        <v/>
      </c>
      <c r="DL24" s="461"/>
      <c r="DM24" s="461" t="str">
        <f>IF(CY24="","",IF(AND($CA$3=$CA$1,CY24&lt;=$CT$1),0,IF(Main!$C$26="UGC",0,IF(OR(DQ24=3,DA24=VLOOKUP(DA24,'IN RPS-2015'!$I$2:$J$5,1)),0,ROUND(IF(DQ24=2,VLOOKUP(DB24,IF(CY24&lt;$J$152,$A$154:$E$159,$F$154:$J$159),IF($B$10=VLOOKUP(CX24,$B$2:$G$4,6,TRUE),2,IF($B$10=VLOOKUP(CX24,$B$2:$G$4,6,TRUE),3,IF($D$10=VLOOKUP(CX24,$B$2:$G$4,6,TRUE),4,5))))/2,VLOOKUP(DB24,IF(CY24&lt;$J$152,$A$154:$E$159,$F$154:$J$159),IF($B$10=VLOOKUP(CX24,$B$2:$G$4,6,TRUE),2,IF($B$10=VLOOKUP(CX24,$B$2:$G$4,6,TRUE),3,IF($D$10=VLOOKUP(CX24,$B$2:$G$4,6,TRUE),4,5)))))*(DAY(CZ24)-DAY(CY24)+1)/DAY(EOMONTH(CY24,0)),0)))))</f>
        <v/>
      </c>
      <c r="DN24" s="461">
        <f t="shared" si="76"/>
        <v>0</v>
      </c>
      <c r="DO24" s="464" t="str">
        <f>IF(CY24="","",IF(AND($CA$3=$CA$1,CY24&lt;=$CT$1),0,IF(AND(Main!$F$22=Main!$CA$24,CY24&gt;$CT$1),ROUND(SUM(DB24,DD24)*10%,0),"")))</f>
        <v/>
      </c>
      <c r="DP24" s="464" t="str">
        <f>IF(CX24="","",IF(AND($CA$3=$CA$1,CY24&lt;=$CT$1),0,IF(OR(Main!$H$10=Main!$BH$4,Main!$H$10=Main!$BH$5),0,LOOKUP(DN24*DAY(EOMONTH(CY24,0))/(DAY(CZ24)-DAY(CY24)+1),$H$184:$I$189))))</f>
        <v/>
      </c>
      <c r="DQ24" s="457">
        <f t="shared" si="60"/>
        <v>1</v>
      </c>
      <c r="DR24" s="457">
        <f t="shared" si="77"/>
        <v>0</v>
      </c>
      <c r="DS24" s="497"/>
      <c r="DT24" s="497"/>
      <c r="DU24" s="457"/>
      <c r="DV24" s="461"/>
      <c r="DW24" s="499" t="str">
        <f t="shared" si="61"/>
        <v/>
      </c>
      <c r="DX24" s="500" t="str">
        <f t="shared" si="88"/>
        <v/>
      </c>
      <c r="DY24" s="484" t="str">
        <f>IF(DX24="","",MIN(EOMONTH(DX24,0),VLOOKUP(DX24,'IN RPS-2015'!$O$164:$P$202,2,TRUE)-1,LOOKUP(DX24,$E$47:$F$53)-1,IF(DX24&lt;$B$2,$B$2-1,'IN RPS-2015'!$Q$9),IF(DX24&lt;$B$3,$B$3-1,'IN RPS-2015'!$Q$9),IF(DX24&lt;$B$4,$B$4-1,'IN RPS-2015'!$Q$9),LOOKUP(DX24,$H$47:$I$53)))</f>
        <v/>
      </c>
      <c r="DZ24" s="490" t="str">
        <f>IF(DX24="","",VLOOKUP(DX24,'IN RPS-2015'!$P$164:$AA$202,11))</f>
        <v/>
      </c>
      <c r="EA24" s="461" t="str">
        <f t="shared" si="78"/>
        <v/>
      </c>
      <c r="EB24" s="461" t="str">
        <f>IF(DX24="","",ROUND(IF(EP24=3,0,IF(EP24=2,IF(DZ24=VLOOKUP(DZ24,'IN RPS-2015'!$I$2:$J$5,1),0,Main!$H$9)/2,IF(DZ24=VLOOKUP(DZ24,'IN RPS-2015'!$I$2:$J$5,1),0,Main!$H$9)))*(DAY(DY24)-DAY(DX24)+1)/DAY(EOMONTH(DX24,0)),0))</f>
        <v/>
      </c>
      <c r="EC24" s="461" t="str">
        <f>IF(DX24="","",IF(DZ24=VLOOKUP(DZ24,'IN RPS-2015'!$I$2:$J$5,1),0,ROUND(EA24*VLOOKUP(DX24,$DT$4:$DU$7,2)%,0)))</f>
        <v/>
      </c>
      <c r="ED24" s="461" t="str">
        <f>IF(DX24="","",IF(OR(EP24=3,DZ24=VLOOKUP(DZ24,'IN RPS-2015'!$I$2:$J$5,1)),0,ROUND(MIN(ROUND(DZ24*VLOOKUP(DX24,$B$1:$G$4,2)%,0),VLOOKUP(DX24,$B$2:$I$4,IF($DU$3=$I$29,7,8),TRUE))*(DAY(DY24)-DAY(DX24)+1)/DAY(EOMONTH(DX24,0)),0)))</f>
        <v/>
      </c>
      <c r="EE24" s="491" t="str">
        <f>IF(DX24="","",IF(Main!$C$26="UGC",0,IF(OR(DX24&lt;DATE(2010,4,1),$I$6=VLOOKUP(DX24,$B$2:$G$4,5,TRUE),DZ24=VLOOKUP(DZ24,'IN RPS-2015'!$I$2:$J$5,1)),0,ROUND(IF(EP24=3,0,IF(EP24=2,MIN(ROUND(DZ24*$G$13%,0),IF(DX24&lt;$I$152,$G$14,$G$15))/2,MIN(ROUND(DZ24*$G$13%,0),IF(DX24&lt;$I$152,$G$14,$G$15))))*(DAY(DY24)-DAY(DX24)+1)/DAY(EOMONTH(DX24,0)),0))))</f>
        <v/>
      </c>
      <c r="EF24" s="461" t="str">
        <f>IF(DX24="","",IF(Main!$C$26="UGC",0,IF(DZ24=VLOOKUP(DZ24,'IN RPS-2015'!$I$2:$J$5,1),0,ROUND(EA24*VLOOKUP(DX24,$DT$11:$DU$12,2)%,0))))</f>
        <v/>
      </c>
      <c r="EG24" s="461" t="str">
        <f>IF(DX24="","",IF(Main!$C$26="UGC",0,IF(DX24&lt;DATE(2010,4,1),0,IF(OR(EP24=2,EP24=3,DZ24=VLOOKUP(DZ24,'IN RPS-2015'!$I$2:$J$5,1)),0,ROUND(IF(DX24&lt;$I$152,VLOOKUP(DX24,$B$1:$G$4,4),VLOOKUP(VLOOKUP(DX24,$B$1:$G$4,4),Main!$CE$2:$CF$5,2,FALSE))*(DAY(DY24)-DAY(DX24)+1)/DAY(EOMONTH(DX24,0)),0)))))</f>
        <v/>
      </c>
      <c r="EH24" s="461" t="str">
        <f>IF(DX24="","",IF(OR(EP24=2,EP24=3,$D$31=$D$28,DZ24=VLOOKUP(DZ24,'IN RPS-2015'!$I$2:$J$5,1)),0,ROUND(MIN(IF(DX24&lt;$I$152,900,1350),ROUND(DZ24*VLOOKUP(DW24,$A$27:$C$29,3,TRUE)%,0))*IF(DW24=$A$36,$C$36,IF(DW24=$A$37,$C$37,IF(DW24=$A$38,$C$38,IF(DW24=$A$39,$C$39,IF(DW24=$A$40,$C$40,IF(DW24=$A$41,$C$41,1))))))*(DAY(DY24)-DAY(DX24)+1)/DAY(EOMONTH(DX24,0)),0)))</f>
        <v/>
      </c>
      <c r="EI24" s="461" t="str">
        <f>IF(DX24="","",IF(Main!$C$26="UGC",0,IF(OR(EP24=3,DZ24=VLOOKUP(DZ24,'IN RPS-2015'!$I$2:$J$5,1)),0,ROUND(IF(EP24=2,VLOOKUP(DZ24,IF($DU$3=$I$29,$A$20:$E$23,$F$144:$J$147),IF($B$19=VLOOKUP(DX24,$B$2:$G$4,3,TRUE),2,IF($C$19=VLOOKUP(DX24,$B$2:$G$4,3,TRUE),3,IF($D$19=VLOOKUP(DX24,$B$2:$G$4,3,TRUE),4,5))),TRUE),VLOOKUP(DZ24,IF($DU$3=$I$29,$A$20:$E$23,$F$144:$J$147),IF($B$19=VLOOKUP(DX24,$B$2:$G$4,3,TRUE),2,IF($C$19=VLOOKUP(DX24,$B$2:$G$4,3,TRUE),3,IF($D$19=VLOOKUP(DX24,$B$2:$G$4,3,TRUE),4,5))),TRUE))*(DAY(DY24)-DAY(DX24)+1)/DAY(EOMONTH(DX24,0)),0))))</f>
        <v/>
      </c>
      <c r="EJ24" s="461" t="str">
        <f>IF(DX24="","",IF(Main!$C$26="UGC",0,IF(OR(DW24&lt;DATE(2010,4,1),EP24=3,DZ24=VLOOKUP(DZ24,'IN RPS-2015'!$I$2:$J$5,1)),0,ROUND(IF(EP24=2,IF(DX24&lt;$I$152,Main!$L$9,Main!$CI$3)/2,IF(DX24&lt;$I$152,Main!$L$9,Main!$CI$3))*(DAY(DY24)-DAY(DX24)+1)/DAY(EOMONTH(DX24,0)),0))))</f>
        <v/>
      </c>
      <c r="EK24" s="461"/>
      <c r="EL24" s="461" t="str">
        <f>IF(DX24="","",IF(Main!$C$26="UGC",0,IF(OR(EP24=3,DZ24=VLOOKUP(DZ24,'IN RPS-2015'!$I$2:$J$5,1)),0,ROUND(IF(EP24=2,VLOOKUP(EA24,IF(DX24&lt;$I$152,$A$154:$E$159,$F$154:$J$159),IF($B$10=VLOOKUP(DW24,$B$2:$G$4,6,TRUE),2,IF($B$10=VLOOKUP(DW24,$B$2:$G$4,6,TRUE),3,IF($D$10=VLOOKUP(DW24,$B$2:$G$4,6,TRUE),4,5))))/2,VLOOKUP(EA24,IF(DX24&lt;$I$152,$A$154:$E$159,$F$154:$J$159),IF($B$10=VLOOKUP(DW24,$B$2:$G$4,6,TRUE),2,IF($B$10=VLOOKUP(DW24,$B$2:$G$4,6,TRUE),3,IF($D$10=VLOOKUP(DW24,$B$2:$G$4,6,TRUE),4,5)))))*(DAY(DY24)-DAY(DX24)+1)/DAY(EOMONTH(DX24,0)),0))))</f>
        <v/>
      </c>
      <c r="EM24" s="461">
        <f t="shared" si="79"/>
        <v>0</v>
      </c>
      <c r="EN24" s="464" t="str">
        <f>IF(DX24="","",IF(AND(Main!$F$22=Main!$CA$24,DX24&gt;$EN$1),ROUND(SUM(EA24,EC24)*10%,0),""))</f>
        <v/>
      </c>
      <c r="EO24" s="464" t="str">
        <f>IF(DW24="","",IF(EA24=0,0,IF(OR(Main!$H$10=Main!$BH$4,Main!$H$10=Main!$BH$5),0,LOOKUP(EM24*DAY(EOMONTH(DX24,0))/(DAY(DY24)-DAY(DX24)+1),$H$184:$I$189))))</f>
        <v/>
      </c>
      <c r="EP24" s="457">
        <f t="shared" si="62"/>
        <v>1</v>
      </c>
      <c r="ER24" s="497"/>
      <c r="ET24" s="461"/>
      <c r="EU24" s="499" t="str">
        <f t="shared" si="63"/>
        <v/>
      </c>
      <c r="EV24" s="500" t="str">
        <f t="shared" si="89"/>
        <v/>
      </c>
      <c r="EW24" s="484" t="str">
        <f>IF(EV24="","",MIN(EOMONTH(EV24,0),VLOOKUP(EV24,'IN RPS-2015'!$O$164:$P$202,2,TRUE)-1,LOOKUP(EV24,$E$47:$F$53)-1,IF(EV24&lt;$B$2,$B$2-1,'IN RPS-2015'!$Q$9),IF(EV24&lt;$B$3,$B$3-1,'IN RPS-2015'!$Q$9),IF(EV24&lt;$B$4,$B$4-1,'IN RPS-2015'!$Q$9),LOOKUP(EV24,$H$47:$I$53)))</f>
        <v/>
      </c>
      <c r="EX24" s="490" t="str">
        <f>IF(EV24="","",VLOOKUP(EV24,'IN RPS-2015'!$P$164:$AA$202,12))</f>
        <v/>
      </c>
      <c r="EY24" s="461" t="str">
        <f t="shared" si="80"/>
        <v/>
      </c>
      <c r="EZ24" s="461" t="str">
        <f>IF(EV24="","",ROUND(IF(FN24=3,0,IF(FN24=2,IF(EX24=VLOOKUP(EX24,'IN RPS-2015'!$I$2:$J$5,1),0,Main!$H$9)/2,IF(EX24=VLOOKUP(EX24,'IN RPS-2015'!$I$2:$J$5,1),0,Main!$H$9)))*(DAY(EW24)-DAY(EV24)+1)/DAY(EOMONTH(EV24,0)),0))</f>
        <v/>
      </c>
      <c r="FA24" s="461" t="str">
        <f>IF(EV24="","",IF(EX24=VLOOKUP(EX24,'IN RPS-2015'!$I$2:$J$5,1),0,ROUND(EY24*VLOOKUP(EV24,$ER$4:$ES$7,2)%,0)))</f>
        <v/>
      </c>
      <c r="FB24" s="461" t="str">
        <f>IF(EV24="","",IF(OR(FN24=3,EX24=VLOOKUP(EX24,'IN RPS-2015'!$I$2:$J$5,1)),0,ROUND(MIN(ROUND(EX24*VLOOKUP(EV24,$B$1:$G$4,2)%,0),VLOOKUP(EV24,$B$2:$I$4,IF($ES$3=$I$29,7,8),TRUE))*(DAY(EW24)-DAY(EV24)+1)/DAY(EOMONTH(EV24,0)),0)))</f>
        <v/>
      </c>
      <c r="FC24" s="491" t="str">
        <f>IF(EV24="","",IF(Main!$C$26="UGC",0,IF(OR(EV24&lt;DATE(2010,4,1),$I$6=VLOOKUP(EV24,$B$2:$G$4,5,TRUE),EX24=VLOOKUP(EX24,'IN RPS-2015'!$I$2:$J$5,1)),0,ROUND(IF(FN24=3,0,IF(FN24=2,MIN(ROUND(EX24*$G$13%,0),IF(EV24&lt;$J$152,$G$14,$G$15))/2,MIN(ROUND(EX24*$G$13%,0),IF(EV24&lt;$J$152,$G$14,$G$15))))*(DAY(EW24)-DAY(EV24)+1)/DAY(EOMONTH(EV24,0)),0))))</f>
        <v/>
      </c>
      <c r="FD24" s="461" t="str">
        <f>IF(EV24="","",IF(Main!$C$26="UGC",0,IF(EX24=VLOOKUP(EX24,'IN RPS-2015'!$I$2:$J$5,1),0,ROUND(EY24*VLOOKUP(EV24,$ER$11:$ES$12,2)%,0))))</f>
        <v/>
      </c>
      <c r="FE24" s="461" t="str">
        <f>IF(EV24="","",IF(Main!$C$26="UGC",0,IF(EV24&lt;DATE(2010,4,1),0,IF(OR(FN24=2,FN24=3,EX24=VLOOKUP(EX24,'IN RPS-2015'!$I$2:$J$5,1)),0,ROUND(IF(EV24&lt;$J$152,VLOOKUP(EV24,$B$1:$G$4,4),VLOOKUP(VLOOKUP(EV24,$B$1:$G$4,4),Main!$CE$2:$CF$5,2,FALSE))*(DAY(EW24)-DAY(EV24)+1)/DAY(EOMONTH(EV24,0)),0)))))</f>
        <v/>
      </c>
      <c r="FF24" s="461" t="str">
        <f>IF(EV24="","",IF(OR(FN24=2,FN24=3,$D$31=$D$28,EX24=VLOOKUP(EX24,'IN RPS-2015'!$I$2:$J$5,1)),0,ROUND(MIN(VLOOKUP(EU24,$A$27:$C$29,2,TRUE),ROUND(EX24*VLOOKUP(EU24,$A$27:$C$29,3,TRUE)%,0))*IF(EU24=$A$36,$C$36,IF(EU24=$A$37,$C$37,IF(EU24=$A$38,$C$38,IF(EU24=$A$39,$C$39,IF(EU24=$A$40,$C$40,IF(EU24=$A$41,$C$41,1))))))*(DAY(EW24)-DAY(EV24)+1)/DAY(EOMONTH(EV24,0)),0)))</f>
        <v/>
      </c>
      <c r="FG24" s="461" t="str">
        <f>IF(EV24="","",IF(Main!$C$26="UGC",0,IF(OR(FN24=3,EX24=VLOOKUP(EX24,'IN RPS-2015'!$I$2:$J$5,1)),0,ROUND(IF(FN24=2,VLOOKUP(EX24,IF($ES$3=$I$29,$A$20:$E$23,$F$144:$J$147),IF($B$19=VLOOKUP(EV24,$B$2:$G$4,3,TRUE),2,IF($C$19=VLOOKUP(EV24,$B$2:$G$4,3,TRUE),3,IF($D$19=VLOOKUP(EV24,$B$2:$G$4,3,TRUE),4,5))),TRUE),VLOOKUP(EX24,IF($ES$3=$I$29,$A$20:$E$23,$F$144:$J$147),IF($B$19=VLOOKUP(EV24,$B$2:$G$4,3,TRUE),2,IF($C$19=VLOOKUP(EV24,$B$2:$G$4,3,TRUE),3,IF($D$19=VLOOKUP(EV24,$B$2:$G$4,3,TRUE),4,5))),TRUE))*(DAY(EW24)-DAY(EV24)+1)/DAY(EOMONTH(EV24,0)),0))))</f>
        <v/>
      </c>
      <c r="FH24" s="461" t="str">
        <f>IF(EV24="","",IF(Main!$C$26="UGC",0,IF(OR(EU24&lt;DATE(2010,4,1),FN24=3,EX24=VLOOKUP(EX24,'IN RPS-2015'!$I$2:$J$5,1)),0,ROUND(IF(FN24=2,IF(EV24&lt;$J$152,Main!$L$9,Main!$CI$3)/2,IF(EV24&lt;$J$152,Main!$L$9,Main!$CI$3))*(DAY(EW24)-DAY(EV24)+1)/DAY(EOMONTH(EV24,0)),0))))</f>
        <v/>
      </c>
      <c r="FI24" s="461"/>
      <c r="FJ24" s="461" t="str">
        <f>IF(EV24="","",IF(Main!$C$26="UGC",0,IF(OR(FN24=3,EX24=VLOOKUP(EX24,'IN RPS-2015'!$I$2:$J$5,1)),0,ROUND(IF(FN24=2,VLOOKUP(EY24,IF(EV24&lt;$J$152,$A$154:$E$159,$F$154:$J$159),IF($B$10=VLOOKUP(EU24,$B$2:$G$4,6,TRUE),2,IF($B$10=VLOOKUP(EU24,$B$2:$G$4,6,TRUE),3,IF($D$10=VLOOKUP(EU24,$B$2:$G$4,6,TRUE),4,5))))/2,VLOOKUP(EY24,IF(EV24&lt;$J$152,$A$154:$E$159,$F$154:$J$159),IF($B$10=VLOOKUP(EU24,$B$2:$G$4,6,TRUE),2,IF($B$10=VLOOKUP(EU24,$B$2:$G$4,6,TRUE),3,IF($D$10=VLOOKUP(EU24,$B$2:$G$4,6,TRUE),4,5)))))*(DAY(EW24)-DAY(EV24)+1)/DAY(EOMONTH(EV24,0)),0))))</f>
        <v/>
      </c>
      <c r="FK24" s="461">
        <f t="shared" si="81"/>
        <v>0</v>
      </c>
      <c r="FL24" s="464" t="str">
        <f>IF(EV24="","",IF(AND(Main!$F$22=Main!$CA$24,EV24&gt;$FL$1),ROUND(SUM(EY24,FA24)*10%,0),""))</f>
        <v/>
      </c>
      <c r="FM24" s="464" t="str">
        <f>IF(EU24="","",IF(EY24=0,0,IF(OR(Main!$H$10=Main!$BH$4,Main!$H$10=Main!$BH$5),0,LOOKUP(FK24*DAY(EOMONTH(EV24,0))/(DAY(EW24)-DAY(EV24)+1),$H$184:$I$189))))</f>
        <v/>
      </c>
      <c r="FN24" s="457">
        <f t="shared" si="64"/>
        <v>1</v>
      </c>
    </row>
    <row r="25" spans="1:170">
      <c r="K25" s="494" t="str">
        <f t="shared" si="65"/>
        <v/>
      </c>
      <c r="L25" s="495" t="str">
        <f t="shared" si="82"/>
        <v/>
      </c>
      <c r="M25" s="484" t="str">
        <f>IF(L25="","",MIN(EOMONTH(L25,0),VLOOKUP(L25,'IN RPS-2015'!$O$164:$P$202,2,TRUE)-1,LOOKUP(L25,$E$47:$F$53)-1,IF(L25&lt;$B$2,$B$2-1,'IN RPS-2015'!$Q$9),IF(L25&lt;$B$3,$B$3-1,'IN RPS-2015'!$Q$9),IF(L25&lt;$B$4,$B$4-1,'IN RPS-2015'!$Q$9),LOOKUP(L25,$H$47:$I$53)))</f>
        <v/>
      </c>
      <c r="N25" s="496" t="str">
        <f>IF(L25="","",VLOOKUP(L25,'Advance Tax'!$A$3:$C$14,3))</f>
        <v/>
      </c>
      <c r="O25" s="509" t="str">
        <f t="shared" si="52"/>
        <v/>
      </c>
      <c r="P25" s="497" t="str">
        <f>IF(L25="","",ROUND(IF(AD25=3,0,IF(AD25=2,IF(N25=VLOOKUP(N25,'IN RPS-2015'!$I$2:$J$5,1),0,Main!$H$9)/2,IF(N25=VLOOKUP(N25,'IN RPS-2015'!$I$2:$J$5,1),0,Main!$H$9)))*(DAY(M25)-DAY(L25)+1)/DAY(EOMONTH(L25,0)),0))</f>
        <v/>
      </c>
      <c r="Q25" s="457" t="str">
        <f>IF(L25="","",IF(N25=VLOOKUP(N25,'IN RPS-2015'!$I$2:$J$5,1),0,ROUND(O25*IF(L25&lt;Main!$C$27,VLOOKUP(L25,$H$9:$J$12,3),VLOOKUP(L25,$H$9:$J$12,2))%,0)))</f>
        <v/>
      </c>
      <c r="R25" s="457" t="str">
        <f>IF(L25="","",IF(OR(AD25=3,N25=VLOOKUP(N25,'IN RPS-2015'!$I$2:$J$5,1)),0,ROUND(MIN(ROUND(N25*VLOOKUP(L25,$B$1:$G$4,2)%,0),VLOOKUP(L25,$B$2:$I$4,IF(L25&lt;$G$7,7,8),TRUE))*(DAY(M25)-DAY(L25)+1)/DAY(EOMONTH(L25,0)),0)))</f>
        <v/>
      </c>
      <c r="S25" s="486" t="str">
        <f>IF(L25="","",IF(Main!$C$26="UGC",0,IF(OR(L25&lt;DATE(2010,4,1),$I$6=VLOOKUP(L25,$B$2:$G$4,5,TRUE),N25=VLOOKUP(N25,'IN RPS-2015'!$I$2:$J$5,1)),0,ROUND(IF(AD25=3,0,IF(AD25=2,MIN(ROUND(N25*$G$13%,0),IF(L25&lt;$J$152,$G$14,$G$15))/2,MIN(ROUND(N25*$G$13%,0),IF(L25&lt;$J$152,$G$14,$G$15))))*(DAY(M25)-DAY(L25)+1)/DAY(EOMONTH(L25,0)),0))))</f>
        <v/>
      </c>
      <c r="T25" s="457" t="str">
        <f>IF(L25="","",IF(Main!$C$26="UGC",0,IF(N25=VLOOKUP(N25,'IN RPS-2015'!$I$2:$J$5,1),0,ROUND(O25*VLOOKUP(L25,$H$205:$I$206,2)%,0))))</f>
        <v/>
      </c>
      <c r="U25" s="457" t="str">
        <f>IF(L25="","",IF(Main!$C$26="UGC",0,IF(L25&lt;DATE(2010,4,1),0,IF(OR(AD25=2,AD25=3,N25=VLOOKUP(N25,'IN RPS-2015'!$I$2:$J$5,1)),0,ROUND(IF(L25&lt;$J$152,VLOOKUP(L25,$B$1:$G$4,4),VLOOKUP(VLOOKUP(L25,$B$1:$G$4,4),Main!$CE$2:$CF$5,2,FALSE))*(DAY(M25)-DAY(L25)+1)/DAY(EOMONTH(L25,0)),0)))))</f>
        <v/>
      </c>
      <c r="V25" s="457" t="str">
        <f>IF(L25="","",IF(OR(AD25=2,AD25=3,$D$31=$D$28,N25=VLOOKUP(N25,'IN RPS-2015'!$I$2:$J$5,1)),0,ROUND(MIN(VLOOKUP(K25,$A$27:$C$29,2,TRUE),ROUND(N25*VLOOKUP(K25,$A$27:$C$29,3,TRUE)%,0))*IF(K25=$A$36,$C$36,IF(K25=$A$37,$C$37,IF(K25=$A$38,$C$38,IF(K25=$A$39,$C$39,IF(K25=$A$40,$C$40,IF(K25=$A$41,$C$41,1))))))*(DAY(M25)-DAY(L25)+1)/DAY(EOMONTH(L25,0)),0)))</f>
        <v/>
      </c>
      <c r="W25" s="457" t="str">
        <f>IF(L25="","",IF(Main!$C$26="UGC",0,IF(OR(AD25=3,N25=VLOOKUP(N25,'IN RPS-2015'!$I$2:$J$5,1)),0,ROUND(IF(AD25=2,VLOOKUP(N25,IF(L25&lt;$G$7,$A$20:$E$23,$F$144:$J$147),IF($B$19=VLOOKUP(L25,$B$2:$G$4,3,TRUE),2,IF($C$19=VLOOKUP(L25,$B$2:$G$4,3,TRUE),3,IF($D$19=VLOOKUP(L25,$B$2:$G$4,3,TRUE),4,5))),TRUE),VLOOKUP(N25,IF(L25&lt;$G$7,$A$20:$E$23,$F$144:$J$147),IF($B$19=VLOOKUP(L25,$B$2:$G$4,3,TRUE),2,IF($C$19=VLOOKUP(L25,$B$2:$G$4,3,TRUE),3,IF($D$19=VLOOKUP(L25,$B$2:$G$4,3,TRUE),4,5))),TRUE))*(DAY(M25)-DAY(L25)+1)/DAY(EOMONTH(L25,0)),0))))</f>
        <v/>
      </c>
      <c r="X25" s="457" t="str">
        <f>IF(L25="","",IF(Main!$C$26="UGC",0,IF(OR(K25&lt;DATE(2010,4,1),AD25=3,N25=VLOOKUP(N25,'IN RPS-2015'!$I$2:$J$5,1)),0,ROUND(IF(AD25=2,IF(L25&lt;$J$152,Main!$L$9,Main!$CI$3)/2,IF(L25&lt;$J$152,Main!$L$9,Main!$CI$3))*(DAY(M25)-DAY(L25)+1)/DAY(EOMONTH(L25,0)),0))))</f>
        <v/>
      </c>
      <c r="Y25" s="497"/>
      <c r="Z25" s="457" t="str">
        <f>IF(L25="","",IF(Main!$C$26="UGC",0,IF(OR(AD25=3,N25=VLOOKUP(N25,'IN RPS-2015'!$I$2:$J$5,1)),0,ROUND(IF(AD25=2,VLOOKUP(O25,IF(L25&lt;$J$152,$A$154:$E$159,$F$154:$J$159),IF($B$10=VLOOKUP(K25,$B$2:$G$4,6,TRUE),2,IF($B$10=VLOOKUP(K25,$B$2:$G$4,6,TRUE),3,IF($D$10=VLOOKUP(K25,$B$2:$G$4,6,TRUE),4,5))))/2,VLOOKUP(O25,IF(L25&lt;$J$152,$A$154:$E$159,$F$154:$J$159),IF($B$10=VLOOKUP(K25,$B$2:$G$4,6,TRUE),2,IF($B$10=VLOOKUP(K25,$B$2:$G$4,6,TRUE),3,IF($D$10=VLOOKUP(K25,$B$2:$G$4,6,TRUE),4,5)))))*(DAY(M25)-DAY(L25)+1)/DAY(EOMONTH(L25,0)),0))))</f>
        <v/>
      </c>
      <c r="AA25" s="497">
        <f t="shared" si="83"/>
        <v>0</v>
      </c>
      <c r="AB25" s="497"/>
      <c r="AC25" s="497"/>
      <c r="AD25" s="497">
        <f t="shared" si="53"/>
        <v>1</v>
      </c>
      <c r="AE25" s="497"/>
      <c r="AF25" s="497"/>
      <c r="AH25" s="461"/>
      <c r="AI25" s="499" t="str">
        <f t="shared" si="54"/>
        <v/>
      </c>
      <c r="AJ25" s="500" t="str">
        <f t="shared" si="84"/>
        <v/>
      </c>
      <c r="AK25" s="484" t="str">
        <f>IF(AJ25="","",MIN(EOMONTH(AJ25,0),VLOOKUP(AJ25,'IN RPS-2015'!$O$164:$P$202,2,TRUE)-1,LOOKUP(AJ25,$E$47:$F$53)-1,IF(AJ25&lt;$B$2,$B$2-1,'IN RPS-2015'!$Q$9),IF(AJ25&lt;$B$3,$B$3-1,'IN RPS-2015'!$Q$9),IF(AJ25&lt;$B$4,$B$4-1,'IN RPS-2015'!$Q$9),LOOKUP(AJ25,$H$47:$I$53)))</f>
        <v/>
      </c>
      <c r="AL25" s="490" t="str">
        <f>IF(AJ25="","",VLOOKUP(AJ25,'IN RPS-2015'!$P$164:$AA$202,9))</f>
        <v/>
      </c>
      <c r="AM25" s="461" t="str">
        <f t="shared" si="66"/>
        <v/>
      </c>
      <c r="AN25" s="461" t="str">
        <f>IF(AJ25="","",IF(AND($AG$3=$AG$1,AJ25&lt;=$AZ$1),0,ROUND(IF(BB25=3,0,IF(BB25=2,IF(AL25=VLOOKUP(AL25,'IN RPS-2015'!$I$2:$J$5,1),0,Main!$H$9)/2,IF(AL25=VLOOKUP(AL25,'IN RPS-2015'!$I$2:$J$5,1),0,Main!$H$9)))*(DAY(AK25)-DAY(AJ25)+1)/DAY(EOMONTH(AJ25,0)),0)))</f>
        <v/>
      </c>
      <c r="AO25" s="461" t="str">
        <f>IF(AJ25="","",IF(AND($AG$3=$AG$1,AJ25&lt;=$AZ$1),0,IF(AL25=VLOOKUP(AL25,'IN RPS-2015'!$I$2:$J$5,1),0,ROUND(AM25*VLOOKUP(AJ25,$AF$4:$AG$7,2)%,0))))</f>
        <v/>
      </c>
      <c r="AP25" s="461" t="str">
        <f>IF(AJ25="","",IF(AND($AG$3=$AG$1,AJ25&lt;=$AZ$1),0,IF(OR(BB25=3,AL25=VLOOKUP(AL25,'IN RPS-2015'!$I$2:$J$5,1)),0,ROUND(MIN(ROUND(AL25*VLOOKUP(AJ25,$B$1:$G$4,2)%,0),VLOOKUP(AJ25,$B$2:$I$4,IF($AG$3=$I$29,7,8),TRUE))*(DAY(AK25)-DAY(AJ25)+1)/DAY(EOMONTH(AJ25,0)),0))))</f>
        <v/>
      </c>
      <c r="AQ25" s="491" t="str">
        <f>IF(AJ25="","",IF(AND($AG$3=$AG$1,AJ25&lt;=$AZ$1),0,IF(Main!$C$26="UGC",0,IF(OR(AJ25&lt;DATE(2010,4,1),$I$6=VLOOKUP(AJ25,$B$2:$G$4,5,TRUE),AL25=VLOOKUP(AL25,'IN RPS-2015'!$I$2:$J$5,1)),0,ROUND(IF(BB25=3,0,IF(BB25=2,MIN(ROUND(AL25*$G$13%,0),IF(AJ25&lt;$J$152,$G$14,$G$15))/2,MIN(ROUND(AL25*$G$13%,0),IF(AJ25&lt;$J$152,$G$14,$G$15))))*(DAY(AK25)-DAY(AJ25)+1)/DAY(EOMONTH(AJ25,0)),0)))))</f>
        <v/>
      </c>
      <c r="AR25" s="461" t="str">
        <f>IF(AJ25="","",IF(AND($AG$3=$AG$1,AJ25&lt;=$AZ$1),0,IF(Main!$C$26="UGC",0,IF(AL25=VLOOKUP(AL25,'IN RPS-2015'!$I$2:$J$5,1),0,ROUND(AM25*VLOOKUP(AJ25,$AF$11:$AG$12,2)%,0)))))</f>
        <v/>
      </c>
      <c r="AS25" s="461" t="str">
        <f>IF(AJ25="","",IF(AND($AG$3=$AG$1,AJ25&lt;=$AZ$1),0,IF(Main!$C$26="UGC",0,IF(AJ25&lt;DATE(2010,4,1),0,IF(OR(BB25=2,BB25=3,AL25=VLOOKUP(AL25,'IN RPS-2015'!$I$2:$J$5,1)),0,ROUND(IF(AJ25&lt;$J$152,VLOOKUP(AJ25,$B$1:$G$4,4),VLOOKUP(VLOOKUP(AJ25,$B$1:$G$4,4),Main!$CE$2:$CF$5,2,FALSE))*(DAY(AK25)-DAY(AJ25)+1)/DAY(EOMONTH(AJ25,0)),0))))))</f>
        <v/>
      </c>
      <c r="AT25" s="461" t="str">
        <f>IF(AJ25="","",IF(AND($AG$3=$AG$1,AJ25&lt;=$AZ$1),0,IF(OR(BB25=2,BB25=3,$D$31=$D$28,AL25=VLOOKUP(AL25,'IN RPS-2015'!$I$2:$J$5,1)),0,ROUND(MIN(VLOOKUP(AI25,$A$27:$C$29,2,TRUE),ROUND(AL25*VLOOKUP(AI25,$A$27:$C$29,3,TRUE)%,0))*IF(AI25=$A$36,$C$36,IF(AI25=$A$37,$C$37,IF(AI25=$A$38,$C$38,IF(AI25=$A$39,$C$39,IF(AI25=$A$40,$C$40,IF(AI25=$A$41,$C$41,1))))))*(DAY(AK25)-DAY(AJ25)+1)/DAY(EOMONTH(AJ25,0)),0))))</f>
        <v/>
      </c>
      <c r="AU25" s="461" t="str">
        <f>IF(AJ25="","",IF(AND($AG$3=$AG$1,AJ25&lt;=$AZ$1),0,IF(Main!$C$26="UGC",0,IF(OR(BB25=3,AL25=VLOOKUP(AL25,'IN RPS-2015'!$I$2:$J$5,1)),0,ROUND(IF(BB25=2,VLOOKUP(AL25,IF($AG$3=$I$29,$A$20:$E$23,$F$144:$J$147),IF($B$19=VLOOKUP(AJ25,$B$2:$G$4,3,TRUE),2,IF($C$19=VLOOKUP(AJ25,$B$2:$G$4,3,TRUE),3,IF($D$19=VLOOKUP(AJ25,$B$2:$G$4,3,TRUE),4,5))),TRUE),VLOOKUP(AL25,IF($AG$3=$I$29,$A$20:$E$23,$F$144:$J$147),IF($B$19=VLOOKUP(AJ25,$B$2:$G$4,3,TRUE),2,IF($C$19=VLOOKUP(AJ25,$B$2:$G$4,3,TRUE),3,IF($D$19=VLOOKUP(AJ25,$B$2:$G$4,3,TRUE),4,5))),TRUE))*(DAY(AK25)-DAY(AJ25)+1)/DAY(EOMONTH(AJ25,0)),0)))))</f>
        <v/>
      </c>
      <c r="AV25" s="461" t="str">
        <f>IF(AJ25="","",IF(AND($AG$3=$AG$1,AJ25&lt;=$AZ$1),0,IF(Main!$C$26="UGC",0,IF(OR(AI25&lt;DATE(2010,4,1),BB25=3,AL25=VLOOKUP(AL25,'IN RPS-2015'!$I$2:$J$5,1)),0,ROUND(IF(BB25=2,IF(AJ25&lt;$J$152,Main!$L$9,Main!$CI$3)/2,IF(AJ25&lt;$J$152,Main!$L$9,Main!$CI$3))*(DAY(AK25)-DAY(AJ25)+1)/DAY(EOMONTH(AJ25,0)),0)))))</f>
        <v/>
      </c>
      <c r="AW25" s="461"/>
      <c r="AX25" s="461" t="str">
        <f>IF(AJ25="","",IF(AND($AG$3=$AG$1,AJ25&lt;=$AZ$1),0,IF(Main!$C$26="UGC",0,IF(OR(BB25=3,AL25=VLOOKUP(AL25,'IN RPS-2015'!$I$2:$J$5,1)),0,ROUND(IF(BB25=2,VLOOKUP(AM25,IF(AJ25&lt;$J$152,$A$154:$E$159,$F$154:$J$159),IF($B$10=VLOOKUP(AI25,$B$2:$G$4,6,TRUE),2,IF($B$10=VLOOKUP(AI25,$B$2:$G$4,6,TRUE),3,IF($D$10=VLOOKUP(AI25,$B$2:$G$4,6,TRUE),4,5))))/2,VLOOKUP(AM25,IF(AJ25&lt;$J$152,$A$154:$E$159,$F$154:$J$159),IF($B$10=VLOOKUP(AI25,$B$2:$G$4,6,TRUE),2,IF($B$10=VLOOKUP(AI25,$B$2:$G$4,6,TRUE),3,IF($D$10=VLOOKUP(AI25,$B$2:$G$4,6,TRUE),4,5)))))*(DAY(AK25)-DAY(AJ25)+1)/DAY(EOMONTH(AJ25,0)),0)))))</f>
        <v/>
      </c>
      <c r="AY25" s="461">
        <f t="shared" si="67"/>
        <v>0</v>
      </c>
      <c r="AZ25" s="464" t="str">
        <f>IF(AJ25="","",IF(AND($AG$3=$AG$1,AJ25&lt;=$AZ$1),0,IF(AND(Main!$F$22=Main!$CA$24,AJ25&gt;$AZ$1),ROUND(SUM(AM25,AO25)*10%,0),"")))</f>
        <v/>
      </c>
      <c r="BA25" s="464" t="str">
        <f>IF(AI25="","",IF(AND($AG$3=$AG$1,AJ25&lt;=$AZ$1),0,IF(OR(Main!$H$10=Main!$BH$4,Main!$H$10=Main!$BH$5),0,LOOKUP(AY25*DAY(EOMONTH(AJ25,0))/(DAY(AK25)-DAY(AJ25)+1),$H$184:$I$189))))</f>
        <v/>
      </c>
      <c r="BB25" s="497">
        <f t="shared" si="55"/>
        <v>1</v>
      </c>
      <c r="BC25" s="464"/>
      <c r="BD25" s="501" t="str">
        <f t="shared" si="56"/>
        <v/>
      </c>
      <c r="BE25" s="502" t="str">
        <f t="shared" si="85"/>
        <v/>
      </c>
      <c r="BF25" s="484" t="str">
        <f>IF(BE25="","",MIN(EOMONTH(BE25,0),VLOOKUP(BE25,'IN RPS-2015'!$O$164:$P$202,2,TRUE)-1,LOOKUP(BE25,$E$47:$F$53)-1,IF(BE25&lt;$B$2,$B$2-1,'IN RPS-2015'!$Q$9),IF(BE25&lt;$B$3,$B$3-1,'IN RPS-2015'!$Q$9),IF(BE25&lt;$B$4,$B$4-1,'IN RPS-2015'!$Q$9),LOOKUP(BE25,$H$47:$I$53)))</f>
        <v/>
      </c>
      <c r="BG25" s="493" t="str">
        <f>IF(BE25="","",VLOOKUP(BE25,'IN RPS-2015'!$P$164:$AA$202,10))</f>
        <v/>
      </c>
      <c r="BH25" s="461" t="str">
        <f t="shared" si="68"/>
        <v/>
      </c>
      <c r="BI25" s="461" t="str">
        <f>IF(BE25="","",IF(AND($AG$3=$AG$1,BE25&lt;=$AZ$1),0,ROUND(IF(BW25=3,0,IF(BW25=2,IF(BG25=VLOOKUP(BG25,'IN RPS-2015'!$I$2:$J$5,1),0,Main!$H$9)/2,IF(BG25=VLOOKUP(BG25,'IN RPS-2015'!$I$2:$J$5,1),0,Main!$H$9)))*(DAY(BF25)-DAY(BE25)+1)/DAY(EOMONTH(BE25,0)),0)))</f>
        <v/>
      </c>
      <c r="BJ25" s="461" t="str">
        <f>IF(BE25="","",IF(AND($AG$3=$AG$1,BE25&lt;=$AZ$1),0,IF(BG25=VLOOKUP(BG25,'IN RPS-2015'!$I$2:$J$5,1),0,ROUND(BH25*VLOOKUP(BE25,$AF$4:$AG$7,2)%,0))))</f>
        <v/>
      </c>
      <c r="BK25" s="461" t="str">
        <f>IF(BE25="","",IF(AND($AG$3=$AG$1,BE25&lt;=$AZ$1),0,IF(OR(BW25=3,BG25=VLOOKUP(BG25,'IN RPS-2015'!$I$2:$J$5,1)),0,ROUND(MIN(ROUND(BG25*VLOOKUP(BE25,$B$1:$G$4,2)%,0),VLOOKUP(BE25,$B$2:$I$4,IF($AG$3=$I$29,7,8),TRUE))*(DAY(BF25)-DAY(BE25)+1)/DAY(EOMONTH(BE25,0)),0))))</f>
        <v/>
      </c>
      <c r="BL25" s="491" t="str">
        <f>IF(BE25="","",IF(AND($AG$3=$AG$1,BE25&lt;=$AZ$1),0,IF(Main!$C$26="UGC",0,IF(OR(BE25&lt;DATE(2010,4,1),$I$6=VLOOKUP(BE25,$B$2:$G$4,5,TRUE),BG25=VLOOKUP(BG25,'IN RPS-2015'!$I$2:$J$5,1)),0,ROUND(IF(BW25=3,0,IF(BW25=2,MIN(ROUND(BG25*$G$13%,0),IF(BE25&lt;$J$152,$G$14,$G$15))/2,MIN(ROUND(BG25*$G$13%,0),IF(BE25&lt;$J$152,$G$14,$G$15))))*(DAY(BF25)-DAY(BE25)+1)/DAY(EOMONTH(BE25,0)),0)))))</f>
        <v/>
      </c>
      <c r="BM25" s="461" t="str">
        <f>IF(BE25="","",IF(AND($AG$3=$AG$1,BE25&lt;=$AZ$1),0,IF(Main!$C$26="UGC",0,IF(BG25=VLOOKUP(BG25,'IN RPS-2015'!$I$2:$J$5,1),0,ROUND(BH25*VLOOKUP(BE25,$AF$11:$AG$12,2)%,0)))))</f>
        <v/>
      </c>
      <c r="BN25" s="461" t="str">
        <f>IF(BE25="","",IF(AND($AG$3=$AG$1,BE25&lt;=$AZ$1),0,IF(Main!$C$26="UGC",0,IF(BE25&lt;DATE(2010,4,1),0,IF(OR(BW25=2,BW25=3,BG25=VLOOKUP(BG25,'IN RPS-2015'!$I$2:$J$5,1)),0,ROUND(IF(BE25&lt;$J$152,VLOOKUP(BE25,$B$1:$G$4,4),VLOOKUP(VLOOKUP(BE25,$B$1:$G$4,4),Main!$CE$2:$CF$5,2,FALSE))*(DAY(BF25)-DAY(BE25)+1)/DAY(EOMONTH(BE25,0)),0))))))</f>
        <v/>
      </c>
      <c r="BO25" s="461" t="str">
        <f>IF(BE25="","",IF(AND($AG$3=$AG$1,BE25&lt;=$AZ$1),0,IF(OR(BW25=2,BW25=3,$D$31=$D$28,BG25=VLOOKUP(BG25,'IN RPS-2015'!$I$2:$J$5,1)),0,ROUND(MIN(VLOOKUP(BD25,$A$27:$C$29,2,TRUE),ROUND(BG25*VLOOKUP(BD25,$A$27:$C$29,3,TRUE)%,0))*IF(BD25=$A$36,$C$36,IF(BD25=$A$37,$C$37,IF(BD25=$A$38,$C$38,IF(BD25=$A$39,$C$39,IF(BD25=$A$40,$C$40,IF(BD25=$A$41,$C$41,1))))))*(DAY(BF25)-DAY(BE25)+1)/DAY(EOMONTH(BE25,0)),0))))</f>
        <v/>
      </c>
      <c r="BP25" s="461" t="str">
        <f>IF(BE25="","",IF(AND($AG$3=$AG$1,BE25&lt;=$AZ$1),0,IF(Main!$C$26="UGC",0,IF(OR(BW25=3,BG25=VLOOKUP(BG25,'IN RPS-2015'!$I$2:$J$5,1)),0,ROUND(IF(BW25=2,VLOOKUP(BG25,IF($AG$3=$I$29,$A$20:$E$23,$F$144:$J$147),IF($B$19=VLOOKUP(BE25,$B$2:$G$4,3,TRUE),2,IF($C$19=VLOOKUP(BE25,$B$2:$G$4,3,TRUE),3,IF($D$19=VLOOKUP(BE25,$B$2:$G$4,3,TRUE),4,5))),TRUE),VLOOKUP(BG25,IF($AG$3=$I$29,$A$20:$E$23,$F$144:$J$147),IF($B$19=VLOOKUP(BE25,$B$2:$G$4,3,TRUE),2,IF($C$19=VLOOKUP(BE25,$B$2:$G$4,3,TRUE),3,IF($D$19=VLOOKUP(BE25,$B$2:$G$4,3,TRUE),4,5))),TRUE))*(DAY(BF25)-DAY(BE25)+1)/DAY(EOMONTH(BE25,0)),0)))))</f>
        <v/>
      </c>
      <c r="BQ25" s="461" t="str">
        <f>IF(BE25="","",IF(AND($AG$3=$AG$1,BE25&lt;=$AZ$1),0,IF(Main!$C$26="UGC",0,IF(OR(BD25&lt;DATE(2010,4,1),BW25=3,BG25=VLOOKUP(BG25,'IN RPS-2015'!$I$2:$J$5,1)),0,ROUND(IF(BW25=2,IF(BE25&lt;$J$152,Main!$L$9,Main!$CI$3)/2,IF(BE25&lt;$J$152,Main!$L$9,Main!$CI$3))*(DAY(BF25)-DAY(BE25)+1)/DAY(EOMONTH(BE25,0)),0)))))</f>
        <v/>
      </c>
      <c r="BR25" s="461"/>
      <c r="BS25" s="461" t="str">
        <f>IF(BE25="","",IF(AND($AG$3=$AG$1,BE25&lt;=$AZ$1),0,IF(Main!$C$26="UGC",0,IF(OR(BW25=3,BG25=VLOOKUP(BG25,'IN RPS-2015'!$I$2:$J$5,1)),0,ROUND(IF(BW25=2,VLOOKUP(BH25,IF(BE25&lt;$J$152,$A$154:$E$159,$F$154:$J$159),IF($B$10=VLOOKUP(BD25,$B$2:$G$4,6,TRUE),2,IF($B$10=VLOOKUP(BD25,$B$2:$G$4,6,TRUE),3,IF($D$10=VLOOKUP(BD25,$B$2:$G$4,6,TRUE),4,5))))/2,VLOOKUP(BH25,IF(BE25&lt;$J$152,$A$154:$E$159,$F$154:$J$159),IF($B$10=VLOOKUP(BD25,$B$2:$G$4,6,TRUE),2,IF($B$10=VLOOKUP(BD25,$B$2:$G$4,6,TRUE),3,IF($D$10=VLOOKUP(BD25,$B$2:$G$4,6,TRUE),4,5)))))*(DAY(BF25)-DAY(BE25)+1)/DAY(EOMONTH(BE25,0)),0)))))</f>
        <v/>
      </c>
      <c r="BT25" s="461">
        <f t="shared" si="69"/>
        <v>0</v>
      </c>
      <c r="BU25" s="464" t="str">
        <f>IF(BE25="","",IF(AND($AG$3=$AG$1,BE25&lt;=$AZ$1),0,IF(AND(Main!$F$22=Main!$CA$24,BE25&gt;$AZ$1),ROUND(SUM(BH25,BJ25)*10%,0),"")))</f>
        <v/>
      </c>
      <c r="BV25" s="464" t="str">
        <f>IF(BD25="","",IF(AND($AG$3=$AG$1,BE25&lt;=$AZ$1),0,IF(OR(Main!$H$10=Main!$BH$4,Main!$H$10=Main!$BH$5),0,LOOKUP(BT25*DAY(EOMONTH(BE25,0))/(DAY(BF25)-DAY(BE25)+1),$H$184:$I$189))))</f>
        <v/>
      </c>
      <c r="BW25" s="503">
        <f t="shared" si="70"/>
        <v>1</v>
      </c>
      <c r="BX25" s="457">
        <f t="shared" si="71"/>
        <v>0</v>
      </c>
      <c r="BY25" s="497"/>
      <c r="BZ25" s="497"/>
      <c r="CA25" s="457"/>
      <c r="CB25" s="461"/>
      <c r="CC25" s="499" t="str">
        <f t="shared" si="57"/>
        <v/>
      </c>
      <c r="CD25" s="500" t="str">
        <f t="shared" si="86"/>
        <v/>
      </c>
      <c r="CE25" s="484" t="str">
        <f>IF(CD25="","",MIN(EOMONTH(CD25,0),VLOOKUP(CD25,'IN RPS-2015'!$O$164:$P$202,2,TRUE)-1,LOOKUP(CD25,$E$47:$F$53)-1,IF(CD25&lt;$B$2,$B$2-1,'IN RPS-2015'!$Q$9),IF(CD25&lt;$B$3,$B$3-1,'IN RPS-2015'!$Q$9),IF(CD25&lt;$B$4,$B$4-1,'IN RPS-2015'!$Q$9),LOOKUP(CD25,$H$47:$I$53)))</f>
        <v/>
      </c>
      <c r="CF25" s="490" t="str">
        <f>IF(CD25="","",VLOOKUP(CD25,'IN RPS-2015'!$T$207:$Y$222,5))</f>
        <v/>
      </c>
      <c r="CG25" s="461" t="str">
        <f t="shared" si="72"/>
        <v/>
      </c>
      <c r="CH25" s="461" t="str">
        <f>IF(CD25="","",IF(AND($CA$3=$CA$1,CD25&lt;=$CT$1),0,ROUND(IF(CV25=3,0,IF(CV25=2,IF(CF25=VLOOKUP(CF25,'IN RPS-2015'!$I$2:$J$5,1),0,Main!$H$9)/2,IF(CF25=VLOOKUP(CF25,'IN RPS-2015'!$I$2:$J$5,1),0,Main!$H$9)))*(DAY(CE25)-DAY(CD25)+1)/DAY(EOMONTH(CD25,0)),0)))</f>
        <v/>
      </c>
      <c r="CI25" s="461" t="str">
        <f>IF(CD25="","",IF(AND($CA$3=$CA$1,CD25&lt;=$CT$1),0,IF(CF25=VLOOKUP(CF25,'IN RPS-2015'!$I$2:$J$5,1),0,ROUND(CG25*VLOOKUP(CD25,$BZ$4:$CA$7,2)%,0))))</f>
        <v/>
      </c>
      <c r="CJ25" s="461" t="str">
        <f>IF(CD25="","",IF(AND($CA$3=$CA$1,CD25&lt;=$CT$1),0,IF(OR(CV25=3,CF25=VLOOKUP(CF25,'IN RPS-2015'!$I$2:$J$5,1)),0,ROUND(MIN(ROUND(CF25*VLOOKUP(CD25,$B$1:$G$4,2)%,0),VLOOKUP(CD25,$B$2:$I$4,IF($CA$3=$I$29,7,8),TRUE))*(DAY(CE25)-DAY(CD25)+1)/DAY(EOMONTH(CD25,0)),0))))</f>
        <v/>
      </c>
      <c r="CK25" s="491" t="str">
        <f>IF(CD25="","",IF(AND($CA$3=$CA$1,CD25&lt;=$CT$1),0,IF(Main!$C$26="UGC",0,IF(OR(CD25&lt;DATE(2010,4,1),$I$6=VLOOKUP(CD25,$B$2:$G$4,5,TRUE),CF25=VLOOKUP(CF25,'IN RPS-2015'!$I$2:$J$5,1)),0,ROUND(IF(CV25=3,0,IF(CV25=2,MIN(ROUND(CF25*$G$13%,0),IF(CD25&lt;$J$152,$G$14,$G$15))/2,MIN(ROUND(CF25*$G$13%,0),IF(CD25&lt;$J$152,$G$14,$G$15))))*(DAY(CE25)-DAY(CD25)+1)/DAY(EOMONTH(CD25,0)),0)))))</f>
        <v/>
      </c>
      <c r="CL25" s="461" t="str">
        <f>IF(CD25="","",IF(AND($CA$3=$CA$1,CD25&lt;=$CT$1),0,IF(Main!$C$26="UGC",0,IF(CF25=VLOOKUP(CF25,'IN RPS-2015'!$I$2:$J$5,1),0,ROUND(CG25*VLOOKUP(CD25,$BZ$11:$CA$12,2)%,0)))))</f>
        <v/>
      </c>
      <c r="CM25" s="461" t="str">
        <f>IF(CD25="","",IF(AND($CA$3=$CA$1,CD25&lt;=$CT$1),0,IF(Main!$C$26="UGC",0,IF(CD25&lt;DATE(2010,4,1),0,IF(OR(CV25=2,CV25=3,CF25=VLOOKUP(CF25,'IN RPS-2015'!$I$2:$J$5,1)),0,ROUND(IF(CD25&lt;$J$152,VLOOKUP(CD25,$B$1:$G$4,4),VLOOKUP(VLOOKUP(CD25,$B$1:$G$4,4),Main!$CE$2:$CF$5,2,FALSE))*(DAY(CE25)-DAY(CD25)+1)/DAY(EOMONTH(CD25,0)),0))))))</f>
        <v/>
      </c>
      <c r="CN25" s="461" t="str">
        <f>IF(CD25="","",IF(AND($CA$3=$CA$1,CD25&lt;=$CT$1),0,IF(OR(CV25=2,CV25=3,$D$31=$D$28,CF25=VLOOKUP(CF25,'IN RPS-2015'!$I$2:$J$5,1)),0,ROUND(MIN(VLOOKUP(CC25,$A$27:$C$29,2,TRUE),ROUND(CF25*VLOOKUP(CC25,$A$27:$C$29,3,TRUE)%,0))*IF(CC25=$A$36,$C$36,IF(CC25=$A$37,$C$37,IF(CC25=$A$38,$C$38,IF(CC25=$A$39,$C$39,IF(CC25=$A$40,$C$40,IF(CC25=$A$41,$C$41,1))))))*(DAY(CE25)-DAY(CD25)+1)/DAY(EOMONTH(CD25,0)),0))))</f>
        <v/>
      </c>
      <c r="CO25" s="461" t="str">
        <f>IF(CD25="","",IF(AND($CA$3=$CA$1,CD25&lt;=$CT$1),0,IF(Main!$C$26="UGC",0,IF(OR(CV25=3,CF25=VLOOKUP(CF25,'IN RPS-2015'!$I$2:$J$5,1)),0,ROUND(IF(CV25=2,VLOOKUP(CF25,IF($CA$3=$I$29,$A$20:$E$23,$F$144:$J$147),IF($B$19=VLOOKUP(CD25,$B$2:$G$4,3,TRUE),2,IF($C$19=VLOOKUP(CD25,$B$2:$G$4,3,TRUE),3,IF($D$19=VLOOKUP(CD25,$B$2:$G$4,3,TRUE),4,5))),TRUE),VLOOKUP(CF25,IF($CA$3=$I$29,$A$20:$E$23,$F$144:$J$147),IF($B$19=VLOOKUP(CD25,$B$2:$G$4,3,TRUE),2,IF($C$19=VLOOKUP(CD25,$B$2:$G$4,3,TRUE),3,IF($D$19=VLOOKUP(CD25,$B$2:$G$4,3,TRUE),4,5))),TRUE))*(DAY(CE25)-DAY(CD25)+1)/DAY(EOMONTH(CD25,0)),0)))))</f>
        <v/>
      </c>
      <c r="CP25" s="461" t="str">
        <f>IF(CD25="","",IF(AND($CA$3=$CA$1,CD25&lt;=$CT$1),0,IF(Main!$C$26="UGC",0,IF(OR(CC25&lt;DATE(2010,4,1),CV25=3,CF25=VLOOKUP(CF25,'IN RPS-2015'!$I$2:$J$5,1)),0,ROUND(IF(CV25=2,IF(CD25&lt;$J$152,Main!$L$9,Main!$CI$3)/2,IF(CD25&lt;$J$152,Main!$L$9,Main!$CI$3))*(DAY(CE25)-DAY(CD25)+1)/DAY(EOMONTH(CD25,0)),0)))))</f>
        <v/>
      </c>
      <c r="CQ25" s="461"/>
      <c r="CR25" s="461" t="str">
        <f>IF(CD25="","",IF(AND($CA$3=$CA$1,CD25&lt;=$CT$1),0,IF(Main!$C$26="UGC",0,IF(OR(CV25=3,CF25=VLOOKUP(CF25,'IN RPS-2015'!$I$2:$J$5,1)),0,ROUND(IF(CV25=2,VLOOKUP(CG25,IF(CD25&lt;$J$152,$A$154:$E$159,$F$154:$J$159),IF($B$10=VLOOKUP(CC25,$B$2:$G$4,6,TRUE),2,IF($B$10=VLOOKUP(CC25,$B$2:$G$4,6,TRUE),3,IF($D$10=VLOOKUP(CC25,$B$2:$G$4,6,TRUE),4,5))))/2,VLOOKUP(CG25,IF(CD25&lt;$J$152,$A$154:$E$159,$F$154:$J$159),IF($B$10=VLOOKUP(CC25,$B$2:$G$4,6,TRUE),2,IF($B$10=VLOOKUP(CC25,$B$2:$G$4,6,TRUE),3,IF($D$10=VLOOKUP(CC25,$B$2:$G$4,6,TRUE),4,5)))))*(DAY(CE25)-DAY(CD25)+1)/DAY(EOMONTH(CD25,0)),0)))))</f>
        <v/>
      </c>
      <c r="CS25" s="461">
        <f t="shared" si="73"/>
        <v>0</v>
      </c>
      <c r="CT25" s="464" t="str">
        <f>IF(CD25="","",IF(AND($CA$3=$CA$1,CD25&lt;=$CT$1),0,IF(AND(Main!$F$22=Main!$CA$24,CD25&gt;$CT$1),ROUND(SUM(CG25,CI25)*10%,0),"")))</f>
        <v/>
      </c>
      <c r="CU25" s="464" t="str">
        <f>IF(CC25="","",IF(CG25=0,0,IF(OR(Main!$H$10=Main!$BH$4,Main!$H$10=Main!$BH$5),0,LOOKUP(CS25*DAY(EOMONTH(CD25,0))/(DAY(CE25)-DAY(CD25)+1),$H$184:$I$189))))</f>
        <v/>
      </c>
      <c r="CV25" s="457">
        <f t="shared" si="74"/>
        <v>1</v>
      </c>
      <c r="CW25" s="464"/>
      <c r="CX25" s="501" t="str">
        <f t="shared" si="59"/>
        <v/>
      </c>
      <c r="CY25" s="502" t="str">
        <f t="shared" si="87"/>
        <v/>
      </c>
      <c r="CZ25" s="484" t="str">
        <f>IF(CY25="","",MIN(EOMONTH(CY25,0),VLOOKUP(CY25,'IN RPS-2015'!$O$164:$P$202,2,TRUE)-1,LOOKUP(CY25,$E$47:$F$53)-1,IF(CY25&lt;$B$2,$B$2-1,'IN RPS-2015'!$Q$9),IF(CY25&lt;$B$3,$B$3-1,'IN RPS-2015'!$Q$9),IF(CY25&lt;$B$4,$B$4-1,'IN RPS-2015'!$Q$9),LOOKUP(CY25,$H$47:$I$53)))</f>
        <v/>
      </c>
      <c r="DA25" s="493" t="str">
        <f>IF(CY25="","",VLOOKUP(CY25,'IN RPS-2015'!$T$207:$Y$222,6))</f>
        <v/>
      </c>
      <c r="DB25" s="461" t="str">
        <f t="shared" si="75"/>
        <v/>
      </c>
      <c r="DC25" s="461" t="str">
        <f>IF(CY25="","",IF(AND($CA$3=$CA$1,CY25&lt;=$CT$1),0,ROUND(IF(DQ25=3,0,IF(DQ25=2,IF(DA25=VLOOKUP(DA25,'IN RPS-2015'!$I$2:$J$5,1),0,Main!$H$9)/2,IF(DA25=VLOOKUP(DA25,'IN RPS-2015'!$I$2:$J$5,1),0,Main!$H$9)))*(DAY(CZ25)-DAY(CY25)+1)/DAY(EOMONTH(CY25,0)),0)))</f>
        <v/>
      </c>
      <c r="DD25" s="461" t="str">
        <f>IF(CY25="","",IF(AND($CA$3=$CA$1,CY25&lt;=$CT$1),0,IF(DA25=VLOOKUP(DA25,'IN RPS-2015'!$I$2:$J$5,1),0,ROUND(DB25*VLOOKUP(CY25,$BZ$4:$CA$7,2)%,0))))</f>
        <v/>
      </c>
      <c r="DE25" s="461" t="str">
        <f>IF(CY25="","",IF(AND($CA$3=$CA$1,CY25&lt;=$CT$1),0,IF(OR(DQ25=3,DA25=VLOOKUP(DA25,'IN RPS-2015'!$I$2:$J$5,1)),0,ROUND(MIN(ROUND(DA25*VLOOKUP(CY25,$B$1:$G$4,2)%,0),VLOOKUP(CY25,$B$2:$I$4,IF($CA$3=$I$29,7,8),TRUE))*(DAY(CZ25)-DAY(CY25)+1)/DAY(EOMONTH(CY25,0)),0))))</f>
        <v/>
      </c>
      <c r="DF25" s="491" t="str">
        <f>IF(CY25="","",IF(AND($CA$3=$CA$1,CY25&lt;=$CT$1),0,IF(Main!$C$26="UGC",0,IF(OR(CY25&lt;DATE(2010,4,1),$I$6=VLOOKUP(CY25,$B$2:$G$4,5,TRUE),DA25=VLOOKUP(DA25,'IN RPS-2015'!$I$2:$J$5,1)),0,ROUND(IF(DQ25=3,0,IF(DQ25=2,MIN(ROUND(DA25*$G$13%,0),IF(CY25&lt;$J$152,$G$14,$G$15))/2,MIN(ROUND(DA25*$G$13%,0),IF(CY25&lt;$J$152,$G$14,$G$15))))*(DAY(CZ25)-DAY(CY25)+1)/DAY(EOMONTH(CY25,0)),0)))))</f>
        <v/>
      </c>
      <c r="DG25" s="461" t="str">
        <f>IF(CY25="","",IF(AND($CA$3=$CA$1,CY25&lt;=$CT$1),0,IF(Main!$C$26="UGC",0,IF(DA25=VLOOKUP(DA25,'IN RPS-2015'!$I$2:$J$5,1),0,ROUND(DB25*VLOOKUP(CY25,$BZ$11:$CA$12,2)%,0)))))</f>
        <v/>
      </c>
      <c r="DH25" s="461" t="str">
        <f>IF(CY25="","",IF(AND($CA$3=$CA$1,CY25&lt;=$CT$1),0,IF(Main!$C$26="UGC",0,IF(CY25&lt;DATE(2010,4,1),0,IF(OR(DQ25=2,DQ25=3,DA25=VLOOKUP(DA25,'IN RPS-2015'!$I$2:$J$5,1)),0,ROUND(IF(CY25&lt;$J$152,VLOOKUP(CY25,$B$1:$G$4,4),VLOOKUP(VLOOKUP(CY25,$B$1:$G$4,4),Main!$CE$2:$CF$5,2,FALSE))*(DAY(CZ25)-DAY(CY25)+1)/DAY(EOMONTH(CY25,0)),0))))))</f>
        <v/>
      </c>
      <c r="DI25" s="461" t="str">
        <f>IF(CY25="","",IF(AND($CA$3=$CA$1,CY25&lt;=$CT$1),0,IF(OR(DQ25=2,DQ25=3,$D$31=$D$28,DA25=VLOOKUP(DA25,'IN RPS-2015'!$I$2:$J$5,1)),0,ROUND(MIN(VLOOKUP(CX25,$A$27:$C$29,2,TRUE),ROUND(DA25*VLOOKUP(CX25,$A$27:$C$29,3,TRUE)%,0))*IF(CX25=$A$36,$C$36,IF(CX25=$A$37,$C$37,IF(CX25=$A$38,$C$38,IF(CX25=$A$39,$C$39,IF(CX25=$A$40,$C$40,IF(CX25=$A$41,$C$41,1))))))*(DAY(CZ25)-DAY(CY25)+1)/DAY(EOMONTH(CY25,0)),0))))</f>
        <v/>
      </c>
      <c r="DJ25" s="461" t="str">
        <f>IF(CY25="","",IF(AND($CA$3=$CA$1,CY25&lt;=$CT$1),0,IF(Main!$C$26="UGC",0,IF(OR(DQ25=3,DA25=VLOOKUP(DA25,'IN RPS-2015'!$I$2:$J$5,1)),0,ROUND(IF(DQ25=2,VLOOKUP(DA25,IF($CA$3=$I$29,$A$20:$E$23,$F$144:$J$147),IF($B$19=VLOOKUP(CY25,$B$2:$G$4,3,TRUE),2,IF($C$19=VLOOKUP(CY25,$B$2:$G$4,3,TRUE),3,IF($D$19=VLOOKUP(CY25,$B$2:$G$4,3,TRUE),4,5))),TRUE),VLOOKUP(DA25,IF($CA$3=$I$29,$A$20:$E$23,$F$144:$J$147),IF($B$19=VLOOKUP(CY25,$B$2:$G$4,3,TRUE),2,IF($C$19=VLOOKUP(CY25,$B$2:$G$4,3,TRUE),3,IF($D$19=VLOOKUP(CY25,$B$2:$G$4,3,TRUE),4,5))),TRUE))*(DAY(CZ25)-DAY(CY25)+1)/DAY(EOMONTH(CY25,0)),0)))))</f>
        <v/>
      </c>
      <c r="DK25" s="461" t="str">
        <f>IF(CY25="","",IF(AND($CA$3=$CA$1,CY25&lt;=$CT$1),0,IF(Main!$C$26="UGC",0,IF(OR(CX25&lt;DATE(2010,4,1),DQ25=3,DA25=VLOOKUP(DA25,'IN RPS-2015'!$I$2:$J$5,1)),0,ROUND(IF(DQ25=2,IF(CY25&lt;$J$152,Main!$L$9,Main!$CI$3)/2,IF(CY25&lt;$J$152,Main!$L$9,Main!$CI$3))*(DAY(CZ25)-DAY(CY25)+1)/DAY(EOMONTH(CY25,0)),0)))))</f>
        <v/>
      </c>
      <c r="DL25" s="461"/>
      <c r="DM25" s="461" t="str">
        <f>IF(CY25="","",IF(AND($CA$3=$CA$1,CY25&lt;=$CT$1),0,IF(Main!$C$26="UGC",0,IF(OR(DQ25=3,DA25=VLOOKUP(DA25,'IN RPS-2015'!$I$2:$J$5,1)),0,ROUND(IF(DQ25=2,VLOOKUP(DB25,IF(CY25&lt;$J$152,$A$154:$E$159,$F$154:$J$159),IF($B$10=VLOOKUP(CX25,$B$2:$G$4,6,TRUE),2,IF($B$10=VLOOKUP(CX25,$B$2:$G$4,6,TRUE),3,IF($D$10=VLOOKUP(CX25,$B$2:$G$4,6,TRUE),4,5))))/2,VLOOKUP(DB25,IF(CY25&lt;$J$152,$A$154:$E$159,$F$154:$J$159),IF($B$10=VLOOKUP(CX25,$B$2:$G$4,6,TRUE),2,IF($B$10=VLOOKUP(CX25,$B$2:$G$4,6,TRUE),3,IF($D$10=VLOOKUP(CX25,$B$2:$G$4,6,TRUE),4,5)))))*(DAY(CZ25)-DAY(CY25)+1)/DAY(EOMONTH(CY25,0)),0)))))</f>
        <v/>
      </c>
      <c r="DN25" s="461">
        <f t="shared" si="76"/>
        <v>0</v>
      </c>
      <c r="DO25" s="464" t="str">
        <f>IF(CY25="","",IF(AND($CA$3=$CA$1,CY25&lt;=$CT$1),0,IF(AND(Main!$F$22=Main!$CA$24,CY25&gt;$CT$1),ROUND(SUM(DB25,DD25)*10%,0),"")))</f>
        <v/>
      </c>
      <c r="DP25" s="464" t="str">
        <f>IF(CX25="","",IF(AND($CA$3=$CA$1,CY25&lt;=$CT$1),0,IF(OR(Main!$H$10=Main!$BH$4,Main!$H$10=Main!$BH$5),0,LOOKUP(DN25*DAY(EOMONTH(CY25,0))/(DAY(CZ25)-DAY(CY25)+1),$H$184:$I$189))))</f>
        <v/>
      </c>
      <c r="DQ25" s="457">
        <f t="shared" si="60"/>
        <v>1</v>
      </c>
      <c r="DR25" s="457">
        <f t="shared" si="77"/>
        <v>0</v>
      </c>
      <c r="DS25" s="497"/>
      <c r="DT25" s="497"/>
      <c r="DU25" s="457"/>
      <c r="DV25" s="461"/>
      <c r="DW25" s="499" t="str">
        <f t="shared" si="61"/>
        <v/>
      </c>
      <c r="DX25" s="500" t="str">
        <f t="shared" si="88"/>
        <v/>
      </c>
      <c r="DY25" s="484" t="str">
        <f>IF(DX25="","",MIN(EOMONTH(DX25,0),VLOOKUP(DX25,'IN RPS-2015'!$O$164:$P$202,2,TRUE)-1,LOOKUP(DX25,$E$47:$F$53)-1,IF(DX25&lt;$B$2,$B$2-1,'IN RPS-2015'!$Q$9),IF(DX25&lt;$B$3,$B$3-1,'IN RPS-2015'!$Q$9),IF(DX25&lt;$B$4,$B$4-1,'IN RPS-2015'!$Q$9),LOOKUP(DX25,$H$47:$I$53)))</f>
        <v/>
      </c>
      <c r="DZ25" s="490" t="str">
        <f>IF(DX25="","",VLOOKUP(DX25,'IN RPS-2015'!$P$164:$AA$202,11))</f>
        <v/>
      </c>
      <c r="EA25" s="461" t="str">
        <f t="shared" si="78"/>
        <v/>
      </c>
      <c r="EB25" s="461" t="str">
        <f>IF(DX25="","",ROUND(IF(EP25=3,0,IF(EP25=2,IF(DZ25=VLOOKUP(DZ25,'IN RPS-2015'!$I$2:$J$5,1),0,Main!$H$9)/2,IF(DZ25=VLOOKUP(DZ25,'IN RPS-2015'!$I$2:$J$5,1),0,Main!$H$9)))*(DAY(DY25)-DAY(DX25)+1)/DAY(EOMONTH(DX25,0)),0))</f>
        <v/>
      </c>
      <c r="EC25" s="461" t="str">
        <f>IF(DX25="","",IF(DZ25=VLOOKUP(DZ25,'IN RPS-2015'!$I$2:$J$5,1),0,ROUND(EA25*VLOOKUP(DX25,$DT$4:$DU$7,2)%,0)))</f>
        <v/>
      </c>
      <c r="ED25" s="461" t="str">
        <f>IF(DX25="","",IF(OR(EP25=3,DZ25=VLOOKUP(DZ25,'IN RPS-2015'!$I$2:$J$5,1)),0,ROUND(MIN(ROUND(DZ25*VLOOKUP(DX25,$B$1:$G$4,2)%,0),VLOOKUP(DX25,$B$2:$I$4,IF($DU$3=$I$29,7,8),TRUE))*(DAY(DY25)-DAY(DX25)+1)/DAY(EOMONTH(DX25,0)),0)))</f>
        <v/>
      </c>
      <c r="EE25" s="491" t="str">
        <f>IF(DX25="","",IF(Main!$C$26="UGC",0,IF(OR(DX25&lt;DATE(2010,4,1),$I$6=VLOOKUP(DX25,$B$2:$G$4,5,TRUE),DZ25=VLOOKUP(DZ25,'IN RPS-2015'!$I$2:$J$5,1)),0,ROUND(IF(EP25=3,0,IF(EP25=2,MIN(ROUND(DZ25*$G$13%,0),IF(DX25&lt;$I$152,$G$14,$G$15))/2,MIN(ROUND(DZ25*$G$13%,0),IF(DX25&lt;$I$152,$G$14,$G$15))))*(DAY(DY25)-DAY(DX25)+1)/DAY(EOMONTH(DX25,0)),0))))</f>
        <v/>
      </c>
      <c r="EF25" s="461" t="str">
        <f>IF(DX25="","",IF(Main!$C$26="UGC",0,IF(DZ25=VLOOKUP(DZ25,'IN RPS-2015'!$I$2:$J$5,1),0,ROUND(EA25*VLOOKUP(DX25,$DT$11:$DU$12,2)%,0))))</f>
        <v/>
      </c>
      <c r="EG25" s="461" t="str">
        <f>IF(DX25="","",IF(Main!$C$26="UGC",0,IF(DX25&lt;DATE(2010,4,1),0,IF(OR(EP25=2,EP25=3,DZ25=VLOOKUP(DZ25,'IN RPS-2015'!$I$2:$J$5,1)),0,ROUND(IF(DX25&lt;$I$152,VLOOKUP(DX25,$B$1:$G$4,4),VLOOKUP(VLOOKUP(DX25,$B$1:$G$4,4),Main!$CE$2:$CF$5,2,FALSE))*(DAY(DY25)-DAY(DX25)+1)/DAY(EOMONTH(DX25,0)),0)))))</f>
        <v/>
      </c>
      <c r="EH25" s="461" t="str">
        <f>IF(DX25="","",IF(OR(EP25=2,EP25=3,$D$31=$D$28,DZ25=VLOOKUP(DZ25,'IN RPS-2015'!$I$2:$J$5,1)),0,ROUND(MIN(IF(DX25&lt;$I$152,900,1350),ROUND(DZ25*VLOOKUP(DW25,$A$27:$C$29,3,TRUE)%,0))*IF(DW25=$A$36,$C$36,IF(DW25=$A$37,$C$37,IF(DW25=$A$38,$C$38,IF(DW25=$A$39,$C$39,IF(DW25=$A$40,$C$40,IF(DW25=$A$41,$C$41,1))))))*(DAY(DY25)-DAY(DX25)+1)/DAY(EOMONTH(DX25,0)),0)))</f>
        <v/>
      </c>
      <c r="EI25" s="461" t="str">
        <f>IF(DX25="","",IF(Main!$C$26="UGC",0,IF(OR(EP25=3,DZ25=VLOOKUP(DZ25,'IN RPS-2015'!$I$2:$J$5,1)),0,ROUND(IF(EP25=2,VLOOKUP(DZ25,IF($DU$3=$I$29,$A$20:$E$23,$F$144:$J$147),IF($B$19=VLOOKUP(DX25,$B$2:$G$4,3,TRUE),2,IF($C$19=VLOOKUP(DX25,$B$2:$G$4,3,TRUE),3,IF($D$19=VLOOKUP(DX25,$B$2:$G$4,3,TRUE),4,5))),TRUE),VLOOKUP(DZ25,IF($DU$3=$I$29,$A$20:$E$23,$F$144:$J$147),IF($B$19=VLOOKUP(DX25,$B$2:$G$4,3,TRUE),2,IF($C$19=VLOOKUP(DX25,$B$2:$G$4,3,TRUE),3,IF($D$19=VLOOKUP(DX25,$B$2:$G$4,3,TRUE),4,5))),TRUE))*(DAY(DY25)-DAY(DX25)+1)/DAY(EOMONTH(DX25,0)),0))))</f>
        <v/>
      </c>
      <c r="EJ25" s="461" t="str">
        <f>IF(DX25="","",IF(Main!$C$26="UGC",0,IF(OR(DW25&lt;DATE(2010,4,1),EP25=3,DZ25=VLOOKUP(DZ25,'IN RPS-2015'!$I$2:$J$5,1)),0,ROUND(IF(EP25=2,IF(DX25&lt;$I$152,Main!$L$9,Main!$CI$3)/2,IF(DX25&lt;$I$152,Main!$L$9,Main!$CI$3))*(DAY(DY25)-DAY(DX25)+1)/DAY(EOMONTH(DX25,0)),0))))</f>
        <v/>
      </c>
      <c r="EK25" s="461"/>
      <c r="EL25" s="461" t="str">
        <f>IF(DX25="","",IF(Main!$C$26="UGC",0,IF(OR(EP25=3,DZ25=VLOOKUP(DZ25,'IN RPS-2015'!$I$2:$J$5,1)),0,ROUND(IF(EP25=2,VLOOKUP(EA25,IF(DX25&lt;$I$152,$A$154:$E$159,$F$154:$J$159),IF($B$10=VLOOKUP(DW25,$B$2:$G$4,6,TRUE),2,IF($B$10=VLOOKUP(DW25,$B$2:$G$4,6,TRUE),3,IF($D$10=VLOOKUP(DW25,$B$2:$G$4,6,TRUE),4,5))))/2,VLOOKUP(EA25,IF(DX25&lt;$I$152,$A$154:$E$159,$F$154:$J$159),IF($B$10=VLOOKUP(DW25,$B$2:$G$4,6,TRUE),2,IF($B$10=VLOOKUP(DW25,$B$2:$G$4,6,TRUE),3,IF($D$10=VLOOKUP(DW25,$B$2:$G$4,6,TRUE),4,5)))))*(DAY(DY25)-DAY(DX25)+1)/DAY(EOMONTH(DX25,0)),0))))</f>
        <v/>
      </c>
      <c r="EM25" s="461">
        <f t="shared" si="79"/>
        <v>0</v>
      </c>
      <c r="EN25" s="464" t="str">
        <f>IF(DX25="","",IF(AND(Main!$F$22=Main!$CA$24,DX25&gt;$EN$1),ROUND(SUM(EA25,EC25)*10%,0),""))</f>
        <v/>
      </c>
      <c r="EO25" s="464" t="str">
        <f>IF(DW25="","",IF(EA25=0,0,IF(OR(Main!$H$10=Main!$BH$4,Main!$H$10=Main!$BH$5),0,LOOKUP(EM25*DAY(EOMONTH(DX25,0))/(DAY(DY25)-DAY(DX25)+1),$H$184:$I$189))))</f>
        <v/>
      </c>
      <c r="EP25" s="457">
        <f t="shared" si="62"/>
        <v>1</v>
      </c>
      <c r="ER25" s="497"/>
      <c r="ET25" s="461"/>
      <c r="EU25" s="499" t="str">
        <f t="shared" si="63"/>
        <v/>
      </c>
      <c r="EV25" s="500" t="str">
        <f t="shared" si="89"/>
        <v/>
      </c>
      <c r="EW25" s="484" t="str">
        <f>IF(EV25="","",MIN(EOMONTH(EV25,0),VLOOKUP(EV25,'IN RPS-2015'!$O$164:$P$202,2,TRUE)-1,LOOKUP(EV25,$E$47:$F$53)-1,IF(EV25&lt;$B$2,$B$2-1,'IN RPS-2015'!$Q$9),IF(EV25&lt;$B$3,$B$3-1,'IN RPS-2015'!$Q$9),IF(EV25&lt;$B$4,$B$4-1,'IN RPS-2015'!$Q$9),LOOKUP(EV25,$H$47:$I$53)))</f>
        <v/>
      </c>
      <c r="EX25" s="490" t="str">
        <f>IF(EV25="","",VLOOKUP(EV25,'IN RPS-2015'!$P$164:$AA$202,12))</f>
        <v/>
      </c>
      <c r="EY25" s="461" t="str">
        <f t="shared" si="80"/>
        <v/>
      </c>
      <c r="EZ25" s="461" t="str">
        <f>IF(EV25="","",ROUND(IF(FN25=3,0,IF(FN25=2,IF(EX25=VLOOKUP(EX25,'IN RPS-2015'!$I$2:$J$5,1),0,Main!$H$9)/2,IF(EX25=VLOOKUP(EX25,'IN RPS-2015'!$I$2:$J$5,1),0,Main!$H$9)))*(DAY(EW25)-DAY(EV25)+1)/DAY(EOMONTH(EV25,0)),0))</f>
        <v/>
      </c>
      <c r="FA25" s="461" t="str">
        <f>IF(EV25="","",IF(EX25=VLOOKUP(EX25,'IN RPS-2015'!$I$2:$J$5,1),0,ROUND(EY25*VLOOKUP(EV25,$ER$4:$ES$7,2)%,0)))</f>
        <v/>
      </c>
      <c r="FB25" s="461" t="str">
        <f>IF(EV25="","",IF(OR(FN25=3,EX25=VLOOKUP(EX25,'IN RPS-2015'!$I$2:$J$5,1)),0,ROUND(MIN(ROUND(EX25*VLOOKUP(EV25,$B$1:$G$4,2)%,0),VLOOKUP(EV25,$B$2:$I$4,IF($ES$3=$I$29,7,8),TRUE))*(DAY(EW25)-DAY(EV25)+1)/DAY(EOMONTH(EV25,0)),0)))</f>
        <v/>
      </c>
      <c r="FC25" s="491" t="str">
        <f>IF(EV25="","",IF(Main!$C$26="UGC",0,IF(OR(EV25&lt;DATE(2010,4,1),$I$6=VLOOKUP(EV25,$B$2:$G$4,5,TRUE),EX25=VLOOKUP(EX25,'IN RPS-2015'!$I$2:$J$5,1)),0,ROUND(IF(FN25=3,0,IF(FN25=2,MIN(ROUND(EX25*$G$13%,0),IF(EV25&lt;$J$152,$G$14,$G$15))/2,MIN(ROUND(EX25*$G$13%,0),IF(EV25&lt;$J$152,$G$14,$G$15))))*(DAY(EW25)-DAY(EV25)+1)/DAY(EOMONTH(EV25,0)),0))))</f>
        <v/>
      </c>
      <c r="FD25" s="461" t="str">
        <f>IF(EV25="","",IF(Main!$C$26="UGC",0,IF(EX25=VLOOKUP(EX25,'IN RPS-2015'!$I$2:$J$5,1),0,ROUND(EY25*VLOOKUP(EV25,$ER$11:$ES$12,2)%,0))))</f>
        <v/>
      </c>
      <c r="FE25" s="461" t="str">
        <f>IF(EV25="","",IF(Main!$C$26="UGC",0,IF(EV25&lt;DATE(2010,4,1),0,IF(OR(FN25=2,FN25=3,EX25=VLOOKUP(EX25,'IN RPS-2015'!$I$2:$J$5,1)),0,ROUND(IF(EV25&lt;$J$152,VLOOKUP(EV25,$B$1:$G$4,4),VLOOKUP(VLOOKUP(EV25,$B$1:$G$4,4),Main!$CE$2:$CF$5,2,FALSE))*(DAY(EW25)-DAY(EV25)+1)/DAY(EOMONTH(EV25,0)),0)))))</f>
        <v/>
      </c>
      <c r="FF25" s="461" t="str">
        <f>IF(EV25="","",IF(OR(FN25=2,FN25=3,$D$31=$D$28,EX25=VLOOKUP(EX25,'IN RPS-2015'!$I$2:$J$5,1)),0,ROUND(MIN(VLOOKUP(EU25,$A$27:$C$29,2,TRUE),ROUND(EX25*VLOOKUP(EU25,$A$27:$C$29,3,TRUE)%,0))*IF(EU25=$A$36,$C$36,IF(EU25=$A$37,$C$37,IF(EU25=$A$38,$C$38,IF(EU25=$A$39,$C$39,IF(EU25=$A$40,$C$40,IF(EU25=$A$41,$C$41,1))))))*(DAY(EW25)-DAY(EV25)+1)/DAY(EOMONTH(EV25,0)),0)))</f>
        <v/>
      </c>
      <c r="FG25" s="461" t="str">
        <f>IF(EV25="","",IF(Main!$C$26="UGC",0,IF(OR(FN25=3,EX25=VLOOKUP(EX25,'IN RPS-2015'!$I$2:$J$5,1)),0,ROUND(IF(FN25=2,VLOOKUP(EX25,IF($ES$3=$I$29,$A$20:$E$23,$F$144:$J$147),IF($B$19=VLOOKUP(EV25,$B$2:$G$4,3,TRUE),2,IF($C$19=VLOOKUP(EV25,$B$2:$G$4,3,TRUE),3,IF($D$19=VLOOKUP(EV25,$B$2:$G$4,3,TRUE),4,5))),TRUE),VLOOKUP(EX25,IF($ES$3=$I$29,$A$20:$E$23,$F$144:$J$147),IF($B$19=VLOOKUP(EV25,$B$2:$G$4,3,TRUE),2,IF($C$19=VLOOKUP(EV25,$B$2:$G$4,3,TRUE),3,IF($D$19=VLOOKUP(EV25,$B$2:$G$4,3,TRUE),4,5))),TRUE))*(DAY(EW25)-DAY(EV25)+1)/DAY(EOMONTH(EV25,0)),0))))</f>
        <v/>
      </c>
      <c r="FH25" s="461" t="str">
        <f>IF(EV25="","",IF(Main!$C$26="UGC",0,IF(OR(EU25&lt;DATE(2010,4,1),FN25=3,EX25=VLOOKUP(EX25,'IN RPS-2015'!$I$2:$J$5,1)),0,ROUND(IF(FN25=2,IF(EV25&lt;$J$152,Main!$L$9,Main!$CI$3)/2,IF(EV25&lt;$J$152,Main!$L$9,Main!$CI$3))*(DAY(EW25)-DAY(EV25)+1)/DAY(EOMONTH(EV25,0)),0))))</f>
        <v/>
      </c>
      <c r="FI25" s="461"/>
      <c r="FJ25" s="461" t="str">
        <f>IF(EV25="","",IF(Main!$C$26="UGC",0,IF(OR(FN25=3,EX25=VLOOKUP(EX25,'IN RPS-2015'!$I$2:$J$5,1)),0,ROUND(IF(FN25=2,VLOOKUP(EY25,IF(EV25&lt;$J$152,$A$154:$E$159,$F$154:$J$159),IF($B$10=VLOOKUP(EU25,$B$2:$G$4,6,TRUE),2,IF($B$10=VLOOKUP(EU25,$B$2:$G$4,6,TRUE),3,IF($D$10=VLOOKUP(EU25,$B$2:$G$4,6,TRUE),4,5))))/2,VLOOKUP(EY25,IF(EV25&lt;$J$152,$A$154:$E$159,$F$154:$J$159),IF($B$10=VLOOKUP(EU25,$B$2:$G$4,6,TRUE),2,IF($B$10=VLOOKUP(EU25,$B$2:$G$4,6,TRUE),3,IF($D$10=VLOOKUP(EU25,$B$2:$G$4,6,TRUE),4,5)))))*(DAY(EW25)-DAY(EV25)+1)/DAY(EOMONTH(EV25,0)),0))))</f>
        <v/>
      </c>
      <c r="FK25" s="461">
        <f t="shared" si="81"/>
        <v>0</v>
      </c>
      <c r="FL25" s="464" t="str">
        <f>IF(EV25="","",IF(AND(Main!$F$22=Main!$CA$24,EV25&gt;$FL$1),ROUND(SUM(EY25,FA25)*10%,0),""))</f>
        <v/>
      </c>
      <c r="FM25" s="464" t="str">
        <f>IF(EU25="","",IF(EY25=0,0,IF(OR(Main!$H$10=Main!$BH$4,Main!$H$10=Main!$BH$5),0,LOOKUP(FK25*DAY(EOMONTH(EV25,0))/(DAY(EW25)-DAY(EV25)+1),$H$184:$I$189))))</f>
        <v/>
      </c>
      <c r="FN25" s="457">
        <f t="shared" si="64"/>
        <v>1</v>
      </c>
    </row>
    <row r="26" spans="1:170">
      <c r="A26" s="161" t="s">
        <v>48</v>
      </c>
      <c r="B26" s="162" t="s">
        <v>319</v>
      </c>
      <c r="C26" s="163" t="s">
        <v>1383</v>
      </c>
      <c r="D26" s="164" t="s">
        <v>1353</v>
      </c>
      <c r="F26" s="505" t="s">
        <v>1551</v>
      </c>
      <c r="K26" s="494" t="str">
        <f t="shared" si="65"/>
        <v/>
      </c>
      <c r="L26" s="495" t="str">
        <f t="shared" si="82"/>
        <v/>
      </c>
      <c r="M26" s="484" t="str">
        <f>IF(L26="","",MIN(EOMONTH(L26,0),VLOOKUP(L26,'IN RPS-2015'!$O$164:$P$202,2,TRUE)-1,LOOKUP(L26,$E$47:$F$53)-1,IF(L26&lt;$B$2,$B$2-1,'IN RPS-2015'!$Q$9),IF(L26&lt;$B$3,$B$3-1,'IN RPS-2015'!$Q$9),IF(L26&lt;$B$4,$B$4-1,'IN RPS-2015'!$Q$9),LOOKUP(L26,$H$47:$I$53)))</f>
        <v/>
      </c>
      <c r="N26" s="496" t="str">
        <f>IF(L26="","",VLOOKUP(L26,'Advance Tax'!$A$3:$C$14,3))</f>
        <v/>
      </c>
      <c r="O26" s="509" t="str">
        <f t="shared" si="52"/>
        <v/>
      </c>
      <c r="P26" s="497" t="str">
        <f>IF(L26="","",ROUND(IF(AD26=3,0,IF(AD26=2,IF(N26=VLOOKUP(N26,'IN RPS-2015'!$I$2:$J$5,1),0,Main!$H$9)/2,IF(N26=VLOOKUP(N26,'IN RPS-2015'!$I$2:$J$5,1),0,Main!$H$9)))*(DAY(M26)-DAY(L26)+1)/DAY(EOMONTH(L26,0)),0))</f>
        <v/>
      </c>
      <c r="Q26" s="457" t="str">
        <f>IF(L26="","",IF(N26=VLOOKUP(N26,'IN RPS-2015'!$I$2:$J$5,1),0,ROUND(O26*IF(L26&lt;Main!$C$27,VLOOKUP(L26,$H$9:$J$12,3),VLOOKUP(L26,$H$9:$J$12,2))%,0)))</f>
        <v/>
      </c>
      <c r="R26" s="457" t="str">
        <f>IF(L26="","",IF(OR(AD26=3,N26=VLOOKUP(N26,'IN RPS-2015'!$I$2:$J$5,1)),0,ROUND(MIN(ROUND(N26*VLOOKUP(L26,$B$1:$G$4,2)%,0),VLOOKUP(L26,$B$2:$I$4,IF(L26&lt;$G$7,7,8),TRUE))*(DAY(M26)-DAY(L26)+1)/DAY(EOMONTH(L26,0)),0)))</f>
        <v/>
      </c>
      <c r="S26" s="486" t="str">
        <f>IF(L26="","",IF(Main!$C$26="UGC",0,IF(OR(L26&lt;DATE(2010,4,1),$I$6=VLOOKUP(L26,$B$2:$G$4,5,TRUE),N26=VLOOKUP(N26,'IN RPS-2015'!$I$2:$J$5,1)),0,ROUND(IF(AD26=3,0,IF(AD26=2,MIN(ROUND(N26*$G$13%,0),IF(L26&lt;$J$152,$G$14,$G$15))/2,MIN(ROUND(N26*$G$13%,0),IF(L26&lt;$J$152,$G$14,$G$15))))*(DAY(M26)-DAY(L26)+1)/DAY(EOMONTH(L26,0)),0))))</f>
        <v/>
      </c>
      <c r="T26" s="457" t="str">
        <f>IF(L26="","",IF(Main!$C$26="UGC",0,IF(N26=VLOOKUP(N26,'IN RPS-2015'!$I$2:$J$5,1),0,ROUND(O26*VLOOKUP(L26,$H$205:$I$206,2)%,0))))</f>
        <v/>
      </c>
      <c r="U26" s="457" t="str">
        <f>IF(L26="","",IF(Main!$C$26="UGC",0,IF(L26&lt;DATE(2010,4,1),0,IF(OR(AD26=2,AD26=3,N26=VLOOKUP(N26,'IN RPS-2015'!$I$2:$J$5,1)),0,ROUND(IF(L26&lt;$J$152,VLOOKUP(L26,$B$1:$G$4,4),VLOOKUP(VLOOKUP(L26,$B$1:$G$4,4),Main!$CE$2:$CF$5,2,FALSE))*(DAY(M26)-DAY(L26)+1)/DAY(EOMONTH(L26,0)),0)))))</f>
        <v/>
      </c>
      <c r="V26" s="457" t="str">
        <f>IF(L26="","",IF(OR(AD26=2,AD26=3,$D$31=$D$28,N26=VLOOKUP(N26,'IN RPS-2015'!$I$2:$J$5,1)),0,ROUND(MIN(VLOOKUP(K26,$A$27:$C$29,2,TRUE),ROUND(N26*VLOOKUP(K26,$A$27:$C$29,3,TRUE)%,0))*IF(K26=$A$36,$C$36,IF(K26=$A$37,$C$37,IF(K26=$A$38,$C$38,IF(K26=$A$39,$C$39,IF(K26=$A$40,$C$40,IF(K26=$A$41,$C$41,1))))))*(DAY(M26)-DAY(L26)+1)/DAY(EOMONTH(L26,0)),0)))</f>
        <v/>
      </c>
      <c r="W26" s="457" t="str">
        <f>IF(L26="","",IF(Main!$C$26="UGC",0,IF(OR(AD26=3,N26=VLOOKUP(N26,'IN RPS-2015'!$I$2:$J$5,1)),0,ROUND(IF(AD26=2,VLOOKUP(N26,IF(L26&lt;$G$7,$A$20:$E$23,$F$144:$J$147),IF($B$19=VLOOKUP(L26,$B$2:$G$4,3,TRUE),2,IF($C$19=VLOOKUP(L26,$B$2:$G$4,3,TRUE),3,IF($D$19=VLOOKUP(L26,$B$2:$G$4,3,TRUE),4,5))),TRUE),VLOOKUP(N26,IF(L26&lt;$G$7,$A$20:$E$23,$F$144:$J$147),IF($B$19=VLOOKUP(L26,$B$2:$G$4,3,TRUE),2,IF($C$19=VLOOKUP(L26,$B$2:$G$4,3,TRUE),3,IF($D$19=VLOOKUP(L26,$B$2:$G$4,3,TRUE),4,5))),TRUE))*(DAY(M26)-DAY(L26)+1)/DAY(EOMONTH(L26,0)),0))))</f>
        <v/>
      </c>
      <c r="X26" s="457" t="str">
        <f>IF(L26="","",IF(Main!$C$26="UGC",0,IF(OR(K26&lt;DATE(2010,4,1),AD26=3,N26=VLOOKUP(N26,'IN RPS-2015'!$I$2:$J$5,1)),0,ROUND(IF(AD26=2,IF(L26&lt;$J$152,Main!$L$9,Main!$CI$3)/2,IF(L26&lt;$J$152,Main!$L$9,Main!$CI$3))*(DAY(M26)-DAY(L26)+1)/DAY(EOMONTH(L26,0)),0))))</f>
        <v/>
      </c>
      <c r="Y26" s="497"/>
      <c r="Z26" s="457" t="str">
        <f>IF(L26="","",IF(Main!$C$26="UGC",0,IF(OR(AD26=3,N26=VLOOKUP(N26,'IN RPS-2015'!$I$2:$J$5,1)),0,ROUND(IF(AD26=2,VLOOKUP(O26,IF(L26&lt;$J$152,$A$154:$E$159,$F$154:$J$159),IF($B$10=VLOOKUP(K26,$B$2:$G$4,6,TRUE),2,IF($B$10=VLOOKUP(K26,$B$2:$G$4,6,TRUE),3,IF($D$10=VLOOKUP(K26,$B$2:$G$4,6,TRUE),4,5))))/2,VLOOKUP(O26,IF(L26&lt;$J$152,$A$154:$E$159,$F$154:$J$159),IF($B$10=VLOOKUP(K26,$B$2:$G$4,6,TRUE),2,IF($B$10=VLOOKUP(K26,$B$2:$G$4,6,TRUE),3,IF($D$10=VLOOKUP(K26,$B$2:$G$4,6,TRUE),4,5)))))*(DAY(M26)-DAY(L26)+1)/DAY(EOMONTH(L26,0)),0))))</f>
        <v/>
      </c>
      <c r="AA26" s="497">
        <f t="shared" si="83"/>
        <v>0</v>
      </c>
      <c r="AB26" s="497"/>
      <c r="AC26" s="497"/>
      <c r="AD26" s="497">
        <f t="shared" si="53"/>
        <v>1</v>
      </c>
      <c r="AE26" s="497"/>
      <c r="AF26" s="497"/>
      <c r="AH26" s="461"/>
      <c r="AI26" s="499" t="str">
        <f t="shared" si="54"/>
        <v/>
      </c>
      <c r="AJ26" s="500" t="str">
        <f t="shared" si="84"/>
        <v/>
      </c>
      <c r="AK26" s="484" t="str">
        <f>IF(AJ26="","",MIN(EOMONTH(AJ26,0),VLOOKUP(AJ26,'IN RPS-2015'!$O$164:$P$202,2,TRUE)-1,LOOKUP(AJ26,$E$47:$F$53)-1,IF(AJ26&lt;$B$2,$B$2-1,'IN RPS-2015'!$Q$9),IF(AJ26&lt;$B$3,$B$3-1,'IN RPS-2015'!$Q$9),IF(AJ26&lt;$B$4,$B$4-1,'IN RPS-2015'!$Q$9),LOOKUP(AJ26,$H$47:$I$53)))</f>
        <v/>
      </c>
      <c r="AL26" s="490" t="str">
        <f>IF(AJ26="","",VLOOKUP(AJ26,'IN RPS-2015'!$P$164:$AA$202,9))</f>
        <v/>
      </c>
      <c r="AM26" s="461" t="str">
        <f t="shared" si="66"/>
        <v/>
      </c>
      <c r="AN26" s="461" t="str">
        <f>IF(AJ26="","",IF(AND($AG$3=$AG$1,AJ26&lt;=$AZ$1),0,ROUND(IF(BB26=3,0,IF(BB26=2,IF(AL26=VLOOKUP(AL26,'IN RPS-2015'!$I$2:$J$5,1),0,Main!$H$9)/2,IF(AL26=VLOOKUP(AL26,'IN RPS-2015'!$I$2:$J$5,1),0,Main!$H$9)))*(DAY(AK26)-DAY(AJ26)+1)/DAY(EOMONTH(AJ26,0)),0)))</f>
        <v/>
      </c>
      <c r="AO26" s="461" t="str">
        <f>IF(AJ26="","",IF(AND($AG$3=$AG$1,AJ26&lt;=$AZ$1),0,IF(AL26=VLOOKUP(AL26,'IN RPS-2015'!$I$2:$J$5,1),0,ROUND(AM26*VLOOKUP(AJ26,$AF$4:$AG$7,2)%,0))))</f>
        <v/>
      </c>
      <c r="AP26" s="461" t="str">
        <f>IF(AJ26="","",IF(AND($AG$3=$AG$1,AJ26&lt;=$AZ$1),0,IF(OR(BB26=3,AL26=VLOOKUP(AL26,'IN RPS-2015'!$I$2:$J$5,1)),0,ROUND(MIN(ROUND(AL26*VLOOKUP(AJ26,$B$1:$G$4,2)%,0),VLOOKUP(AJ26,$B$2:$I$4,IF($AG$3=$I$29,7,8),TRUE))*(DAY(AK26)-DAY(AJ26)+1)/DAY(EOMONTH(AJ26,0)),0))))</f>
        <v/>
      </c>
      <c r="AQ26" s="491" t="str">
        <f>IF(AJ26="","",IF(AND($AG$3=$AG$1,AJ26&lt;=$AZ$1),0,IF(Main!$C$26="UGC",0,IF(OR(AJ26&lt;DATE(2010,4,1),$I$6=VLOOKUP(AJ26,$B$2:$G$4,5,TRUE),AL26=VLOOKUP(AL26,'IN RPS-2015'!$I$2:$J$5,1)),0,ROUND(IF(BB26=3,0,IF(BB26=2,MIN(ROUND(AL26*$G$13%,0),IF(AJ26&lt;$J$152,$G$14,$G$15))/2,MIN(ROUND(AL26*$G$13%,0),IF(AJ26&lt;$J$152,$G$14,$G$15))))*(DAY(AK26)-DAY(AJ26)+1)/DAY(EOMONTH(AJ26,0)),0)))))</f>
        <v/>
      </c>
      <c r="AR26" s="461" t="str">
        <f>IF(AJ26="","",IF(AND($AG$3=$AG$1,AJ26&lt;=$AZ$1),0,IF(Main!$C$26="UGC",0,IF(AL26=VLOOKUP(AL26,'IN RPS-2015'!$I$2:$J$5,1),0,ROUND(AM26*VLOOKUP(AJ26,$AF$11:$AG$12,2)%,0)))))</f>
        <v/>
      </c>
      <c r="AS26" s="461" t="str">
        <f>IF(AJ26="","",IF(AND($AG$3=$AG$1,AJ26&lt;=$AZ$1),0,IF(Main!$C$26="UGC",0,IF(AJ26&lt;DATE(2010,4,1),0,IF(OR(BB26=2,BB26=3,AL26=VLOOKUP(AL26,'IN RPS-2015'!$I$2:$J$5,1)),0,ROUND(IF(AJ26&lt;$J$152,VLOOKUP(AJ26,$B$1:$G$4,4),VLOOKUP(VLOOKUP(AJ26,$B$1:$G$4,4),Main!$CE$2:$CF$5,2,FALSE))*(DAY(AK26)-DAY(AJ26)+1)/DAY(EOMONTH(AJ26,0)),0))))))</f>
        <v/>
      </c>
      <c r="AT26" s="461" t="str">
        <f>IF(AJ26="","",IF(AND($AG$3=$AG$1,AJ26&lt;=$AZ$1),0,IF(OR(BB26=2,BB26=3,$D$31=$D$28,AL26=VLOOKUP(AL26,'IN RPS-2015'!$I$2:$J$5,1)),0,ROUND(MIN(VLOOKUP(AI26,$A$27:$C$29,2,TRUE),ROUND(AL26*VLOOKUP(AI26,$A$27:$C$29,3,TRUE)%,0))*IF(AI26=$A$36,$C$36,IF(AI26=$A$37,$C$37,IF(AI26=$A$38,$C$38,IF(AI26=$A$39,$C$39,IF(AI26=$A$40,$C$40,IF(AI26=$A$41,$C$41,1))))))*(DAY(AK26)-DAY(AJ26)+1)/DAY(EOMONTH(AJ26,0)),0))))</f>
        <v/>
      </c>
      <c r="AU26" s="461" t="str">
        <f>IF(AJ26="","",IF(AND($AG$3=$AG$1,AJ26&lt;=$AZ$1),0,IF(Main!$C$26="UGC",0,IF(OR(BB26=3,AL26=VLOOKUP(AL26,'IN RPS-2015'!$I$2:$J$5,1)),0,ROUND(IF(BB26=2,VLOOKUP(AL26,IF($AG$3=$I$29,$A$20:$E$23,$F$144:$J$147),IF($B$19=VLOOKUP(AJ26,$B$2:$G$4,3,TRUE),2,IF($C$19=VLOOKUP(AJ26,$B$2:$G$4,3,TRUE),3,IF($D$19=VLOOKUP(AJ26,$B$2:$G$4,3,TRUE),4,5))),TRUE),VLOOKUP(AL26,IF($AG$3=$I$29,$A$20:$E$23,$F$144:$J$147),IF($B$19=VLOOKUP(AJ26,$B$2:$G$4,3,TRUE),2,IF($C$19=VLOOKUP(AJ26,$B$2:$G$4,3,TRUE),3,IF($D$19=VLOOKUP(AJ26,$B$2:$G$4,3,TRUE),4,5))),TRUE))*(DAY(AK26)-DAY(AJ26)+1)/DAY(EOMONTH(AJ26,0)),0)))))</f>
        <v/>
      </c>
      <c r="AV26" s="461" t="str">
        <f>IF(AJ26="","",IF(AND($AG$3=$AG$1,AJ26&lt;=$AZ$1),0,IF(Main!$C$26="UGC",0,IF(OR(AI26&lt;DATE(2010,4,1),BB26=3,AL26=VLOOKUP(AL26,'IN RPS-2015'!$I$2:$J$5,1)),0,ROUND(IF(BB26=2,IF(AJ26&lt;$J$152,Main!$L$9,Main!$CI$3)/2,IF(AJ26&lt;$J$152,Main!$L$9,Main!$CI$3))*(DAY(AK26)-DAY(AJ26)+1)/DAY(EOMONTH(AJ26,0)),0)))))</f>
        <v/>
      </c>
      <c r="AW26" s="461"/>
      <c r="AX26" s="461" t="str">
        <f>IF(AJ26="","",IF(AND($AG$3=$AG$1,AJ26&lt;=$AZ$1),0,IF(Main!$C$26="UGC",0,IF(OR(BB26=3,AL26=VLOOKUP(AL26,'IN RPS-2015'!$I$2:$J$5,1)),0,ROUND(IF(BB26=2,VLOOKUP(AM26,IF(AJ26&lt;$J$152,$A$154:$E$159,$F$154:$J$159),IF($B$10=VLOOKUP(AI26,$B$2:$G$4,6,TRUE),2,IF($B$10=VLOOKUP(AI26,$B$2:$G$4,6,TRUE),3,IF($D$10=VLOOKUP(AI26,$B$2:$G$4,6,TRUE),4,5))))/2,VLOOKUP(AM26,IF(AJ26&lt;$J$152,$A$154:$E$159,$F$154:$J$159),IF($B$10=VLOOKUP(AI26,$B$2:$G$4,6,TRUE),2,IF($B$10=VLOOKUP(AI26,$B$2:$G$4,6,TRUE),3,IF($D$10=VLOOKUP(AI26,$B$2:$G$4,6,TRUE),4,5)))))*(DAY(AK26)-DAY(AJ26)+1)/DAY(EOMONTH(AJ26,0)),0)))))</f>
        <v/>
      </c>
      <c r="AY26" s="461">
        <f t="shared" si="67"/>
        <v>0</v>
      </c>
      <c r="AZ26" s="464" t="str">
        <f>IF(AJ26="","",IF(AND($AG$3=$AG$1,AJ26&lt;=$AZ$1),0,IF(AND(Main!$F$22=Main!$CA$24,AJ26&gt;$AZ$1),ROUND(SUM(AM26,AO26)*10%,0),"")))</f>
        <v/>
      </c>
      <c r="BA26" s="464" t="str">
        <f>IF(AI26="","",IF(AND($AG$3=$AG$1,AJ26&lt;=$AZ$1),0,IF(OR(Main!$H$10=Main!$BH$4,Main!$H$10=Main!$BH$5),0,LOOKUP(AY26*DAY(EOMONTH(AJ26,0))/(DAY(AK26)-DAY(AJ26)+1),$H$184:$I$189))))</f>
        <v/>
      </c>
      <c r="BB26" s="497">
        <f t="shared" si="55"/>
        <v>1</v>
      </c>
      <c r="BC26" s="464"/>
      <c r="BD26" s="501" t="str">
        <f t="shared" si="56"/>
        <v/>
      </c>
      <c r="BE26" s="502" t="str">
        <f t="shared" si="85"/>
        <v/>
      </c>
      <c r="BF26" s="484" t="str">
        <f>IF(BE26="","",MIN(EOMONTH(BE26,0),VLOOKUP(BE26,'IN RPS-2015'!$O$164:$P$202,2,TRUE)-1,LOOKUP(BE26,$E$47:$F$53)-1,IF(BE26&lt;$B$2,$B$2-1,'IN RPS-2015'!$Q$9),IF(BE26&lt;$B$3,$B$3-1,'IN RPS-2015'!$Q$9),IF(BE26&lt;$B$4,$B$4-1,'IN RPS-2015'!$Q$9),LOOKUP(BE26,$H$47:$I$53)))</f>
        <v/>
      </c>
      <c r="BG26" s="493" t="str">
        <f>IF(BE26="","",VLOOKUP(BE26,'IN RPS-2015'!$P$164:$AA$202,10))</f>
        <v/>
      </c>
      <c r="BH26" s="461" t="str">
        <f t="shared" si="68"/>
        <v/>
      </c>
      <c r="BI26" s="461" t="str">
        <f>IF(BE26="","",IF(AND($AG$3=$AG$1,BE26&lt;=$AZ$1),0,ROUND(IF(BW26=3,0,IF(BW26=2,IF(BG26=VLOOKUP(BG26,'IN RPS-2015'!$I$2:$J$5,1),0,Main!$H$9)/2,IF(BG26=VLOOKUP(BG26,'IN RPS-2015'!$I$2:$J$5,1),0,Main!$H$9)))*(DAY(BF26)-DAY(BE26)+1)/DAY(EOMONTH(BE26,0)),0)))</f>
        <v/>
      </c>
      <c r="BJ26" s="461" t="str">
        <f>IF(BE26="","",IF(AND($AG$3=$AG$1,BE26&lt;=$AZ$1),0,IF(BG26=VLOOKUP(BG26,'IN RPS-2015'!$I$2:$J$5,1),0,ROUND(BH26*VLOOKUP(BE26,$AF$4:$AG$7,2)%,0))))</f>
        <v/>
      </c>
      <c r="BK26" s="461" t="str">
        <f>IF(BE26="","",IF(AND($AG$3=$AG$1,BE26&lt;=$AZ$1),0,IF(OR(BW26=3,BG26=VLOOKUP(BG26,'IN RPS-2015'!$I$2:$J$5,1)),0,ROUND(MIN(ROUND(BG26*VLOOKUP(BE26,$B$1:$G$4,2)%,0),VLOOKUP(BE26,$B$2:$I$4,IF($AG$3=$I$29,7,8),TRUE))*(DAY(BF26)-DAY(BE26)+1)/DAY(EOMONTH(BE26,0)),0))))</f>
        <v/>
      </c>
      <c r="BL26" s="491" t="str">
        <f>IF(BE26="","",IF(AND($AG$3=$AG$1,BE26&lt;=$AZ$1),0,IF(Main!$C$26="UGC",0,IF(OR(BE26&lt;DATE(2010,4,1),$I$6=VLOOKUP(BE26,$B$2:$G$4,5,TRUE),BG26=VLOOKUP(BG26,'IN RPS-2015'!$I$2:$J$5,1)),0,ROUND(IF(BW26=3,0,IF(BW26=2,MIN(ROUND(BG26*$G$13%,0),IF(BE26&lt;$J$152,$G$14,$G$15))/2,MIN(ROUND(BG26*$G$13%,0),IF(BE26&lt;$J$152,$G$14,$G$15))))*(DAY(BF26)-DAY(BE26)+1)/DAY(EOMONTH(BE26,0)),0)))))</f>
        <v/>
      </c>
      <c r="BM26" s="461" t="str">
        <f>IF(BE26="","",IF(AND($AG$3=$AG$1,BE26&lt;=$AZ$1),0,IF(Main!$C$26="UGC",0,IF(BG26=VLOOKUP(BG26,'IN RPS-2015'!$I$2:$J$5,1),0,ROUND(BH26*VLOOKUP(BE26,$AF$11:$AG$12,2)%,0)))))</f>
        <v/>
      </c>
      <c r="BN26" s="461" t="str">
        <f>IF(BE26="","",IF(AND($AG$3=$AG$1,BE26&lt;=$AZ$1),0,IF(Main!$C$26="UGC",0,IF(BE26&lt;DATE(2010,4,1),0,IF(OR(BW26=2,BW26=3,BG26=VLOOKUP(BG26,'IN RPS-2015'!$I$2:$J$5,1)),0,ROUND(IF(BE26&lt;$J$152,VLOOKUP(BE26,$B$1:$G$4,4),VLOOKUP(VLOOKUP(BE26,$B$1:$G$4,4),Main!$CE$2:$CF$5,2,FALSE))*(DAY(BF26)-DAY(BE26)+1)/DAY(EOMONTH(BE26,0)),0))))))</f>
        <v/>
      </c>
      <c r="BO26" s="461" t="str">
        <f>IF(BE26="","",IF(AND($AG$3=$AG$1,BE26&lt;=$AZ$1),0,IF(OR(BW26=2,BW26=3,$D$31=$D$28,BG26=VLOOKUP(BG26,'IN RPS-2015'!$I$2:$J$5,1)),0,ROUND(MIN(VLOOKUP(BD26,$A$27:$C$29,2,TRUE),ROUND(BG26*VLOOKUP(BD26,$A$27:$C$29,3,TRUE)%,0))*IF(BD26=$A$36,$C$36,IF(BD26=$A$37,$C$37,IF(BD26=$A$38,$C$38,IF(BD26=$A$39,$C$39,IF(BD26=$A$40,$C$40,IF(BD26=$A$41,$C$41,1))))))*(DAY(BF26)-DAY(BE26)+1)/DAY(EOMONTH(BE26,0)),0))))</f>
        <v/>
      </c>
      <c r="BP26" s="461" t="str">
        <f>IF(BE26="","",IF(AND($AG$3=$AG$1,BE26&lt;=$AZ$1),0,IF(Main!$C$26="UGC",0,IF(OR(BW26=3,BG26=VLOOKUP(BG26,'IN RPS-2015'!$I$2:$J$5,1)),0,ROUND(IF(BW26=2,VLOOKUP(BG26,IF($AG$3=$I$29,$A$20:$E$23,$F$144:$J$147),IF($B$19=VLOOKUP(BE26,$B$2:$G$4,3,TRUE),2,IF($C$19=VLOOKUP(BE26,$B$2:$G$4,3,TRUE),3,IF($D$19=VLOOKUP(BE26,$B$2:$G$4,3,TRUE),4,5))),TRUE),VLOOKUP(BG26,IF($AG$3=$I$29,$A$20:$E$23,$F$144:$J$147),IF($B$19=VLOOKUP(BE26,$B$2:$G$4,3,TRUE),2,IF($C$19=VLOOKUP(BE26,$B$2:$G$4,3,TRUE),3,IF($D$19=VLOOKUP(BE26,$B$2:$G$4,3,TRUE),4,5))),TRUE))*(DAY(BF26)-DAY(BE26)+1)/DAY(EOMONTH(BE26,0)),0)))))</f>
        <v/>
      </c>
      <c r="BQ26" s="461" t="str">
        <f>IF(BE26="","",IF(AND($AG$3=$AG$1,BE26&lt;=$AZ$1),0,IF(Main!$C$26="UGC",0,IF(OR(BD26&lt;DATE(2010,4,1),BW26=3,BG26=VLOOKUP(BG26,'IN RPS-2015'!$I$2:$J$5,1)),0,ROUND(IF(BW26=2,IF(BE26&lt;$J$152,Main!$L$9,Main!$CI$3)/2,IF(BE26&lt;$J$152,Main!$L$9,Main!$CI$3))*(DAY(BF26)-DAY(BE26)+1)/DAY(EOMONTH(BE26,0)),0)))))</f>
        <v/>
      </c>
      <c r="BR26" s="461"/>
      <c r="BS26" s="461" t="str">
        <f>IF(BE26="","",IF(AND($AG$3=$AG$1,BE26&lt;=$AZ$1),0,IF(Main!$C$26="UGC",0,IF(OR(BW26=3,BG26=VLOOKUP(BG26,'IN RPS-2015'!$I$2:$J$5,1)),0,ROUND(IF(BW26=2,VLOOKUP(BH26,IF(BE26&lt;$J$152,$A$154:$E$159,$F$154:$J$159),IF($B$10=VLOOKUP(BD26,$B$2:$G$4,6,TRUE),2,IF($B$10=VLOOKUP(BD26,$B$2:$G$4,6,TRUE),3,IF($D$10=VLOOKUP(BD26,$B$2:$G$4,6,TRUE),4,5))))/2,VLOOKUP(BH26,IF(BE26&lt;$J$152,$A$154:$E$159,$F$154:$J$159),IF($B$10=VLOOKUP(BD26,$B$2:$G$4,6,TRUE),2,IF($B$10=VLOOKUP(BD26,$B$2:$G$4,6,TRUE),3,IF($D$10=VLOOKUP(BD26,$B$2:$G$4,6,TRUE),4,5)))))*(DAY(BF26)-DAY(BE26)+1)/DAY(EOMONTH(BE26,0)),0)))))</f>
        <v/>
      </c>
      <c r="BT26" s="461">
        <f t="shared" si="69"/>
        <v>0</v>
      </c>
      <c r="BU26" s="464" t="str">
        <f>IF(BE26="","",IF(AND($AG$3=$AG$1,BE26&lt;=$AZ$1),0,IF(AND(Main!$F$22=Main!$CA$24,BE26&gt;$AZ$1),ROUND(SUM(BH26,BJ26)*10%,0),"")))</f>
        <v/>
      </c>
      <c r="BV26" s="464" t="str">
        <f>IF(BD26="","",IF(AND($AG$3=$AG$1,BE26&lt;=$AZ$1),0,IF(OR(Main!$H$10=Main!$BH$4,Main!$H$10=Main!$BH$5),0,LOOKUP(BT26*DAY(EOMONTH(BE26,0))/(DAY(BF26)-DAY(BE26)+1),$H$184:$I$189))))</f>
        <v/>
      </c>
      <c r="BW26" s="503">
        <f t="shared" si="70"/>
        <v>1</v>
      </c>
      <c r="BX26" s="457">
        <f t="shared" si="71"/>
        <v>0</v>
      </c>
      <c r="BY26" s="497"/>
      <c r="BZ26" s="497"/>
      <c r="CA26" s="457"/>
      <c r="CB26" s="461"/>
      <c r="CC26" s="499" t="str">
        <f t="shared" si="57"/>
        <v/>
      </c>
      <c r="CD26" s="500" t="str">
        <f t="shared" si="86"/>
        <v/>
      </c>
      <c r="CE26" s="484" t="str">
        <f>IF(CD26="","",MIN(EOMONTH(CD26,0),VLOOKUP(CD26,'IN RPS-2015'!$O$164:$P$202,2,TRUE)-1,LOOKUP(CD26,$E$47:$F$53)-1,IF(CD26&lt;$B$2,$B$2-1,'IN RPS-2015'!$Q$9),IF(CD26&lt;$B$3,$B$3-1,'IN RPS-2015'!$Q$9),IF(CD26&lt;$B$4,$B$4-1,'IN RPS-2015'!$Q$9),LOOKUP(CD26,$H$47:$I$53)))</f>
        <v/>
      </c>
      <c r="CF26" s="490" t="str">
        <f>IF(CD26="","",VLOOKUP(CD26,'IN RPS-2015'!$T$207:$Y$222,5))</f>
        <v/>
      </c>
      <c r="CG26" s="461" t="str">
        <f t="shared" si="72"/>
        <v/>
      </c>
      <c r="CH26" s="461" t="str">
        <f>IF(CD26="","",IF(AND($CA$3=$CA$1,CD26&lt;=$CT$1),0,ROUND(IF(CV26=3,0,IF(CV26=2,IF(CF26=VLOOKUP(CF26,'IN RPS-2015'!$I$2:$J$5,1),0,Main!$H$9)/2,IF(CF26=VLOOKUP(CF26,'IN RPS-2015'!$I$2:$J$5,1),0,Main!$H$9)))*(DAY(CE26)-DAY(CD26)+1)/DAY(EOMONTH(CD26,0)),0)))</f>
        <v/>
      </c>
      <c r="CI26" s="461" t="str">
        <f>IF(CD26="","",IF(AND($CA$3=$CA$1,CD26&lt;=$CT$1),0,IF(CF26=VLOOKUP(CF26,'IN RPS-2015'!$I$2:$J$5,1),0,ROUND(CG26*VLOOKUP(CD26,$BZ$4:$CA$7,2)%,0))))</f>
        <v/>
      </c>
      <c r="CJ26" s="461" t="str">
        <f>IF(CD26="","",IF(AND($CA$3=$CA$1,CD26&lt;=$CT$1),0,IF(OR(CV26=3,CF26=VLOOKUP(CF26,'IN RPS-2015'!$I$2:$J$5,1)),0,ROUND(MIN(ROUND(CF26*VLOOKUP(CD26,$B$1:$G$4,2)%,0),VLOOKUP(CD26,$B$2:$I$4,IF($CA$3=$I$29,7,8),TRUE))*(DAY(CE26)-DAY(CD26)+1)/DAY(EOMONTH(CD26,0)),0))))</f>
        <v/>
      </c>
      <c r="CK26" s="491" t="str">
        <f>IF(CD26="","",IF(AND($CA$3=$CA$1,CD26&lt;=$CT$1),0,IF(Main!$C$26="UGC",0,IF(OR(CD26&lt;DATE(2010,4,1),$I$6=VLOOKUP(CD26,$B$2:$G$4,5,TRUE),CF26=VLOOKUP(CF26,'IN RPS-2015'!$I$2:$J$5,1)),0,ROUND(IF(CV26=3,0,IF(CV26=2,MIN(ROUND(CF26*$G$13%,0),IF(CD26&lt;$J$152,$G$14,$G$15))/2,MIN(ROUND(CF26*$G$13%,0),IF(CD26&lt;$J$152,$G$14,$G$15))))*(DAY(CE26)-DAY(CD26)+1)/DAY(EOMONTH(CD26,0)),0)))))</f>
        <v/>
      </c>
      <c r="CL26" s="461" t="str">
        <f>IF(CD26="","",IF(AND($CA$3=$CA$1,CD26&lt;=$CT$1),0,IF(Main!$C$26="UGC",0,IF(CF26=VLOOKUP(CF26,'IN RPS-2015'!$I$2:$J$5,1),0,ROUND(CG26*VLOOKUP(CD26,$BZ$11:$CA$12,2)%,0)))))</f>
        <v/>
      </c>
      <c r="CM26" s="461" t="str">
        <f>IF(CD26="","",IF(AND($CA$3=$CA$1,CD26&lt;=$CT$1),0,IF(Main!$C$26="UGC",0,IF(CD26&lt;DATE(2010,4,1),0,IF(OR(CV26=2,CV26=3,CF26=VLOOKUP(CF26,'IN RPS-2015'!$I$2:$J$5,1)),0,ROUND(IF(CD26&lt;$J$152,VLOOKUP(CD26,$B$1:$G$4,4),VLOOKUP(VLOOKUP(CD26,$B$1:$G$4,4),Main!$CE$2:$CF$5,2,FALSE))*(DAY(CE26)-DAY(CD26)+1)/DAY(EOMONTH(CD26,0)),0))))))</f>
        <v/>
      </c>
      <c r="CN26" s="461" t="str">
        <f>IF(CD26="","",IF(AND($CA$3=$CA$1,CD26&lt;=$CT$1),0,IF(OR(CV26=2,CV26=3,$D$31=$D$28,CF26=VLOOKUP(CF26,'IN RPS-2015'!$I$2:$J$5,1)),0,ROUND(MIN(VLOOKUP(CC26,$A$27:$C$29,2,TRUE),ROUND(CF26*VLOOKUP(CC26,$A$27:$C$29,3,TRUE)%,0))*IF(CC26=$A$36,$C$36,IF(CC26=$A$37,$C$37,IF(CC26=$A$38,$C$38,IF(CC26=$A$39,$C$39,IF(CC26=$A$40,$C$40,IF(CC26=$A$41,$C$41,1))))))*(DAY(CE26)-DAY(CD26)+1)/DAY(EOMONTH(CD26,0)),0))))</f>
        <v/>
      </c>
      <c r="CO26" s="461" t="str">
        <f>IF(CD26="","",IF(AND($CA$3=$CA$1,CD26&lt;=$CT$1),0,IF(Main!$C$26="UGC",0,IF(OR(CV26=3,CF26=VLOOKUP(CF26,'IN RPS-2015'!$I$2:$J$5,1)),0,ROUND(IF(CV26=2,VLOOKUP(CF26,IF($CA$3=$I$29,$A$20:$E$23,$F$144:$J$147),IF($B$19=VLOOKUP(CD26,$B$2:$G$4,3,TRUE),2,IF($C$19=VLOOKUP(CD26,$B$2:$G$4,3,TRUE),3,IF($D$19=VLOOKUP(CD26,$B$2:$G$4,3,TRUE),4,5))),TRUE),VLOOKUP(CF26,IF($CA$3=$I$29,$A$20:$E$23,$F$144:$J$147),IF($B$19=VLOOKUP(CD26,$B$2:$G$4,3,TRUE),2,IF($C$19=VLOOKUP(CD26,$B$2:$G$4,3,TRUE),3,IF($D$19=VLOOKUP(CD26,$B$2:$G$4,3,TRUE),4,5))),TRUE))*(DAY(CE26)-DAY(CD26)+1)/DAY(EOMONTH(CD26,0)),0)))))</f>
        <v/>
      </c>
      <c r="CP26" s="461" t="str">
        <f>IF(CD26="","",IF(AND($CA$3=$CA$1,CD26&lt;=$CT$1),0,IF(Main!$C$26="UGC",0,IF(OR(CC26&lt;DATE(2010,4,1),CV26=3,CF26=VLOOKUP(CF26,'IN RPS-2015'!$I$2:$J$5,1)),0,ROUND(IF(CV26=2,IF(CD26&lt;$J$152,Main!$L$9,Main!$CI$3)/2,IF(CD26&lt;$J$152,Main!$L$9,Main!$CI$3))*(DAY(CE26)-DAY(CD26)+1)/DAY(EOMONTH(CD26,0)),0)))))</f>
        <v/>
      </c>
      <c r="CQ26" s="461"/>
      <c r="CR26" s="461" t="str">
        <f>IF(CD26="","",IF(AND($CA$3=$CA$1,CD26&lt;=$CT$1),0,IF(Main!$C$26="UGC",0,IF(OR(CV26=3,CF26=VLOOKUP(CF26,'IN RPS-2015'!$I$2:$J$5,1)),0,ROUND(IF(CV26=2,VLOOKUP(CG26,IF(CD26&lt;$J$152,$A$154:$E$159,$F$154:$J$159),IF($B$10=VLOOKUP(CC26,$B$2:$G$4,6,TRUE),2,IF($B$10=VLOOKUP(CC26,$B$2:$G$4,6,TRUE),3,IF($D$10=VLOOKUP(CC26,$B$2:$G$4,6,TRUE),4,5))))/2,VLOOKUP(CG26,IF(CD26&lt;$J$152,$A$154:$E$159,$F$154:$J$159),IF($B$10=VLOOKUP(CC26,$B$2:$G$4,6,TRUE),2,IF($B$10=VLOOKUP(CC26,$B$2:$G$4,6,TRUE),3,IF($D$10=VLOOKUP(CC26,$B$2:$G$4,6,TRUE),4,5)))))*(DAY(CE26)-DAY(CD26)+1)/DAY(EOMONTH(CD26,0)),0)))))</f>
        <v/>
      </c>
      <c r="CS26" s="461">
        <f t="shared" si="73"/>
        <v>0</v>
      </c>
      <c r="CT26" s="464" t="str">
        <f>IF(CD26="","",IF(AND($CA$3=$CA$1,CD26&lt;=$CT$1),0,IF(AND(Main!$F$22=Main!$CA$24,CD26&gt;$CT$1),ROUND(SUM(CG26,CI26)*10%,0),"")))</f>
        <v/>
      </c>
      <c r="CU26" s="464" t="str">
        <f>IF(CC26="","",IF(CG26=0,0,IF(OR(Main!$H$10=Main!$BH$4,Main!$H$10=Main!$BH$5),0,LOOKUP(CS26*DAY(EOMONTH(CD26,0))/(DAY(CE26)-DAY(CD26)+1),$H$184:$I$189))))</f>
        <v/>
      </c>
      <c r="CV26" s="457">
        <f t="shared" si="74"/>
        <v>1</v>
      </c>
      <c r="CW26" s="464"/>
      <c r="CX26" s="501" t="str">
        <f t="shared" si="59"/>
        <v/>
      </c>
      <c r="CY26" s="502" t="str">
        <f t="shared" si="87"/>
        <v/>
      </c>
      <c r="CZ26" s="484" t="str">
        <f>IF(CY26="","",MIN(EOMONTH(CY26,0),VLOOKUP(CY26,'IN RPS-2015'!$O$164:$P$202,2,TRUE)-1,LOOKUP(CY26,$E$47:$F$53)-1,IF(CY26&lt;$B$2,$B$2-1,'IN RPS-2015'!$Q$9),IF(CY26&lt;$B$3,$B$3-1,'IN RPS-2015'!$Q$9),IF(CY26&lt;$B$4,$B$4-1,'IN RPS-2015'!$Q$9),LOOKUP(CY26,$H$47:$I$53)))</f>
        <v/>
      </c>
      <c r="DA26" s="493" t="str">
        <f>IF(CY26="","",VLOOKUP(CY26,'IN RPS-2015'!$T$207:$Y$222,6))</f>
        <v/>
      </c>
      <c r="DB26" s="461" t="str">
        <f t="shared" si="75"/>
        <v/>
      </c>
      <c r="DC26" s="461" t="str">
        <f>IF(CY26="","",IF(AND($CA$3=$CA$1,CY26&lt;=$CT$1),0,ROUND(IF(DQ26=3,0,IF(DQ26=2,IF(DA26=VLOOKUP(DA26,'IN RPS-2015'!$I$2:$J$5,1),0,Main!$H$9)/2,IF(DA26=VLOOKUP(DA26,'IN RPS-2015'!$I$2:$J$5,1),0,Main!$H$9)))*(DAY(CZ26)-DAY(CY26)+1)/DAY(EOMONTH(CY26,0)),0)))</f>
        <v/>
      </c>
      <c r="DD26" s="461" t="str">
        <f>IF(CY26="","",IF(AND($CA$3=$CA$1,CY26&lt;=$CT$1),0,IF(DA26=VLOOKUP(DA26,'IN RPS-2015'!$I$2:$J$5,1),0,ROUND(DB26*VLOOKUP(CY26,$BZ$4:$CA$7,2)%,0))))</f>
        <v/>
      </c>
      <c r="DE26" s="461" t="str">
        <f>IF(CY26="","",IF(AND($CA$3=$CA$1,CY26&lt;=$CT$1),0,IF(OR(DQ26=3,DA26=VLOOKUP(DA26,'IN RPS-2015'!$I$2:$J$5,1)),0,ROUND(MIN(ROUND(DA26*VLOOKUP(CY26,$B$1:$G$4,2)%,0),VLOOKUP(CY26,$B$2:$I$4,IF($CA$3=$I$29,7,8),TRUE))*(DAY(CZ26)-DAY(CY26)+1)/DAY(EOMONTH(CY26,0)),0))))</f>
        <v/>
      </c>
      <c r="DF26" s="491" t="str">
        <f>IF(CY26="","",IF(AND($CA$3=$CA$1,CY26&lt;=$CT$1),0,IF(Main!$C$26="UGC",0,IF(OR(CY26&lt;DATE(2010,4,1),$I$6=VLOOKUP(CY26,$B$2:$G$4,5,TRUE),DA26=VLOOKUP(DA26,'IN RPS-2015'!$I$2:$J$5,1)),0,ROUND(IF(DQ26=3,0,IF(DQ26=2,MIN(ROUND(DA26*$G$13%,0),IF(CY26&lt;$J$152,$G$14,$G$15))/2,MIN(ROUND(DA26*$G$13%,0),IF(CY26&lt;$J$152,$G$14,$G$15))))*(DAY(CZ26)-DAY(CY26)+1)/DAY(EOMONTH(CY26,0)),0)))))</f>
        <v/>
      </c>
      <c r="DG26" s="461" t="str">
        <f>IF(CY26="","",IF(AND($CA$3=$CA$1,CY26&lt;=$CT$1),0,IF(Main!$C$26="UGC",0,IF(DA26=VLOOKUP(DA26,'IN RPS-2015'!$I$2:$J$5,1),0,ROUND(DB26*VLOOKUP(CY26,$BZ$11:$CA$12,2)%,0)))))</f>
        <v/>
      </c>
      <c r="DH26" s="461" t="str">
        <f>IF(CY26="","",IF(AND($CA$3=$CA$1,CY26&lt;=$CT$1),0,IF(Main!$C$26="UGC",0,IF(CY26&lt;DATE(2010,4,1),0,IF(OR(DQ26=2,DQ26=3,DA26=VLOOKUP(DA26,'IN RPS-2015'!$I$2:$J$5,1)),0,ROUND(IF(CY26&lt;$J$152,VLOOKUP(CY26,$B$1:$G$4,4),VLOOKUP(VLOOKUP(CY26,$B$1:$G$4,4),Main!$CE$2:$CF$5,2,FALSE))*(DAY(CZ26)-DAY(CY26)+1)/DAY(EOMONTH(CY26,0)),0))))))</f>
        <v/>
      </c>
      <c r="DI26" s="461" t="str">
        <f>IF(CY26="","",IF(AND($CA$3=$CA$1,CY26&lt;=$CT$1),0,IF(OR(DQ26=2,DQ26=3,$D$31=$D$28,DA26=VLOOKUP(DA26,'IN RPS-2015'!$I$2:$J$5,1)),0,ROUND(MIN(VLOOKUP(CX26,$A$27:$C$29,2,TRUE),ROUND(DA26*VLOOKUP(CX26,$A$27:$C$29,3,TRUE)%,0))*IF(CX26=$A$36,$C$36,IF(CX26=$A$37,$C$37,IF(CX26=$A$38,$C$38,IF(CX26=$A$39,$C$39,IF(CX26=$A$40,$C$40,IF(CX26=$A$41,$C$41,1))))))*(DAY(CZ26)-DAY(CY26)+1)/DAY(EOMONTH(CY26,0)),0))))</f>
        <v/>
      </c>
      <c r="DJ26" s="461" t="str">
        <f>IF(CY26="","",IF(AND($CA$3=$CA$1,CY26&lt;=$CT$1),0,IF(Main!$C$26="UGC",0,IF(OR(DQ26=3,DA26=VLOOKUP(DA26,'IN RPS-2015'!$I$2:$J$5,1)),0,ROUND(IF(DQ26=2,VLOOKUP(DA26,IF($CA$3=$I$29,$A$20:$E$23,$F$144:$J$147),IF($B$19=VLOOKUP(CY26,$B$2:$G$4,3,TRUE),2,IF($C$19=VLOOKUP(CY26,$B$2:$G$4,3,TRUE),3,IF($D$19=VLOOKUP(CY26,$B$2:$G$4,3,TRUE),4,5))),TRUE),VLOOKUP(DA26,IF($CA$3=$I$29,$A$20:$E$23,$F$144:$J$147),IF($B$19=VLOOKUP(CY26,$B$2:$G$4,3,TRUE),2,IF($C$19=VLOOKUP(CY26,$B$2:$G$4,3,TRUE),3,IF($D$19=VLOOKUP(CY26,$B$2:$G$4,3,TRUE),4,5))),TRUE))*(DAY(CZ26)-DAY(CY26)+1)/DAY(EOMONTH(CY26,0)),0)))))</f>
        <v/>
      </c>
      <c r="DK26" s="461" t="str">
        <f>IF(CY26="","",IF(AND($CA$3=$CA$1,CY26&lt;=$CT$1),0,IF(Main!$C$26="UGC",0,IF(OR(CX26&lt;DATE(2010,4,1),DQ26=3,DA26=VLOOKUP(DA26,'IN RPS-2015'!$I$2:$J$5,1)),0,ROUND(IF(DQ26=2,IF(CY26&lt;$J$152,Main!$L$9,Main!$CI$3)/2,IF(CY26&lt;$J$152,Main!$L$9,Main!$CI$3))*(DAY(CZ26)-DAY(CY26)+1)/DAY(EOMONTH(CY26,0)),0)))))</f>
        <v/>
      </c>
      <c r="DL26" s="461"/>
      <c r="DM26" s="461" t="str">
        <f>IF(CY26="","",IF(AND($CA$3=$CA$1,CY26&lt;=$CT$1),0,IF(Main!$C$26="UGC",0,IF(OR(DQ26=3,DA26=VLOOKUP(DA26,'IN RPS-2015'!$I$2:$J$5,1)),0,ROUND(IF(DQ26=2,VLOOKUP(DB26,IF(CY26&lt;$J$152,$A$154:$E$159,$F$154:$J$159),IF($B$10=VLOOKUP(CX26,$B$2:$G$4,6,TRUE),2,IF($B$10=VLOOKUP(CX26,$B$2:$G$4,6,TRUE),3,IF($D$10=VLOOKUP(CX26,$B$2:$G$4,6,TRUE),4,5))))/2,VLOOKUP(DB26,IF(CY26&lt;$J$152,$A$154:$E$159,$F$154:$J$159),IF($B$10=VLOOKUP(CX26,$B$2:$G$4,6,TRUE),2,IF($B$10=VLOOKUP(CX26,$B$2:$G$4,6,TRUE),3,IF($D$10=VLOOKUP(CX26,$B$2:$G$4,6,TRUE),4,5)))))*(DAY(CZ26)-DAY(CY26)+1)/DAY(EOMONTH(CY26,0)),0)))))</f>
        <v/>
      </c>
      <c r="DN26" s="461">
        <f t="shared" si="76"/>
        <v>0</v>
      </c>
      <c r="DO26" s="464" t="str">
        <f>IF(CY26="","",IF(AND($CA$3=$CA$1,CY26&lt;=$CT$1),0,IF(AND(Main!$F$22=Main!$CA$24,CY26&gt;$CT$1),ROUND(SUM(DB26,DD26)*10%,0),"")))</f>
        <v/>
      </c>
      <c r="DP26" s="464" t="str">
        <f>IF(CX26="","",IF(AND($CA$3=$CA$1,CY26&lt;=$CT$1),0,IF(OR(Main!$H$10=Main!$BH$4,Main!$H$10=Main!$BH$5),0,LOOKUP(DN26*DAY(EOMONTH(CY26,0))/(DAY(CZ26)-DAY(CY26)+1),$H$184:$I$189))))</f>
        <v/>
      </c>
      <c r="DQ26" s="457">
        <f t="shared" si="60"/>
        <v>1</v>
      </c>
      <c r="DR26" s="457">
        <f t="shared" si="77"/>
        <v>0</v>
      </c>
      <c r="DS26" s="497"/>
      <c r="DT26" s="497"/>
      <c r="DU26" s="457"/>
      <c r="DV26" s="461"/>
      <c r="DW26" s="499" t="str">
        <f t="shared" si="61"/>
        <v/>
      </c>
      <c r="DX26" s="500" t="str">
        <f t="shared" si="88"/>
        <v/>
      </c>
      <c r="DY26" s="484" t="str">
        <f>IF(DX26="","",MIN(EOMONTH(DX26,0),VLOOKUP(DX26,'IN RPS-2015'!$O$164:$P$202,2,TRUE)-1,LOOKUP(DX26,$E$47:$F$53)-1,IF(DX26&lt;$B$2,$B$2-1,'IN RPS-2015'!$Q$9),IF(DX26&lt;$B$3,$B$3-1,'IN RPS-2015'!$Q$9),IF(DX26&lt;$B$4,$B$4-1,'IN RPS-2015'!$Q$9),LOOKUP(DX26,$H$47:$I$53)))</f>
        <v/>
      </c>
      <c r="DZ26" s="490" t="str">
        <f>IF(DX26="","",VLOOKUP(DX26,'IN RPS-2015'!$P$164:$AA$202,11))</f>
        <v/>
      </c>
      <c r="EA26" s="461" t="str">
        <f t="shared" si="78"/>
        <v/>
      </c>
      <c r="EB26" s="461" t="str">
        <f>IF(DX26="","",ROUND(IF(EP26=3,0,IF(EP26=2,IF(DZ26=VLOOKUP(DZ26,'IN RPS-2015'!$I$2:$J$5,1),0,Main!$H$9)/2,IF(DZ26=VLOOKUP(DZ26,'IN RPS-2015'!$I$2:$J$5,1),0,Main!$H$9)))*(DAY(DY26)-DAY(DX26)+1)/DAY(EOMONTH(DX26,0)),0))</f>
        <v/>
      </c>
      <c r="EC26" s="461" t="str">
        <f>IF(DX26="","",IF(DZ26=VLOOKUP(DZ26,'IN RPS-2015'!$I$2:$J$5,1),0,ROUND(EA26*VLOOKUP(DX26,$DT$4:$DU$7,2)%,0)))</f>
        <v/>
      </c>
      <c r="ED26" s="461" t="str">
        <f>IF(DX26="","",IF(OR(EP26=3,DZ26=VLOOKUP(DZ26,'IN RPS-2015'!$I$2:$J$5,1)),0,ROUND(MIN(ROUND(DZ26*VLOOKUP(DX26,$B$1:$G$4,2)%,0),VLOOKUP(DX26,$B$2:$I$4,IF($DU$3=$I$29,7,8),TRUE))*(DAY(DY26)-DAY(DX26)+1)/DAY(EOMONTH(DX26,0)),0)))</f>
        <v/>
      </c>
      <c r="EE26" s="491" t="str">
        <f>IF(DX26="","",IF(Main!$C$26="UGC",0,IF(OR(DX26&lt;DATE(2010,4,1),$I$6=VLOOKUP(DX26,$B$2:$G$4,5,TRUE),DZ26=VLOOKUP(DZ26,'IN RPS-2015'!$I$2:$J$5,1)),0,ROUND(IF(EP26=3,0,IF(EP26=2,MIN(ROUND(DZ26*$G$13%,0),IF(DX26&lt;$I$152,$G$14,$G$15))/2,MIN(ROUND(DZ26*$G$13%,0),IF(DX26&lt;$I$152,$G$14,$G$15))))*(DAY(DY26)-DAY(DX26)+1)/DAY(EOMONTH(DX26,0)),0))))</f>
        <v/>
      </c>
      <c r="EF26" s="461" t="str">
        <f>IF(DX26="","",IF(Main!$C$26="UGC",0,IF(DZ26=VLOOKUP(DZ26,'IN RPS-2015'!$I$2:$J$5,1),0,ROUND(EA26*VLOOKUP(DX26,$DT$11:$DU$12,2)%,0))))</f>
        <v/>
      </c>
      <c r="EG26" s="461" t="str">
        <f>IF(DX26="","",IF(Main!$C$26="UGC",0,IF(DX26&lt;DATE(2010,4,1),0,IF(OR(EP26=2,EP26=3,DZ26=VLOOKUP(DZ26,'IN RPS-2015'!$I$2:$J$5,1)),0,ROUND(IF(DX26&lt;$I$152,VLOOKUP(DX26,$B$1:$G$4,4),VLOOKUP(VLOOKUP(DX26,$B$1:$G$4,4),Main!$CE$2:$CF$5,2,FALSE))*(DAY(DY26)-DAY(DX26)+1)/DAY(EOMONTH(DX26,0)),0)))))</f>
        <v/>
      </c>
      <c r="EH26" s="461" t="str">
        <f>IF(DX26="","",IF(OR(EP26=2,EP26=3,$D$31=$D$28,DZ26=VLOOKUP(DZ26,'IN RPS-2015'!$I$2:$J$5,1)),0,ROUND(MIN(IF(DX26&lt;$I$152,900,1350),ROUND(DZ26*VLOOKUP(DW26,$A$27:$C$29,3,TRUE)%,0))*IF(DW26=$A$36,$C$36,IF(DW26=$A$37,$C$37,IF(DW26=$A$38,$C$38,IF(DW26=$A$39,$C$39,IF(DW26=$A$40,$C$40,IF(DW26=$A$41,$C$41,1))))))*(DAY(DY26)-DAY(DX26)+1)/DAY(EOMONTH(DX26,0)),0)))</f>
        <v/>
      </c>
      <c r="EI26" s="461" t="str">
        <f>IF(DX26="","",IF(Main!$C$26="UGC",0,IF(OR(EP26=3,DZ26=VLOOKUP(DZ26,'IN RPS-2015'!$I$2:$J$5,1)),0,ROUND(IF(EP26=2,VLOOKUP(DZ26,IF($DU$3=$I$29,$A$20:$E$23,$F$144:$J$147),IF($B$19=VLOOKUP(DX26,$B$2:$G$4,3,TRUE),2,IF($C$19=VLOOKUP(DX26,$B$2:$G$4,3,TRUE),3,IF($D$19=VLOOKUP(DX26,$B$2:$G$4,3,TRUE),4,5))),TRUE),VLOOKUP(DZ26,IF($DU$3=$I$29,$A$20:$E$23,$F$144:$J$147),IF($B$19=VLOOKUP(DX26,$B$2:$G$4,3,TRUE),2,IF($C$19=VLOOKUP(DX26,$B$2:$G$4,3,TRUE),3,IF($D$19=VLOOKUP(DX26,$B$2:$G$4,3,TRUE),4,5))),TRUE))*(DAY(DY26)-DAY(DX26)+1)/DAY(EOMONTH(DX26,0)),0))))</f>
        <v/>
      </c>
      <c r="EJ26" s="461" t="str">
        <f>IF(DX26="","",IF(Main!$C$26="UGC",0,IF(OR(DW26&lt;DATE(2010,4,1),EP26=3,DZ26=VLOOKUP(DZ26,'IN RPS-2015'!$I$2:$J$5,1)),0,ROUND(IF(EP26=2,IF(DX26&lt;$I$152,Main!$L$9,Main!$CI$3)/2,IF(DX26&lt;$I$152,Main!$L$9,Main!$CI$3))*(DAY(DY26)-DAY(DX26)+1)/DAY(EOMONTH(DX26,0)),0))))</f>
        <v/>
      </c>
      <c r="EK26" s="461"/>
      <c r="EL26" s="461" t="str">
        <f>IF(DX26="","",IF(Main!$C$26="UGC",0,IF(OR(EP26=3,DZ26=VLOOKUP(DZ26,'IN RPS-2015'!$I$2:$J$5,1)),0,ROUND(IF(EP26=2,VLOOKUP(EA26,IF(DX26&lt;$I$152,$A$154:$E$159,$F$154:$J$159),IF($B$10=VLOOKUP(DW26,$B$2:$G$4,6,TRUE),2,IF($B$10=VLOOKUP(DW26,$B$2:$G$4,6,TRUE),3,IF($D$10=VLOOKUP(DW26,$B$2:$G$4,6,TRUE),4,5))))/2,VLOOKUP(EA26,IF(DX26&lt;$I$152,$A$154:$E$159,$F$154:$J$159),IF($B$10=VLOOKUP(DW26,$B$2:$G$4,6,TRUE),2,IF($B$10=VLOOKUP(DW26,$B$2:$G$4,6,TRUE),3,IF($D$10=VLOOKUP(DW26,$B$2:$G$4,6,TRUE),4,5)))))*(DAY(DY26)-DAY(DX26)+1)/DAY(EOMONTH(DX26,0)),0))))</f>
        <v/>
      </c>
      <c r="EM26" s="461">
        <f t="shared" si="79"/>
        <v>0</v>
      </c>
      <c r="EN26" s="464" t="str">
        <f>IF(DX26="","",IF(AND(Main!$F$22=Main!$CA$24,DX26&gt;$EN$1),ROUND(SUM(EA26,EC26)*10%,0),""))</f>
        <v/>
      </c>
      <c r="EO26" s="464" t="str">
        <f>IF(DW26="","",IF(EA26=0,0,IF(OR(Main!$H$10=Main!$BH$4,Main!$H$10=Main!$BH$5),0,LOOKUP(EM26*DAY(EOMONTH(DX26,0))/(DAY(DY26)-DAY(DX26)+1),$H$184:$I$189))))</f>
        <v/>
      </c>
      <c r="EP26" s="457">
        <f t="shared" si="62"/>
        <v>1</v>
      </c>
      <c r="ER26" s="497"/>
      <c r="ET26" s="461"/>
      <c r="EU26" s="499" t="str">
        <f t="shared" si="63"/>
        <v/>
      </c>
      <c r="EV26" s="500" t="str">
        <f t="shared" si="89"/>
        <v/>
      </c>
      <c r="EW26" s="484" t="str">
        <f>IF(EV26="","",MIN(EOMONTH(EV26,0),VLOOKUP(EV26,'IN RPS-2015'!$O$164:$P$202,2,TRUE)-1,LOOKUP(EV26,$E$47:$F$53)-1,IF(EV26&lt;$B$2,$B$2-1,'IN RPS-2015'!$Q$9),IF(EV26&lt;$B$3,$B$3-1,'IN RPS-2015'!$Q$9),IF(EV26&lt;$B$4,$B$4-1,'IN RPS-2015'!$Q$9),LOOKUP(EV26,$H$47:$I$53)))</f>
        <v/>
      </c>
      <c r="EX26" s="490" t="str">
        <f>IF(EV26="","",VLOOKUP(EV26,'IN RPS-2015'!$P$164:$AA$202,12))</f>
        <v/>
      </c>
      <c r="EY26" s="461" t="str">
        <f t="shared" si="80"/>
        <v/>
      </c>
      <c r="EZ26" s="461" t="str">
        <f>IF(EV26="","",ROUND(IF(FN26=3,0,IF(FN26=2,IF(EX26=VLOOKUP(EX26,'IN RPS-2015'!$I$2:$J$5,1),0,Main!$H$9)/2,IF(EX26=VLOOKUP(EX26,'IN RPS-2015'!$I$2:$J$5,1),0,Main!$H$9)))*(DAY(EW26)-DAY(EV26)+1)/DAY(EOMONTH(EV26,0)),0))</f>
        <v/>
      </c>
      <c r="FA26" s="461" t="str">
        <f>IF(EV26="","",IF(EX26=VLOOKUP(EX26,'IN RPS-2015'!$I$2:$J$5,1),0,ROUND(EY26*VLOOKUP(EV26,$ER$4:$ES$7,2)%,0)))</f>
        <v/>
      </c>
      <c r="FB26" s="461" t="str">
        <f>IF(EV26="","",IF(OR(FN26=3,EX26=VLOOKUP(EX26,'IN RPS-2015'!$I$2:$J$5,1)),0,ROUND(MIN(ROUND(EX26*VLOOKUP(EV26,$B$1:$G$4,2)%,0),VLOOKUP(EV26,$B$2:$I$4,IF($ES$3=$I$29,7,8),TRUE))*(DAY(EW26)-DAY(EV26)+1)/DAY(EOMONTH(EV26,0)),0)))</f>
        <v/>
      </c>
      <c r="FC26" s="491" t="str">
        <f>IF(EV26="","",IF(Main!$C$26="UGC",0,IF(OR(EV26&lt;DATE(2010,4,1),$I$6=VLOOKUP(EV26,$B$2:$G$4,5,TRUE),EX26=VLOOKUP(EX26,'IN RPS-2015'!$I$2:$J$5,1)),0,ROUND(IF(FN26=3,0,IF(FN26=2,MIN(ROUND(EX26*$G$13%,0),IF(EV26&lt;$J$152,$G$14,$G$15))/2,MIN(ROUND(EX26*$G$13%,0),IF(EV26&lt;$J$152,$G$14,$G$15))))*(DAY(EW26)-DAY(EV26)+1)/DAY(EOMONTH(EV26,0)),0))))</f>
        <v/>
      </c>
      <c r="FD26" s="461" t="str">
        <f>IF(EV26="","",IF(Main!$C$26="UGC",0,IF(EX26=VLOOKUP(EX26,'IN RPS-2015'!$I$2:$J$5,1),0,ROUND(EY26*VLOOKUP(EV26,$ER$11:$ES$12,2)%,0))))</f>
        <v/>
      </c>
      <c r="FE26" s="461" t="str">
        <f>IF(EV26="","",IF(Main!$C$26="UGC",0,IF(EV26&lt;DATE(2010,4,1),0,IF(OR(FN26=2,FN26=3,EX26=VLOOKUP(EX26,'IN RPS-2015'!$I$2:$J$5,1)),0,ROUND(IF(EV26&lt;$J$152,VLOOKUP(EV26,$B$1:$G$4,4),VLOOKUP(VLOOKUP(EV26,$B$1:$G$4,4),Main!$CE$2:$CF$5,2,FALSE))*(DAY(EW26)-DAY(EV26)+1)/DAY(EOMONTH(EV26,0)),0)))))</f>
        <v/>
      </c>
      <c r="FF26" s="461" t="str">
        <f>IF(EV26="","",IF(OR(FN26=2,FN26=3,$D$31=$D$28,EX26=VLOOKUP(EX26,'IN RPS-2015'!$I$2:$J$5,1)),0,ROUND(MIN(VLOOKUP(EU26,$A$27:$C$29,2,TRUE),ROUND(EX26*VLOOKUP(EU26,$A$27:$C$29,3,TRUE)%,0))*IF(EU26=$A$36,$C$36,IF(EU26=$A$37,$C$37,IF(EU26=$A$38,$C$38,IF(EU26=$A$39,$C$39,IF(EU26=$A$40,$C$40,IF(EU26=$A$41,$C$41,1))))))*(DAY(EW26)-DAY(EV26)+1)/DAY(EOMONTH(EV26,0)),0)))</f>
        <v/>
      </c>
      <c r="FG26" s="461" t="str">
        <f>IF(EV26="","",IF(Main!$C$26="UGC",0,IF(OR(FN26=3,EX26=VLOOKUP(EX26,'IN RPS-2015'!$I$2:$J$5,1)),0,ROUND(IF(FN26=2,VLOOKUP(EX26,IF($ES$3=$I$29,$A$20:$E$23,$F$144:$J$147),IF($B$19=VLOOKUP(EV26,$B$2:$G$4,3,TRUE),2,IF($C$19=VLOOKUP(EV26,$B$2:$G$4,3,TRUE),3,IF($D$19=VLOOKUP(EV26,$B$2:$G$4,3,TRUE),4,5))),TRUE),VLOOKUP(EX26,IF($ES$3=$I$29,$A$20:$E$23,$F$144:$J$147),IF($B$19=VLOOKUP(EV26,$B$2:$G$4,3,TRUE),2,IF($C$19=VLOOKUP(EV26,$B$2:$G$4,3,TRUE),3,IF($D$19=VLOOKUP(EV26,$B$2:$G$4,3,TRUE),4,5))),TRUE))*(DAY(EW26)-DAY(EV26)+1)/DAY(EOMONTH(EV26,0)),0))))</f>
        <v/>
      </c>
      <c r="FH26" s="461" t="str">
        <f>IF(EV26="","",IF(Main!$C$26="UGC",0,IF(OR(EU26&lt;DATE(2010,4,1),FN26=3,EX26=VLOOKUP(EX26,'IN RPS-2015'!$I$2:$J$5,1)),0,ROUND(IF(FN26=2,IF(EV26&lt;$J$152,Main!$L$9,Main!$CI$3)/2,IF(EV26&lt;$J$152,Main!$L$9,Main!$CI$3))*(DAY(EW26)-DAY(EV26)+1)/DAY(EOMONTH(EV26,0)),0))))</f>
        <v/>
      </c>
      <c r="FI26" s="461"/>
      <c r="FJ26" s="461" t="str">
        <f>IF(EV26="","",IF(Main!$C$26="UGC",0,IF(OR(FN26=3,EX26=VLOOKUP(EX26,'IN RPS-2015'!$I$2:$J$5,1)),0,ROUND(IF(FN26=2,VLOOKUP(EY26,IF(EV26&lt;$J$152,$A$154:$E$159,$F$154:$J$159),IF($B$10=VLOOKUP(EU26,$B$2:$G$4,6,TRUE),2,IF($B$10=VLOOKUP(EU26,$B$2:$G$4,6,TRUE),3,IF($D$10=VLOOKUP(EU26,$B$2:$G$4,6,TRUE),4,5))))/2,VLOOKUP(EY26,IF(EV26&lt;$J$152,$A$154:$E$159,$F$154:$J$159),IF($B$10=VLOOKUP(EU26,$B$2:$G$4,6,TRUE),2,IF($B$10=VLOOKUP(EU26,$B$2:$G$4,6,TRUE),3,IF($D$10=VLOOKUP(EU26,$B$2:$G$4,6,TRUE),4,5)))))*(DAY(EW26)-DAY(EV26)+1)/DAY(EOMONTH(EV26,0)),0))))</f>
        <v/>
      </c>
      <c r="FK26" s="461">
        <f t="shared" si="81"/>
        <v>0</v>
      </c>
      <c r="FL26" s="464" t="str">
        <f>IF(EV26="","",IF(AND(Main!$F$22=Main!$CA$24,EV26&gt;$FL$1),ROUND(SUM(EY26,FA26)*10%,0),""))</f>
        <v/>
      </c>
      <c r="FM26" s="464" t="str">
        <f>IF(EU26="","",IF(EY26=0,0,IF(OR(Main!$H$10=Main!$BH$4,Main!$H$10=Main!$BH$5),0,LOOKUP(FK26*DAY(EOMONTH(EV26,0))/(DAY(EW26)-DAY(EV26)+1),$H$184:$I$189))))</f>
        <v/>
      </c>
      <c r="FN26" s="457">
        <f t="shared" si="64"/>
        <v>1</v>
      </c>
    </row>
    <row r="27" spans="1:170">
      <c r="A27" s="165">
        <f>DATE(2010,2,1)</f>
        <v>40210</v>
      </c>
      <c r="B27" s="164">
        <v>0</v>
      </c>
      <c r="C27" s="164">
        <v>0</v>
      </c>
      <c r="D27" s="166"/>
      <c r="F27" s="458">
        <f>DATE(2011,1,1)</f>
        <v>40544</v>
      </c>
      <c r="G27" s="458">
        <f>B2</f>
        <v>42005</v>
      </c>
      <c r="K27" s="494" t="str">
        <f t="shared" si="65"/>
        <v/>
      </c>
      <c r="L27" s="495" t="str">
        <f t="shared" si="82"/>
        <v/>
      </c>
      <c r="M27" s="484" t="str">
        <f>IF(L27="","",MIN(EOMONTH(L27,0),VLOOKUP(L27,'IN RPS-2015'!$O$164:$P$202,2,TRUE)-1,LOOKUP(L27,$E$47:$F$53)-1,IF(L27&lt;$B$2,$B$2-1,'IN RPS-2015'!$Q$9),IF(L27&lt;$B$3,$B$3-1,'IN RPS-2015'!$Q$9),IF(L27&lt;$B$4,$B$4-1,'IN RPS-2015'!$Q$9),LOOKUP(L27,$H$47:$I$53)))</f>
        <v/>
      </c>
      <c r="N27" s="496" t="str">
        <f>IF(L27="","",VLOOKUP(L27,'Advance Tax'!$A$3:$C$14,3))</f>
        <v/>
      </c>
      <c r="O27" s="509" t="str">
        <f t="shared" si="52"/>
        <v/>
      </c>
      <c r="P27" s="497" t="str">
        <f>IF(L27="","",ROUND(IF(AD27=3,0,IF(AD27=2,IF(N27=VLOOKUP(N27,'IN RPS-2015'!$I$2:$J$5,1),0,Main!$H$9)/2,IF(N27=VLOOKUP(N27,'IN RPS-2015'!$I$2:$J$5,1),0,Main!$H$9)))*(DAY(M27)-DAY(L27)+1)/DAY(EOMONTH(L27,0)),0))</f>
        <v/>
      </c>
      <c r="Q27" s="457" t="str">
        <f>IF(L27="","",IF(N27=VLOOKUP(N27,'IN RPS-2015'!$I$2:$J$5,1),0,ROUND(O27*IF(L27&lt;Main!$C$27,VLOOKUP(L27,$H$9:$J$12,3),VLOOKUP(L27,$H$9:$J$12,2))%,0)))</f>
        <v/>
      </c>
      <c r="R27" s="457" t="str">
        <f>IF(L27="","",IF(OR(AD27=3,N27=VLOOKUP(N27,'IN RPS-2015'!$I$2:$J$5,1)),0,ROUND(MIN(ROUND(N27*VLOOKUP(L27,$B$1:$G$4,2)%,0),VLOOKUP(L27,$B$2:$I$4,IF(L27&lt;$G$7,7,8),TRUE))*(DAY(M27)-DAY(L27)+1)/DAY(EOMONTH(L27,0)),0)))</f>
        <v/>
      </c>
      <c r="S27" s="486" t="str">
        <f>IF(L27="","",IF(Main!$C$26="UGC",0,IF(OR(L27&lt;DATE(2010,4,1),$I$6=VLOOKUP(L27,$B$2:$G$4,5,TRUE),N27=VLOOKUP(N27,'IN RPS-2015'!$I$2:$J$5,1)),0,ROUND(IF(AD27=3,0,IF(AD27=2,MIN(ROUND(N27*$G$13%,0),IF(L27&lt;$J$152,$G$14,$G$15))/2,MIN(ROUND(N27*$G$13%,0),IF(L27&lt;$J$152,$G$14,$G$15))))*(DAY(M27)-DAY(L27)+1)/DAY(EOMONTH(L27,0)),0))))</f>
        <v/>
      </c>
      <c r="T27" s="457" t="str">
        <f>IF(L27="","",IF(Main!$C$26="UGC",0,IF(N27=VLOOKUP(N27,'IN RPS-2015'!$I$2:$J$5,1),0,ROUND(O27*VLOOKUP(L27,$H$205:$I$206,2)%,0))))</f>
        <v/>
      </c>
      <c r="U27" s="457" t="str">
        <f>IF(L27="","",IF(Main!$C$26="UGC",0,IF(L27&lt;DATE(2010,4,1),0,IF(OR(AD27=2,AD27=3,N27=VLOOKUP(N27,'IN RPS-2015'!$I$2:$J$5,1)),0,ROUND(IF(L27&lt;$J$152,VLOOKUP(L27,$B$1:$G$4,4),VLOOKUP(VLOOKUP(L27,$B$1:$G$4,4),Main!$CE$2:$CF$5,2,FALSE))*(DAY(M27)-DAY(L27)+1)/DAY(EOMONTH(L27,0)),0)))))</f>
        <v/>
      </c>
      <c r="V27" s="457" t="str">
        <f>IF(L27="","",IF(OR(AD27=2,AD27=3,$D$31=$D$28,N27=VLOOKUP(N27,'IN RPS-2015'!$I$2:$J$5,1)),0,ROUND(MIN(VLOOKUP(K27,$A$27:$C$29,2,TRUE),ROUND(N27*VLOOKUP(K27,$A$27:$C$29,3,TRUE)%,0))*IF(K27=$A$36,$C$36,IF(K27=$A$37,$C$37,IF(K27=$A$38,$C$38,IF(K27=$A$39,$C$39,IF(K27=$A$40,$C$40,IF(K27=$A$41,$C$41,1))))))*(DAY(M27)-DAY(L27)+1)/DAY(EOMONTH(L27,0)),0)))</f>
        <v/>
      </c>
      <c r="W27" s="457" t="str">
        <f>IF(L27="","",IF(Main!$C$26="UGC",0,IF(OR(AD27=3,N27=VLOOKUP(N27,'IN RPS-2015'!$I$2:$J$5,1)),0,ROUND(IF(AD27=2,VLOOKUP(N27,IF(L27&lt;$G$7,$A$20:$E$23,$F$144:$J$147),IF($B$19=VLOOKUP(L27,$B$2:$G$4,3,TRUE),2,IF($C$19=VLOOKUP(L27,$B$2:$G$4,3,TRUE),3,IF($D$19=VLOOKUP(L27,$B$2:$G$4,3,TRUE),4,5))),TRUE),VLOOKUP(N27,IF(L27&lt;$G$7,$A$20:$E$23,$F$144:$J$147),IF($B$19=VLOOKUP(L27,$B$2:$G$4,3,TRUE),2,IF($C$19=VLOOKUP(L27,$B$2:$G$4,3,TRUE),3,IF($D$19=VLOOKUP(L27,$B$2:$G$4,3,TRUE),4,5))),TRUE))*(DAY(M27)-DAY(L27)+1)/DAY(EOMONTH(L27,0)),0))))</f>
        <v/>
      </c>
      <c r="X27" s="457" t="str">
        <f>IF(L27="","",IF(Main!$C$26="UGC",0,IF(OR(K27&lt;DATE(2010,4,1),AD27=3,N27=VLOOKUP(N27,'IN RPS-2015'!$I$2:$J$5,1)),0,ROUND(IF(AD27=2,IF(L27&lt;$J$152,Main!$L$9,Main!$CI$3)/2,IF(L27&lt;$J$152,Main!$L$9,Main!$CI$3))*(DAY(M27)-DAY(L27)+1)/DAY(EOMONTH(L27,0)),0))))</f>
        <v/>
      </c>
      <c r="Y27" s="497"/>
      <c r="Z27" s="457" t="str">
        <f>IF(L27="","",IF(Main!$C$26="UGC",0,IF(OR(AD27=3,N27=VLOOKUP(N27,'IN RPS-2015'!$I$2:$J$5,1)),0,ROUND(IF(AD27=2,VLOOKUP(O27,IF(L27&lt;$J$152,$A$154:$E$159,$F$154:$J$159),IF($B$10=VLOOKUP(K27,$B$2:$G$4,6,TRUE),2,IF($B$10=VLOOKUP(K27,$B$2:$G$4,6,TRUE),3,IF($D$10=VLOOKUP(K27,$B$2:$G$4,6,TRUE),4,5))))/2,VLOOKUP(O27,IF(L27&lt;$J$152,$A$154:$E$159,$F$154:$J$159),IF($B$10=VLOOKUP(K27,$B$2:$G$4,6,TRUE),2,IF($B$10=VLOOKUP(K27,$B$2:$G$4,6,TRUE),3,IF($D$10=VLOOKUP(K27,$B$2:$G$4,6,TRUE),4,5)))))*(DAY(M27)-DAY(L27)+1)/DAY(EOMONTH(L27,0)),0))))</f>
        <v/>
      </c>
      <c r="AA27" s="497">
        <f t="shared" si="83"/>
        <v>0</v>
      </c>
      <c r="AB27" s="497"/>
      <c r="AC27" s="497"/>
      <c r="AD27" s="497">
        <f t="shared" si="53"/>
        <v>1</v>
      </c>
      <c r="AE27" s="497"/>
      <c r="AF27" s="497"/>
      <c r="AH27" s="461"/>
      <c r="AI27" s="499" t="str">
        <f t="shared" si="54"/>
        <v/>
      </c>
      <c r="AJ27" s="500" t="str">
        <f t="shared" si="84"/>
        <v/>
      </c>
      <c r="AK27" s="484" t="str">
        <f>IF(AJ27="","",MIN(EOMONTH(AJ27,0),VLOOKUP(AJ27,'IN RPS-2015'!$O$164:$P$202,2,TRUE)-1,LOOKUP(AJ27,$E$47:$F$53)-1,IF(AJ27&lt;$B$2,$B$2-1,'IN RPS-2015'!$Q$9),IF(AJ27&lt;$B$3,$B$3-1,'IN RPS-2015'!$Q$9),IF(AJ27&lt;$B$4,$B$4-1,'IN RPS-2015'!$Q$9),LOOKUP(AJ27,$H$47:$I$53)))</f>
        <v/>
      </c>
      <c r="AL27" s="490" t="str">
        <f>IF(AJ27="","",VLOOKUP(AJ27,'IN RPS-2015'!$P$164:$AA$202,9))</f>
        <v/>
      </c>
      <c r="AM27" s="461" t="str">
        <f t="shared" si="66"/>
        <v/>
      </c>
      <c r="AN27" s="461" t="str">
        <f>IF(AJ27="","",IF(AND($AG$3=$AG$1,AJ27&lt;=$AZ$1),0,ROUND(IF(BB27=3,0,IF(BB27=2,IF(AL27=VLOOKUP(AL27,'IN RPS-2015'!$I$2:$J$5,1),0,Main!$H$9)/2,IF(AL27=VLOOKUP(AL27,'IN RPS-2015'!$I$2:$J$5,1),0,Main!$H$9)))*(DAY(AK27)-DAY(AJ27)+1)/DAY(EOMONTH(AJ27,0)),0)))</f>
        <v/>
      </c>
      <c r="AO27" s="461" t="str">
        <f>IF(AJ27="","",IF(AND($AG$3=$AG$1,AJ27&lt;=$AZ$1),0,IF(AL27=VLOOKUP(AL27,'IN RPS-2015'!$I$2:$J$5,1),0,ROUND(AM27*VLOOKUP(AJ27,$AF$4:$AG$7,2)%,0))))</f>
        <v/>
      </c>
      <c r="AP27" s="461" t="str">
        <f>IF(AJ27="","",IF(AND($AG$3=$AG$1,AJ27&lt;=$AZ$1),0,IF(OR(BB27=3,AL27=VLOOKUP(AL27,'IN RPS-2015'!$I$2:$J$5,1)),0,ROUND(MIN(ROUND(AL27*VLOOKUP(AJ27,$B$1:$G$4,2)%,0),VLOOKUP(AJ27,$B$2:$I$4,IF($AG$3=$I$29,7,8),TRUE))*(DAY(AK27)-DAY(AJ27)+1)/DAY(EOMONTH(AJ27,0)),0))))</f>
        <v/>
      </c>
      <c r="AQ27" s="491" t="str">
        <f>IF(AJ27="","",IF(AND($AG$3=$AG$1,AJ27&lt;=$AZ$1),0,IF(Main!$C$26="UGC",0,IF(OR(AJ27&lt;DATE(2010,4,1),$I$6=VLOOKUP(AJ27,$B$2:$G$4,5,TRUE),AL27=VLOOKUP(AL27,'IN RPS-2015'!$I$2:$J$5,1)),0,ROUND(IF(BB27=3,0,IF(BB27=2,MIN(ROUND(AL27*$G$13%,0),IF(AJ27&lt;$J$152,$G$14,$G$15))/2,MIN(ROUND(AL27*$G$13%,0),IF(AJ27&lt;$J$152,$G$14,$G$15))))*(DAY(AK27)-DAY(AJ27)+1)/DAY(EOMONTH(AJ27,0)),0)))))</f>
        <v/>
      </c>
      <c r="AR27" s="461" t="str">
        <f>IF(AJ27="","",IF(AND($AG$3=$AG$1,AJ27&lt;=$AZ$1),0,IF(Main!$C$26="UGC",0,IF(AL27=VLOOKUP(AL27,'IN RPS-2015'!$I$2:$J$5,1),0,ROUND(AM27*VLOOKUP(AJ27,$AF$11:$AG$12,2)%,0)))))</f>
        <v/>
      </c>
      <c r="AS27" s="461" t="str">
        <f>IF(AJ27="","",IF(AND($AG$3=$AG$1,AJ27&lt;=$AZ$1),0,IF(Main!$C$26="UGC",0,IF(AJ27&lt;DATE(2010,4,1),0,IF(OR(BB27=2,BB27=3,AL27=VLOOKUP(AL27,'IN RPS-2015'!$I$2:$J$5,1)),0,ROUND(IF(AJ27&lt;$J$152,VLOOKUP(AJ27,$B$1:$G$4,4),VLOOKUP(VLOOKUP(AJ27,$B$1:$G$4,4),Main!$CE$2:$CF$5,2,FALSE))*(DAY(AK27)-DAY(AJ27)+1)/DAY(EOMONTH(AJ27,0)),0))))))</f>
        <v/>
      </c>
      <c r="AT27" s="461" t="str">
        <f>IF(AJ27="","",IF(AND($AG$3=$AG$1,AJ27&lt;=$AZ$1),0,IF(OR(BB27=2,BB27=3,$D$31=$D$28,AL27=VLOOKUP(AL27,'IN RPS-2015'!$I$2:$J$5,1)),0,ROUND(MIN(VLOOKUP(AI27,$A$27:$C$29,2,TRUE),ROUND(AL27*VLOOKUP(AI27,$A$27:$C$29,3,TRUE)%,0))*IF(AI27=$A$36,$C$36,IF(AI27=$A$37,$C$37,IF(AI27=$A$38,$C$38,IF(AI27=$A$39,$C$39,IF(AI27=$A$40,$C$40,IF(AI27=$A$41,$C$41,1))))))*(DAY(AK27)-DAY(AJ27)+1)/DAY(EOMONTH(AJ27,0)),0))))</f>
        <v/>
      </c>
      <c r="AU27" s="461" t="str">
        <f>IF(AJ27="","",IF(AND($AG$3=$AG$1,AJ27&lt;=$AZ$1),0,IF(Main!$C$26="UGC",0,IF(OR(BB27=3,AL27=VLOOKUP(AL27,'IN RPS-2015'!$I$2:$J$5,1)),0,ROUND(IF(BB27=2,VLOOKUP(AL27,IF($AG$3=$I$29,$A$20:$E$23,$F$144:$J$147),IF($B$19=VLOOKUP(AJ27,$B$2:$G$4,3,TRUE),2,IF($C$19=VLOOKUP(AJ27,$B$2:$G$4,3,TRUE),3,IF($D$19=VLOOKUP(AJ27,$B$2:$G$4,3,TRUE),4,5))),TRUE),VLOOKUP(AL27,IF($AG$3=$I$29,$A$20:$E$23,$F$144:$J$147),IF($B$19=VLOOKUP(AJ27,$B$2:$G$4,3,TRUE),2,IF($C$19=VLOOKUP(AJ27,$B$2:$G$4,3,TRUE),3,IF($D$19=VLOOKUP(AJ27,$B$2:$G$4,3,TRUE),4,5))),TRUE))*(DAY(AK27)-DAY(AJ27)+1)/DAY(EOMONTH(AJ27,0)),0)))))</f>
        <v/>
      </c>
      <c r="AV27" s="461" t="str">
        <f>IF(AJ27="","",IF(AND($AG$3=$AG$1,AJ27&lt;=$AZ$1),0,IF(Main!$C$26="UGC",0,IF(OR(AI27&lt;DATE(2010,4,1),BB27=3,AL27=VLOOKUP(AL27,'IN RPS-2015'!$I$2:$J$5,1)),0,ROUND(IF(BB27=2,IF(AJ27&lt;$J$152,Main!$L$9,Main!$CI$3)/2,IF(AJ27&lt;$J$152,Main!$L$9,Main!$CI$3))*(DAY(AK27)-DAY(AJ27)+1)/DAY(EOMONTH(AJ27,0)),0)))))</f>
        <v/>
      </c>
      <c r="AW27" s="461"/>
      <c r="AX27" s="461" t="str">
        <f>IF(AJ27="","",IF(AND($AG$3=$AG$1,AJ27&lt;=$AZ$1),0,IF(Main!$C$26="UGC",0,IF(OR(BB27=3,AL27=VLOOKUP(AL27,'IN RPS-2015'!$I$2:$J$5,1)),0,ROUND(IF(BB27=2,VLOOKUP(AM27,IF(AJ27&lt;$J$152,$A$154:$E$159,$F$154:$J$159),IF($B$10=VLOOKUP(AI27,$B$2:$G$4,6,TRUE),2,IF($B$10=VLOOKUP(AI27,$B$2:$G$4,6,TRUE),3,IF($D$10=VLOOKUP(AI27,$B$2:$G$4,6,TRUE),4,5))))/2,VLOOKUP(AM27,IF(AJ27&lt;$J$152,$A$154:$E$159,$F$154:$J$159),IF($B$10=VLOOKUP(AI27,$B$2:$G$4,6,TRUE),2,IF($B$10=VLOOKUP(AI27,$B$2:$G$4,6,TRUE),3,IF($D$10=VLOOKUP(AI27,$B$2:$G$4,6,TRUE),4,5)))))*(DAY(AK27)-DAY(AJ27)+1)/DAY(EOMONTH(AJ27,0)),0)))))</f>
        <v/>
      </c>
      <c r="AY27" s="461">
        <f t="shared" si="67"/>
        <v>0</v>
      </c>
      <c r="AZ27" s="464" t="str">
        <f>IF(AJ27="","",IF(AND($AG$3=$AG$1,AJ27&lt;=$AZ$1),0,IF(AND(Main!$F$22=Main!$CA$24,AJ27&gt;$AZ$1),ROUND(SUM(AM27,AO27)*10%,0),"")))</f>
        <v/>
      </c>
      <c r="BA27" s="464" t="str">
        <f>IF(AI27="","",IF(AND($AG$3=$AG$1,AJ27&lt;=$AZ$1),0,IF(OR(Main!$H$10=Main!$BH$4,Main!$H$10=Main!$BH$5),0,LOOKUP(AY27*DAY(EOMONTH(AJ27,0))/(DAY(AK27)-DAY(AJ27)+1),$H$184:$I$189))))</f>
        <v/>
      </c>
      <c r="BB27" s="497">
        <f t="shared" si="55"/>
        <v>1</v>
      </c>
      <c r="BC27" s="464"/>
      <c r="BD27" s="501" t="str">
        <f t="shared" si="56"/>
        <v/>
      </c>
      <c r="BE27" s="502" t="str">
        <f t="shared" si="85"/>
        <v/>
      </c>
      <c r="BF27" s="484" t="str">
        <f>IF(BE27="","",MIN(EOMONTH(BE27,0),VLOOKUP(BE27,'IN RPS-2015'!$O$164:$P$202,2,TRUE)-1,LOOKUP(BE27,$E$47:$F$53)-1,IF(BE27&lt;$B$2,$B$2-1,'IN RPS-2015'!$Q$9),IF(BE27&lt;$B$3,$B$3-1,'IN RPS-2015'!$Q$9),IF(BE27&lt;$B$4,$B$4-1,'IN RPS-2015'!$Q$9),LOOKUP(BE27,$H$47:$I$53)))</f>
        <v/>
      </c>
      <c r="BG27" s="493" t="str">
        <f>IF(BE27="","",VLOOKUP(BE27,'IN RPS-2015'!$P$164:$AA$202,10))</f>
        <v/>
      </c>
      <c r="BH27" s="461" t="str">
        <f t="shared" si="68"/>
        <v/>
      </c>
      <c r="BI27" s="461" t="str">
        <f>IF(BE27="","",IF(AND($AG$3=$AG$1,BE27&lt;=$AZ$1),0,ROUND(IF(BW27=3,0,IF(BW27=2,IF(BG27=VLOOKUP(BG27,'IN RPS-2015'!$I$2:$J$5,1),0,Main!$H$9)/2,IF(BG27=VLOOKUP(BG27,'IN RPS-2015'!$I$2:$J$5,1),0,Main!$H$9)))*(DAY(BF27)-DAY(BE27)+1)/DAY(EOMONTH(BE27,0)),0)))</f>
        <v/>
      </c>
      <c r="BJ27" s="461" t="str">
        <f>IF(BE27="","",IF(AND($AG$3=$AG$1,BE27&lt;=$AZ$1),0,IF(BG27=VLOOKUP(BG27,'IN RPS-2015'!$I$2:$J$5,1),0,ROUND(BH27*VLOOKUP(BE27,$AF$4:$AG$7,2)%,0))))</f>
        <v/>
      </c>
      <c r="BK27" s="461" t="str">
        <f>IF(BE27="","",IF(AND($AG$3=$AG$1,BE27&lt;=$AZ$1),0,IF(OR(BW27=3,BG27=VLOOKUP(BG27,'IN RPS-2015'!$I$2:$J$5,1)),0,ROUND(MIN(ROUND(BG27*VLOOKUP(BE27,$B$1:$G$4,2)%,0),VLOOKUP(BE27,$B$2:$I$4,IF($AG$3=$I$29,7,8),TRUE))*(DAY(BF27)-DAY(BE27)+1)/DAY(EOMONTH(BE27,0)),0))))</f>
        <v/>
      </c>
      <c r="BL27" s="491" t="str">
        <f>IF(BE27="","",IF(AND($AG$3=$AG$1,BE27&lt;=$AZ$1),0,IF(Main!$C$26="UGC",0,IF(OR(BE27&lt;DATE(2010,4,1),$I$6=VLOOKUP(BE27,$B$2:$G$4,5,TRUE),BG27=VLOOKUP(BG27,'IN RPS-2015'!$I$2:$J$5,1)),0,ROUND(IF(BW27=3,0,IF(BW27=2,MIN(ROUND(BG27*$G$13%,0),IF(BE27&lt;$J$152,$G$14,$G$15))/2,MIN(ROUND(BG27*$G$13%,0),IF(BE27&lt;$J$152,$G$14,$G$15))))*(DAY(BF27)-DAY(BE27)+1)/DAY(EOMONTH(BE27,0)),0)))))</f>
        <v/>
      </c>
      <c r="BM27" s="461" t="str">
        <f>IF(BE27="","",IF(AND($AG$3=$AG$1,BE27&lt;=$AZ$1),0,IF(Main!$C$26="UGC",0,IF(BG27=VLOOKUP(BG27,'IN RPS-2015'!$I$2:$J$5,1),0,ROUND(BH27*VLOOKUP(BE27,$AF$11:$AG$12,2)%,0)))))</f>
        <v/>
      </c>
      <c r="BN27" s="461" t="str">
        <f>IF(BE27="","",IF(AND($AG$3=$AG$1,BE27&lt;=$AZ$1),0,IF(Main!$C$26="UGC",0,IF(BE27&lt;DATE(2010,4,1),0,IF(OR(BW27=2,BW27=3,BG27=VLOOKUP(BG27,'IN RPS-2015'!$I$2:$J$5,1)),0,ROUND(IF(BE27&lt;$J$152,VLOOKUP(BE27,$B$1:$G$4,4),VLOOKUP(VLOOKUP(BE27,$B$1:$G$4,4),Main!$CE$2:$CF$5,2,FALSE))*(DAY(BF27)-DAY(BE27)+1)/DAY(EOMONTH(BE27,0)),0))))))</f>
        <v/>
      </c>
      <c r="BO27" s="461" t="str">
        <f>IF(BE27="","",IF(AND($AG$3=$AG$1,BE27&lt;=$AZ$1),0,IF(OR(BW27=2,BW27=3,$D$31=$D$28,BG27=VLOOKUP(BG27,'IN RPS-2015'!$I$2:$J$5,1)),0,ROUND(MIN(VLOOKUP(BD27,$A$27:$C$29,2,TRUE),ROUND(BG27*VLOOKUP(BD27,$A$27:$C$29,3,TRUE)%,0))*IF(BD27=$A$36,$C$36,IF(BD27=$A$37,$C$37,IF(BD27=$A$38,$C$38,IF(BD27=$A$39,$C$39,IF(BD27=$A$40,$C$40,IF(BD27=$A$41,$C$41,1))))))*(DAY(BF27)-DAY(BE27)+1)/DAY(EOMONTH(BE27,0)),0))))</f>
        <v/>
      </c>
      <c r="BP27" s="461" t="str">
        <f>IF(BE27="","",IF(AND($AG$3=$AG$1,BE27&lt;=$AZ$1),0,IF(Main!$C$26="UGC",0,IF(OR(BW27=3,BG27=VLOOKUP(BG27,'IN RPS-2015'!$I$2:$J$5,1)),0,ROUND(IF(BW27=2,VLOOKUP(BG27,IF($AG$3=$I$29,$A$20:$E$23,$F$144:$J$147),IF($B$19=VLOOKUP(BE27,$B$2:$G$4,3,TRUE),2,IF($C$19=VLOOKUP(BE27,$B$2:$G$4,3,TRUE),3,IF($D$19=VLOOKUP(BE27,$B$2:$G$4,3,TRUE),4,5))),TRUE),VLOOKUP(BG27,IF($AG$3=$I$29,$A$20:$E$23,$F$144:$J$147),IF($B$19=VLOOKUP(BE27,$B$2:$G$4,3,TRUE),2,IF($C$19=VLOOKUP(BE27,$B$2:$G$4,3,TRUE),3,IF($D$19=VLOOKUP(BE27,$B$2:$G$4,3,TRUE),4,5))),TRUE))*(DAY(BF27)-DAY(BE27)+1)/DAY(EOMONTH(BE27,0)),0)))))</f>
        <v/>
      </c>
      <c r="BQ27" s="461" t="str">
        <f>IF(BE27="","",IF(AND($AG$3=$AG$1,BE27&lt;=$AZ$1),0,IF(Main!$C$26="UGC",0,IF(OR(BD27&lt;DATE(2010,4,1),BW27=3,BG27=VLOOKUP(BG27,'IN RPS-2015'!$I$2:$J$5,1)),0,ROUND(IF(BW27=2,IF(BE27&lt;$J$152,Main!$L$9,Main!$CI$3)/2,IF(BE27&lt;$J$152,Main!$L$9,Main!$CI$3))*(DAY(BF27)-DAY(BE27)+1)/DAY(EOMONTH(BE27,0)),0)))))</f>
        <v/>
      </c>
      <c r="BR27" s="461"/>
      <c r="BS27" s="461" t="str">
        <f>IF(BE27="","",IF(AND($AG$3=$AG$1,BE27&lt;=$AZ$1),0,IF(Main!$C$26="UGC",0,IF(OR(BW27=3,BG27=VLOOKUP(BG27,'IN RPS-2015'!$I$2:$J$5,1)),0,ROUND(IF(BW27=2,VLOOKUP(BH27,IF(BE27&lt;$J$152,$A$154:$E$159,$F$154:$J$159),IF($B$10=VLOOKUP(BD27,$B$2:$G$4,6,TRUE),2,IF($B$10=VLOOKUP(BD27,$B$2:$G$4,6,TRUE),3,IF($D$10=VLOOKUP(BD27,$B$2:$G$4,6,TRUE),4,5))))/2,VLOOKUP(BH27,IF(BE27&lt;$J$152,$A$154:$E$159,$F$154:$J$159),IF($B$10=VLOOKUP(BD27,$B$2:$G$4,6,TRUE),2,IF($B$10=VLOOKUP(BD27,$B$2:$G$4,6,TRUE),3,IF($D$10=VLOOKUP(BD27,$B$2:$G$4,6,TRUE),4,5)))))*(DAY(BF27)-DAY(BE27)+1)/DAY(EOMONTH(BE27,0)),0)))))</f>
        <v/>
      </c>
      <c r="BT27" s="461">
        <f t="shared" si="69"/>
        <v>0</v>
      </c>
      <c r="BU27" s="464" t="str">
        <f>IF(BE27="","",IF(AND($AG$3=$AG$1,BE27&lt;=$AZ$1),0,IF(AND(Main!$F$22=Main!$CA$24,BE27&gt;$AZ$1),ROUND(SUM(BH27,BJ27)*10%,0),"")))</f>
        <v/>
      </c>
      <c r="BV27" s="464" t="str">
        <f>IF(BD27="","",IF(AND($AG$3=$AG$1,BE27&lt;=$AZ$1),0,IF(OR(Main!$H$10=Main!$BH$4,Main!$H$10=Main!$BH$5),0,LOOKUP(BT27*DAY(EOMONTH(BE27,0))/(DAY(BF27)-DAY(BE27)+1),$H$184:$I$189))))</f>
        <v/>
      </c>
      <c r="BW27" s="503">
        <f t="shared" si="70"/>
        <v>1</v>
      </c>
      <c r="BX27" s="457">
        <f t="shared" si="71"/>
        <v>0</v>
      </c>
      <c r="BY27" s="497"/>
      <c r="BZ27" s="497"/>
      <c r="CA27" s="457"/>
      <c r="CB27" s="461"/>
      <c r="CC27" s="499" t="str">
        <f t="shared" si="57"/>
        <v/>
      </c>
      <c r="CD27" s="500" t="str">
        <f t="shared" si="86"/>
        <v/>
      </c>
      <c r="CE27" s="484" t="str">
        <f>IF(CD27="","",MIN(EOMONTH(CD27,0),VLOOKUP(CD27,'IN RPS-2015'!$O$164:$P$202,2,TRUE)-1,LOOKUP(CD27,$E$47:$F$53)-1,IF(CD27&lt;$B$2,$B$2-1,'IN RPS-2015'!$Q$9),IF(CD27&lt;$B$3,$B$3-1,'IN RPS-2015'!$Q$9),IF(CD27&lt;$B$4,$B$4-1,'IN RPS-2015'!$Q$9),LOOKUP(CD27,$H$47:$I$53)))</f>
        <v/>
      </c>
      <c r="CF27" s="490" t="str">
        <f>IF(CD27="","",VLOOKUP(CD27,'IN RPS-2015'!$T$207:$Y$222,5))</f>
        <v/>
      </c>
      <c r="CG27" s="461" t="str">
        <f t="shared" si="72"/>
        <v/>
      </c>
      <c r="CH27" s="461" t="str">
        <f>IF(CD27="","",IF(AND($CA$3=$CA$1,CD27&lt;=$CT$1),0,ROUND(IF(CV27=3,0,IF(CV27=2,IF(CF27=VLOOKUP(CF27,'IN RPS-2015'!$I$2:$J$5,1),0,Main!$H$9)/2,IF(CF27=VLOOKUP(CF27,'IN RPS-2015'!$I$2:$J$5,1),0,Main!$H$9)))*(DAY(CE27)-DAY(CD27)+1)/DAY(EOMONTH(CD27,0)),0)))</f>
        <v/>
      </c>
      <c r="CI27" s="461" t="str">
        <f>IF(CD27="","",IF(AND($CA$3=$CA$1,CD27&lt;=$CT$1),0,IF(CF27=VLOOKUP(CF27,'IN RPS-2015'!$I$2:$J$5,1),0,ROUND(CG27*VLOOKUP(CD27,$BZ$4:$CA$7,2)%,0))))</f>
        <v/>
      </c>
      <c r="CJ27" s="461" t="str">
        <f>IF(CD27="","",IF(AND($CA$3=$CA$1,CD27&lt;=$CT$1),0,IF(OR(CV27=3,CF27=VLOOKUP(CF27,'IN RPS-2015'!$I$2:$J$5,1)),0,ROUND(MIN(ROUND(CF27*VLOOKUP(CD27,$B$1:$G$4,2)%,0),VLOOKUP(CD27,$B$2:$I$4,IF($CA$3=$I$29,7,8),TRUE))*(DAY(CE27)-DAY(CD27)+1)/DAY(EOMONTH(CD27,0)),0))))</f>
        <v/>
      </c>
      <c r="CK27" s="491" t="str">
        <f>IF(CD27="","",IF(AND($CA$3=$CA$1,CD27&lt;=$CT$1),0,IF(Main!$C$26="UGC",0,IF(OR(CD27&lt;DATE(2010,4,1),$I$6=VLOOKUP(CD27,$B$2:$G$4,5,TRUE),CF27=VLOOKUP(CF27,'IN RPS-2015'!$I$2:$J$5,1)),0,ROUND(IF(CV27=3,0,IF(CV27=2,MIN(ROUND(CF27*$G$13%,0),IF(CD27&lt;$J$152,$G$14,$G$15))/2,MIN(ROUND(CF27*$G$13%,0),IF(CD27&lt;$J$152,$G$14,$G$15))))*(DAY(CE27)-DAY(CD27)+1)/DAY(EOMONTH(CD27,0)),0)))))</f>
        <v/>
      </c>
      <c r="CL27" s="461" t="str">
        <f>IF(CD27="","",IF(AND($CA$3=$CA$1,CD27&lt;=$CT$1),0,IF(Main!$C$26="UGC",0,IF(CF27=VLOOKUP(CF27,'IN RPS-2015'!$I$2:$J$5,1),0,ROUND(CG27*VLOOKUP(CD27,$BZ$11:$CA$12,2)%,0)))))</f>
        <v/>
      </c>
      <c r="CM27" s="461" t="str">
        <f>IF(CD27="","",IF(AND($CA$3=$CA$1,CD27&lt;=$CT$1),0,IF(Main!$C$26="UGC",0,IF(CD27&lt;DATE(2010,4,1),0,IF(OR(CV27=2,CV27=3,CF27=VLOOKUP(CF27,'IN RPS-2015'!$I$2:$J$5,1)),0,ROUND(IF(CD27&lt;$J$152,VLOOKUP(CD27,$B$1:$G$4,4),VLOOKUP(VLOOKUP(CD27,$B$1:$G$4,4),Main!$CE$2:$CF$5,2,FALSE))*(DAY(CE27)-DAY(CD27)+1)/DAY(EOMONTH(CD27,0)),0))))))</f>
        <v/>
      </c>
      <c r="CN27" s="461" t="str">
        <f>IF(CD27="","",IF(AND($CA$3=$CA$1,CD27&lt;=$CT$1),0,IF(OR(CV27=2,CV27=3,$D$31=$D$28,CF27=VLOOKUP(CF27,'IN RPS-2015'!$I$2:$J$5,1)),0,ROUND(MIN(VLOOKUP(CC27,$A$27:$C$29,2,TRUE),ROUND(CF27*VLOOKUP(CC27,$A$27:$C$29,3,TRUE)%,0))*IF(CC27=$A$36,$C$36,IF(CC27=$A$37,$C$37,IF(CC27=$A$38,$C$38,IF(CC27=$A$39,$C$39,IF(CC27=$A$40,$C$40,IF(CC27=$A$41,$C$41,1))))))*(DAY(CE27)-DAY(CD27)+1)/DAY(EOMONTH(CD27,0)),0))))</f>
        <v/>
      </c>
      <c r="CO27" s="461" t="str">
        <f>IF(CD27="","",IF(AND($CA$3=$CA$1,CD27&lt;=$CT$1),0,IF(Main!$C$26="UGC",0,IF(OR(CV27=3,CF27=VLOOKUP(CF27,'IN RPS-2015'!$I$2:$J$5,1)),0,ROUND(IF(CV27=2,VLOOKUP(CF27,IF($CA$3=$I$29,$A$20:$E$23,$F$144:$J$147),IF($B$19=VLOOKUP(CD27,$B$2:$G$4,3,TRUE),2,IF($C$19=VLOOKUP(CD27,$B$2:$G$4,3,TRUE),3,IF($D$19=VLOOKUP(CD27,$B$2:$G$4,3,TRUE),4,5))),TRUE),VLOOKUP(CF27,IF($CA$3=$I$29,$A$20:$E$23,$F$144:$J$147),IF($B$19=VLOOKUP(CD27,$B$2:$G$4,3,TRUE),2,IF($C$19=VLOOKUP(CD27,$B$2:$G$4,3,TRUE),3,IF($D$19=VLOOKUP(CD27,$B$2:$G$4,3,TRUE),4,5))),TRUE))*(DAY(CE27)-DAY(CD27)+1)/DAY(EOMONTH(CD27,0)),0)))))</f>
        <v/>
      </c>
      <c r="CP27" s="461" t="str">
        <f>IF(CD27="","",IF(AND($CA$3=$CA$1,CD27&lt;=$CT$1),0,IF(Main!$C$26="UGC",0,IF(OR(CC27&lt;DATE(2010,4,1),CV27=3,CF27=VLOOKUP(CF27,'IN RPS-2015'!$I$2:$J$5,1)),0,ROUND(IF(CV27=2,IF(CD27&lt;$J$152,Main!$L$9,Main!$CI$3)/2,IF(CD27&lt;$J$152,Main!$L$9,Main!$CI$3))*(DAY(CE27)-DAY(CD27)+1)/DAY(EOMONTH(CD27,0)),0)))))</f>
        <v/>
      </c>
      <c r="CQ27" s="461"/>
      <c r="CR27" s="461" t="str">
        <f>IF(CD27="","",IF(AND($CA$3=$CA$1,CD27&lt;=$CT$1),0,IF(Main!$C$26="UGC",0,IF(OR(CV27=3,CF27=VLOOKUP(CF27,'IN RPS-2015'!$I$2:$J$5,1)),0,ROUND(IF(CV27=2,VLOOKUP(CG27,IF(CD27&lt;$J$152,$A$154:$E$159,$F$154:$J$159),IF($B$10=VLOOKUP(CC27,$B$2:$G$4,6,TRUE),2,IF($B$10=VLOOKUP(CC27,$B$2:$G$4,6,TRUE),3,IF($D$10=VLOOKUP(CC27,$B$2:$G$4,6,TRUE),4,5))))/2,VLOOKUP(CG27,IF(CD27&lt;$J$152,$A$154:$E$159,$F$154:$J$159),IF($B$10=VLOOKUP(CC27,$B$2:$G$4,6,TRUE),2,IF($B$10=VLOOKUP(CC27,$B$2:$G$4,6,TRUE),3,IF($D$10=VLOOKUP(CC27,$B$2:$G$4,6,TRUE),4,5)))))*(DAY(CE27)-DAY(CD27)+1)/DAY(EOMONTH(CD27,0)),0)))))</f>
        <v/>
      </c>
      <c r="CS27" s="461">
        <f t="shared" si="73"/>
        <v>0</v>
      </c>
      <c r="CT27" s="464" t="str">
        <f>IF(CD27="","",IF(AND($CA$3=$CA$1,CD27&lt;=$CT$1),0,IF(AND(Main!$F$22=Main!$CA$24,CD27&gt;$CT$1),ROUND(SUM(CG27,CI27)*10%,0),"")))</f>
        <v/>
      </c>
      <c r="CU27" s="464" t="str">
        <f>IF(CC27="","",IF(CG27=0,0,IF(OR(Main!$H$10=Main!$BH$4,Main!$H$10=Main!$BH$5),0,LOOKUP(CS27*DAY(EOMONTH(CD27,0))/(DAY(CE27)-DAY(CD27)+1),$H$184:$I$189))))</f>
        <v/>
      </c>
      <c r="CV27" s="457">
        <f t="shared" si="74"/>
        <v>1</v>
      </c>
      <c r="CW27" s="464"/>
      <c r="CX27" s="501" t="str">
        <f t="shared" si="59"/>
        <v/>
      </c>
      <c r="CY27" s="502" t="str">
        <f t="shared" si="87"/>
        <v/>
      </c>
      <c r="CZ27" s="484" t="str">
        <f>IF(CY27="","",MIN(EOMONTH(CY27,0),VLOOKUP(CY27,'IN RPS-2015'!$O$164:$P$202,2,TRUE)-1,LOOKUP(CY27,$E$47:$F$53)-1,IF(CY27&lt;$B$2,$B$2-1,'IN RPS-2015'!$Q$9),IF(CY27&lt;$B$3,$B$3-1,'IN RPS-2015'!$Q$9),IF(CY27&lt;$B$4,$B$4-1,'IN RPS-2015'!$Q$9),LOOKUP(CY27,$H$47:$I$53)))</f>
        <v/>
      </c>
      <c r="DA27" s="493" t="str">
        <f>IF(CY27="","",VLOOKUP(CY27,'IN RPS-2015'!$T$207:$Y$222,6))</f>
        <v/>
      </c>
      <c r="DB27" s="461" t="str">
        <f t="shared" si="75"/>
        <v/>
      </c>
      <c r="DC27" s="461" t="str">
        <f>IF(CY27="","",IF(AND($CA$3=$CA$1,CY27&lt;=$CT$1),0,ROUND(IF(DQ27=3,0,IF(DQ27=2,IF(DA27=VLOOKUP(DA27,'IN RPS-2015'!$I$2:$J$5,1),0,Main!$H$9)/2,IF(DA27=VLOOKUP(DA27,'IN RPS-2015'!$I$2:$J$5,1),0,Main!$H$9)))*(DAY(CZ27)-DAY(CY27)+1)/DAY(EOMONTH(CY27,0)),0)))</f>
        <v/>
      </c>
      <c r="DD27" s="461" t="str">
        <f>IF(CY27="","",IF(AND($CA$3=$CA$1,CY27&lt;=$CT$1),0,IF(DA27=VLOOKUP(DA27,'IN RPS-2015'!$I$2:$J$5,1),0,ROUND(DB27*VLOOKUP(CY27,$BZ$4:$CA$7,2)%,0))))</f>
        <v/>
      </c>
      <c r="DE27" s="461" t="str">
        <f>IF(CY27="","",IF(AND($CA$3=$CA$1,CY27&lt;=$CT$1),0,IF(OR(DQ27=3,DA27=VLOOKUP(DA27,'IN RPS-2015'!$I$2:$J$5,1)),0,ROUND(MIN(ROUND(DA27*VLOOKUP(CY27,$B$1:$G$4,2)%,0),VLOOKUP(CY27,$B$2:$I$4,IF($CA$3=$I$29,7,8),TRUE))*(DAY(CZ27)-DAY(CY27)+1)/DAY(EOMONTH(CY27,0)),0))))</f>
        <v/>
      </c>
      <c r="DF27" s="491" t="str">
        <f>IF(CY27="","",IF(AND($CA$3=$CA$1,CY27&lt;=$CT$1),0,IF(Main!$C$26="UGC",0,IF(OR(CY27&lt;DATE(2010,4,1),$I$6=VLOOKUP(CY27,$B$2:$G$4,5,TRUE),DA27=VLOOKUP(DA27,'IN RPS-2015'!$I$2:$J$5,1)),0,ROUND(IF(DQ27=3,0,IF(DQ27=2,MIN(ROUND(DA27*$G$13%,0),IF(CY27&lt;$J$152,$G$14,$G$15))/2,MIN(ROUND(DA27*$G$13%,0),IF(CY27&lt;$J$152,$G$14,$G$15))))*(DAY(CZ27)-DAY(CY27)+1)/DAY(EOMONTH(CY27,0)),0)))))</f>
        <v/>
      </c>
      <c r="DG27" s="461" t="str">
        <f>IF(CY27="","",IF(AND($CA$3=$CA$1,CY27&lt;=$CT$1),0,IF(Main!$C$26="UGC",0,IF(DA27=VLOOKUP(DA27,'IN RPS-2015'!$I$2:$J$5,1),0,ROUND(DB27*VLOOKUP(CY27,$BZ$11:$CA$12,2)%,0)))))</f>
        <v/>
      </c>
      <c r="DH27" s="461" t="str">
        <f>IF(CY27="","",IF(AND($CA$3=$CA$1,CY27&lt;=$CT$1),0,IF(Main!$C$26="UGC",0,IF(CY27&lt;DATE(2010,4,1),0,IF(OR(DQ27=2,DQ27=3,DA27=VLOOKUP(DA27,'IN RPS-2015'!$I$2:$J$5,1)),0,ROUND(IF(CY27&lt;$J$152,VLOOKUP(CY27,$B$1:$G$4,4),VLOOKUP(VLOOKUP(CY27,$B$1:$G$4,4),Main!$CE$2:$CF$5,2,FALSE))*(DAY(CZ27)-DAY(CY27)+1)/DAY(EOMONTH(CY27,0)),0))))))</f>
        <v/>
      </c>
      <c r="DI27" s="461" t="str">
        <f>IF(CY27="","",IF(AND($CA$3=$CA$1,CY27&lt;=$CT$1),0,IF(OR(DQ27=2,DQ27=3,$D$31=$D$28,DA27=VLOOKUP(DA27,'IN RPS-2015'!$I$2:$J$5,1)),0,ROUND(MIN(VLOOKUP(CX27,$A$27:$C$29,2,TRUE),ROUND(DA27*VLOOKUP(CX27,$A$27:$C$29,3,TRUE)%,0))*IF(CX27=$A$36,$C$36,IF(CX27=$A$37,$C$37,IF(CX27=$A$38,$C$38,IF(CX27=$A$39,$C$39,IF(CX27=$A$40,$C$40,IF(CX27=$A$41,$C$41,1))))))*(DAY(CZ27)-DAY(CY27)+1)/DAY(EOMONTH(CY27,0)),0))))</f>
        <v/>
      </c>
      <c r="DJ27" s="461" t="str">
        <f>IF(CY27="","",IF(AND($CA$3=$CA$1,CY27&lt;=$CT$1),0,IF(Main!$C$26="UGC",0,IF(OR(DQ27=3,DA27=VLOOKUP(DA27,'IN RPS-2015'!$I$2:$J$5,1)),0,ROUND(IF(DQ27=2,VLOOKUP(DA27,IF($CA$3=$I$29,$A$20:$E$23,$F$144:$J$147),IF($B$19=VLOOKUP(CY27,$B$2:$G$4,3,TRUE),2,IF($C$19=VLOOKUP(CY27,$B$2:$G$4,3,TRUE),3,IF($D$19=VLOOKUP(CY27,$B$2:$G$4,3,TRUE),4,5))),TRUE),VLOOKUP(DA27,IF($CA$3=$I$29,$A$20:$E$23,$F$144:$J$147),IF($B$19=VLOOKUP(CY27,$B$2:$G$4,3,TRUE),2,IF($C$19=VLOOKUP(CY27,$B$2:$G$4,3,TRUE),3,IF($D$19=VLOOKUP(CY27,$B$2:$G$4,3,TRUE),4,5))),TRUE))*(DAY(CZ27)-DAY(CY27)+1)/DAY(EOMONTH(CY27,0)),0)))))</f>
        <v/>
      </c>
      <c r="DK27" s="461" t="str">
        <f>IF(CY27="","",IF(AND($CA$3=$CA$1,CY27&lt;=$CT$1),0,IF(Main!$C$26="UGC",0,IF(OR(CX27&lt;DATE(2010,4,1),DQ27=3,DA27=VLOOKUP(DA27,'IN RPS-2015'!$I$2:$J$5,1)),0,ROUND(IF(DQ27=2,IF(CY27&lt;$J$152,Main!$L$9,Main!$CI$3)/2,IF(CY27&lt;$J$152,Main!$L$9,Main!$CI$3))*(DAY(CZ27)-DAY(CY27)+1)/DAY(EOMONTH(CY27,0)),0)))))</f>
        <v/>
      </c>
      <c r="DL27" s="461"/>
      <c r="DM27" s="461" t="str">
        <f>IF(CY27="","",IF(AND($CA$3=$CA$1,CY27&lt;=$CT$1),0,IF(Main!$C$26="UGC",0,IF(OR(DQ27=3,DA27=VLOOKUP(DA27,'IN RPS-2015'!$I$2:$J$5,1)),0,ROUND(IF(DQ27=2,VLOOKUP(DB27,IF(CY27&lt;$J$152,$A$154:$E$159,$F$154:$J$159),IF($B$10=VLOOKUP(CX27,$B$2:$G$4,6,TRUE),2,IF($B$10=VLOOKUP(CX27,$B$2:$G$4,6,TRUE),3,IF($D$10=VLOOKUP(CX27,$B$2:$G$4,6,TRUE),4,5))))/2,VLOOKUP(DB27,IF(CY27&lt;$J$152,$A$154:$E$159,$F$154:$J$159),IF($B$10=VLOOKUP(CX27,$B$2:$G$4,6,TRUE),2,IF($B$10=VLOOKUP(CX27,$B$2:$G$4,6,TRUE),3,IF($D$10=VLOOKUP(CX27,$B$2:$G$4,6,TRUE),4,5)))))*(DAY(CZ27)-DAY(CY27)+1)/DAY(EOMONTH(CY27,0)),0)))))</f>
        <v/>
      </c>
      <c r="DN27" s="461">
        <f t="shared" si="76"/>
        <v>0</v>
      </c>
      <c r="DO27" s="464" t="str">
        <f>IF(CY27="","",IF(AND($CA$3=$CA$1,CY27&lt;=$CT$1),0,IF(AND(Main!$F$22=Main!$CA$24,CY27&gt;$CT$1),ROUND(SUM(DB27,DD27)*10%,0),"")))</f>
        <v/>
      </c>
      <c r="DP27" s="464" t="str">
        <f>IF(CX27="","",IF(AND($CA$3=$CA$1,CY27&lt;=$CT$1),0,IF(OR(Main!$H$10=Main!$BH$4,Main!$H$10=Main!$BH$5),0,LOOKUP(DN27*DAY(EOMONTH(CY27,0))/(DAY(CZ27)-DAY(CY27)+1),$H$184:$I$189))))</f>
        <v/>
      </c>
      <c r="DQ27" s="457">
        <f t="shared" si="60"/>
        <v>1</v>
      </c>
      <c r="DR27" s="457">
        <f t="shared" si="77"/>
        <v>0</v>
      </c>
      <c r="DS27" s="497"/>
      <c r="DT27" s="497"/>
      <c r="DU27" s="457"/>
      <c r="DV27" s="461"/>
      <c r="DW27" s="499" t="str">
        <f t="shared" si="61"/>
        <v/>
      </c>
      <c r="DX27" s="500" t="str">
        <f t="shared" si="88"/>
        <v/>
      </c>
      <c r="DY27" s="484" t="str">
        <f>IF(DX27="","",MIN(EOMONTH(DX27,0),VLOOKUP(DX27,'IN RPS-2015'!$O$164:$P$202,2,TRUE)-1,LOOKUP(DX27,$E$47:$F$53)-1,IF(DX27&lt;$B$2,$B$2-1,'IN RPS-2015'!$Q$9),IF(DX27&lt;$B$3,$B$3-1,'IN RPS-2015'!$Q$9),IF(DX27&lt;$B$4,$B$4-1,'IN RPS-2015'!$Q$9),LOOKUP(DX27,$H$47:$I$53)))</f>
        <v/>
      </c>
      <c r="DZ27" s="490" t="str">
        <f>IF(DX27="","",VLOOKUP(DX27,'IN RPS-2015'!$P$164:$AA$202,11))</f>
        <v/>
      </c>
      <c r="EA27" s="461" t="str">
        <f t="shared" si="78"/>
        <v/>
      </c>
      <c r="EB27" s="461" t="str">
        <f>IF(DX27="","",ROUND(IF(EP27=3,0,IF(EP27=2,IF(DZ27=VLOOKUP(DZ27,'IN RPS-2015'!$I$2:$J$5,1),0,Main!$H$9)/2,IF(DZ27=VLOOKUP(DZ27,'IN RPS-2015'!$I$2:$J$5,1),0,Main!$H$9)))*(DAY(DY27)-DAY(DX27)+1)/DAY(EOMONTH(DX27,0)),0))</f>
        <v/>
      </c>
      <c r="EC27" s="461" t="str">
        <f>IF(DX27="","",IF(DZ27=VLOOKUP(DZ27,'IN RPS-2015'!$I$2:$J$5,1),0,ROUND(EA27*VLOOKUP(DX27,$DT$4:$DU$7,2)%,0)))</f>
        <v/>
      </c>
      <c r="ED27" s="461" t="str">
        <f>IF(DX27="","",IF(OR(EP27=3,DZ27=VLOOKUP(DZ27,'IN RPS-2015'!$I$2:$J$5,1)),0,ROUND(MIN(ROUND(DZ27*VLOOKUP(DX27,$B$1:$G$4,2)%,0),VLOOKUP(DX27,$B$2:$I$4,IF($DU$3=$I$29,7,8),TRUE))*(DAY(DY27)-DAY(DX27)+1)/DAY(EOMONTH(DX27,0)),0)))</f>
        <v/>
      </c>
      <c r="EE27" s="491" t="str">
        <f>IF(DX27="","",IF(Main!$C$26="UGC",0,IF(OR(DX27&lt;DATE(2010,4,1),$I$6=VLOOKUP(DX27,$B$2:$G$4,5,TRUE),DZ27=VLOOKUP(DZ27,'IN RPS-2015'!$I$2:$J$5,1)),0,ROUND(IF(EP27=3,0,IF(EP27=2,MIN(ROUND(DZ27*$G$13%,0),IF(DX27&lt;$I$152,$G$14,$G$15))/2,MIN(ROUND(DZ27*$G$13%,0),IF(DX27&lt;$I$152,$G$14,$G$15))))*(DAY(DY27)-DAY(DX27)+1)/DAY(EOMONTH(DX27,0)),0))))</f>
        <v/>
      </c>
      <c r="EF27" s="461" t="str">
        <f>IF(DX27="","",IF(Main!$C$26="UGC",0,IF(DZ27=VLOOKUP(DZ27,'IN RPS-2015'!$I$2:$J$5,1),0,ROUND(EA27*VLOOKUP(DX27,$DT$11:$DU$12,2)%,0))))</f>
        <v/>
      </c>
      <c r="EG27" s="461" t="str">
        <f>IF(DX27="","",IF(Main!$C$26="UGC",0,IF(DX27&lt;DATE(2010,4,1),0,IF(OR(EP27=2,EP27=3,DZ27=VLOOKUP(DZ27,'IN RPS-2015'!$I$2:$J$5,1)),0,ROUND(IF(DX27&lt;$I$152,VLOOKUP(DX27,$B$1:$G$4,4),VLOOKUP(VLOOKUP(DX27,$B$1:$G$4,4),Main!$CE$2:$CF$5,2,FALSE))*(DAY(DY27)-DAY(DX27)+1)/DAY(EOMONTH(DX27,0)),0)))))</f>
        <v/>
      </c>
      <c r="EH27" s="461" t="str">
        <f>IF(DX27="","",IF(OR(EP27=2,EP27=3,$D$31=$D$28,DZ27=VLOOKUP(DZ27,'IN RPS-2015'!$I$2:$J$5,1)),0,ROUND(MIN(IF(DX27&lt;$I$152,900,1350),ROUND(DZ27*VLOOKUP(DW27,$A$27:$C$29,3,TRUE)%,0))*IF(DW27=$A$36,$C$36,IF(DW27=$A$37,$C$37,IF(DW27=$A$38,$C$38,IF(DW27=$A$39,$C$39,IF(DW27=$A$40,$C$40,IF(DW27=$A$41,$C$41,1))))))*(DAY(DY27)-DAY(DX27)+1)/DAY(EOMONTH(DX27,0)),0)))</f>
        <v/>
      </c>
      <c r="EI27" s="461" t="str">
        <f>IF(DX27="","",IF(Main!$C$26="UGC",0,IF(OR(EP27=3,DZ27=VLOOKUP(DZ27,'IN RPS-2015'!$I$2:$J$5,1)),0,ROUND(IF(EP27=2,VLOOKUP(DZ27,IF($DU$3=$I$29,$A$20:$E$23,$F$144:$J$147),IF($B$19=VLOOKUP(DX27,$B$2:$G$4,3,TRUE),2,IF($C$19=VLOOKUP(DX27,$B$2:$G$4,3,TRUE),3,IF($D$19=VLOOKUP(DX27,$B$2:$G$4,3,TRUE),4,5))),TRUE),VLOOKUP(DZ27,IF($DU$3=$I$29,$A$20:$E$23,$F$144:$J$147),IF($B$19=VLOOKUP(DX27,$B$2:$G$4,3,TRUE),2,IF($C$19=VLOOKUP(DX27,$B$2:$G$4,3,TRUE),3,IF($D$19=VLOOKUP(DX27,$B$2:$G$4,3,TRUE),4,5))),TRUE))*(DAY(DY27)-DAY(DX27)+1)/DAY(EOMONTH(DX27,0)),0))))</f>
        <v/>
      </c>
      <c r="EJ27" s="461" t="str">
        <f>IF(DX27="","",IF(Main!$C$26="UGC",0,IF(OR(DW27&lt;DATE(2010,4,1),EP27=3,DZ27=VLOOKUP(DZ27,'IN RPS-2015'!$I$2:$J$5,1)),0,ROUND(IF(EP27=2,IF(DX27&lt;$I$152,Main!$L$9,Main!$CI$3)/2,IF(DX27&lt;$I$152,Main!$L$9,Main!$CI$3))*(DAY(DY27)-DAY(DX27)+1)/DAY(EOMONTH(DX27,0)),0))))</f>
        <v/>
      </c>
      <c r="EK27" s="461"/>
      <c r="EL27" s="461" t="str">
        <f>IF(DX27="","",IF(Main!$C$26="UGC",0,IF(OR(EP27=3,DZ27=VLOOKUP(DZ27,'IN RPS-2015'!$I$2:$J$5,1)),0,ROUND(IF(EP27=2,VLOOKUP(EA27,IF(DX27&lt;$I$152,$A$154:$E$159,$F$154:$J$159),IF($B$10=VLOOKUP(DW27,$B$2:$G$4,6,TRUE),2,IF($B$10=VLOOKUP(DW27,$B$2:$G$4,6,TRUE),3,IF($D$10=VLOOKUP(DW27,$B$2:$G$4,6,TRUE),4,5))))/2,VLOOKUP(EA27,IF(DX27&lt;$I$152,$A$154:$E$159,$F$154:$J$159),IF($B$10=VLOOKUP(DW27,$B$2:$G$4,6,TRUE),2,IF($B$10=VLOOKUP(DW27,$B$2:$G$4,6,TRUE),3,IF($D$10=VLOOKUP(DW27,$B$2:$G$4,6,TRUE),4,5)))))*(DAY(DY27)-DAY(DX27)+1)/DAY(EOMONTH(DX27,0)),0))))</f>
        <v/>
      </c>
      <c r="EM27" s="461">
        <f t="shared" si="79"/>
        <v>0</v>
      </c>
      <c r="EN27" s="464" t="str">
        <f>IF(DX27="","",IF(AND(Main!$F$22=Main!$CA$24,DX27&gt;$EN$1),ROUND(SUM(EA27,EC27)*10%,0),""))</f>
        <v/>
      </c>
      <c r="EO27" s="464" t="str">
        <f>IF(DW27="","",IF(EA27=0,0,IF(OR(Main!$H$10=Main!$BH$4,Main!$H$10=Main!$BH$5),0,LOOKUP(EM27*DAY(EOMONTH(DX27,0))/(DAY(DY27)-DAY(DX27)+1),$H$184:$I$189))))</f>
        <v/>
      </c>
      <c r="EP27" s="457">
        <f t="shared" si="62"/>
        <v>1</v>
      </c>
      <c r="ER27" s="497"/>
      <c r="ET27" s="461"/>
      <c r="EU27" s="499" t="str">
        <f t="shared" si="63"/>
        <v/>
      </c>
      <c r="EV27" s="500" t="str">
        <f t="shared" si="89"/>
        <v/>
      </c>
      <c r="EW27" s="484" t="str">
        <f>IF(EV27="","",MIN(EOMONTH(EV27,0),VLOOKUP(EV27,'IN RPS-2015'!$O$164:$P$202,2,TRUE)-1,LOOKUP(EV27,$E$47:$F$53)-1,IF(EV27&lt;$B$2,$B$2-1,'IN RPS-2015'!$Q$9),IF(EV27&lt;$B$3,$B$3-1,'IN RPS-2015'!$Q$9),IF(EV27&lt;$B$4,$B$4-1,'IN RPS-2015'!$Q$9),LOOKUP(EV27,$H$47:$I$53)))</f>
        <v/>
      </c>
      <c r="EX27" s="490" t="str">
        <f>IF(EV27="","",VLOOKUP(EV27,'IN RPS-2015'!$P$164:$AA$202,12))</f>
        <v/>
      </c>
      <c r="EY27" s="461" t="str">
        <f t="shared" si="80"/>
        <v/>
      </c>
      <c r="EZ27" s="461" t="str">
        <f>IF(EV27="","",ROUND(IF(FN27=3,0,IF(FN27=2,IF(EX27=VLOOKUP(EX27,'IN RPS-2015'!$I$2:$J$5,1),0,Main!$H$9)/2,IF(EX27=VLOOKUP(EX27,'IN RPS-2015'!$I$2:$J$5,1),0,Main!$H$9)))*(DAY(EW27)-DAY(EV27)+1)/DAY(EOMONTH(EV27,0)),0))</f>
        <v/>
      </c>
      <c r="FA27" s="461" t="str">
        <f>IF(EV27="","",IF(EX27=VLOOKUP(EX27,'IN RPS-2015'!$I$2:$J$5,1),0,ROUND(EY27*VLOOKUP(EV27,$ER$4:$ES$7,2)%,0)))</f>
        <v/>
      </c>
      <c r="FB27" s="461" t="str">
        <f>IF(EV27="","",IF(OR(FN27=3,EX27=VLOOKUP(EX27,'IN RPS-2015'!$I$2:$J$5,1)),0,ROUND(MIN(ROUND(EX27*VLOOKUP(EV27,$B$1:$G$4,2)%,0),VLOOKUP(EV27,$B$2:$I$4,IF($ES$3=$I$29,7,8),TRUE))*(DAY(EW27)-DAY(EV27)+1)/DAY(EOMONTH(EV27,0)),0)))</f>
        <v/>
      </c>
      <c r="FC27" s="491" t="str">
        <f>IF(EV27="","",IF(Main!$C$26="UGC",0,IF(OR(EV27&lt;DATE(2010,4,1),$I$6=VLOOKUP(EV27,$B$2:$G$4,5,TRUE),EX27=VLOOKUP(EX27,'IN RPS-2015'!$I$2:$J$5,1)),0,ROUND(IF(FN27=3,0,IF(FN27=2,MIN(ROUND(EX27*$G$13%,0),IF(EV27&lt;$J$152,$G$14,$G$15))/2,MIN(ROUND(EX27*$G$13%,0),IF(EV27&lt;$J$152,$G$14,$G$15))))*(DAY(EW27)-DAY(EV27)+1)/DAY(EOMONTH(EV27,0)),0))))</f>
        <v/>
      </c>
      <c r="FD27" s="461" t="str">
        <f>IF(EV27="","",IF(Main!$C$26="UGC",0,IF(EX27=VLOOKUP(EX27,'IN RPS-2015'!$I$2:$J$5,1),0,ROUND(EY27*VLOOKUP(EV27,$ER$11:$ES$12,2)%,0))))</f>
        <v/>
      </c>
      <c r="FE27" s="461" t="str">
        <f>IF(EV27="","",IF(Main!$C$26="UGC",0,IF(EV27&lt;DATE(2010,4,1),0,IF(OR(FN27=2,FN27=3,EX27=VLOOKUP(EX27,'IN RPS-2015'!$I$2:$J$5,1)),0,ROUND(IF(EV27&lt;$J$152,VLOOKUP(EV27,$B$1:$G$4,4),VLOOKUP(VLOOKUP(EV27,$B$1:$G$4,4),Main!$CE$2:$CF$5,2,FALSE))*(DAY(EW27)-DAY(EV27)+1)/DAY(EOMONTH(EV27,0)),0)))))</f>
        <v/>
      </c>
      <c r="FF27" s="461" t="str">
        <f>IF(EV27="","",IF(OR(FN27=2,FN27=3,$D$31=$D$28,EX27=VLOOKUP(EX27,'IN RPS-2015'!$I$2:$J$5,1)),0,ROUND(MIN(VLOOKUP(EU27,$A$27:$C$29,2,TRUE),ROUND(EX27*VLOOKUP(EU27,$A$27:$C$29,3,TRUE)%,0))*IF(EU27=$A$36,$C$36,IF(EU27=$A$37,$C$37,IF(EU27=$A$38,$C$38,IF(EU27=$A$39,$C$39,IF(EU27=$A$40,$C$40,IF(EU27=$A$41,$C$41,1))))))*(DAY(EW27)-DAY(EV27)+1)/DAY(EOMONTH(EV27,0)),0)))</f>
        <v/>
      </c>
      <c r="FG27" s="461" t="str">
        <f>IF(EV27="","",IF(Main!$C$26="UGC",0,IF(OR(FN27=3,EX27=VLOOKUP(EX27,'IN RPS-2015'!$I$2:$J$5,1)),0,ROUND(IF(FN27=2,VLOOKUP(EX27,IF($ES$3=$I$29,$A$20:$E$23,$F$144:$J$147),IF($B$19=VLOOKUP(EV27,$B$2:$G$4,3,TRUE),2,IF($C$19=VLOOKUP(EV27,$B$2:$G$4,3,TRUE),3,IF($D$19=VLOOKUP(EV27,$B$2:$G$4,3,TRUE),4,5))),TRUE),VLOOKUP(EX27,IF($ES$3=$I$29,$A$20:$E$23,$F$144:$J$147),IF($B$19=VLOOKUP(EV27,$B$2:$G$4,3,TRUE),2,IF($C$19=VLOOKUP(EV27,$B$2:$G$4,3,TRUE),3,IF($D$19=VLOOKUP(EV27,$B$2:$G$4,3,TRUE),4,5))),TRUE))*(DAY(EW27)-DAY(EV27)+1)/DAY(EOMONTH(EV27,0)),0))))</f>
        <v/>
      </c>
      <c r="FH27" s="461" t="str">
        <f>IF(EV27="","",IF(Main!$C$26="UGC",0,IF(OR(EU27&lt;DATE(2010,4,1),FN27=3,EX27=VLOOKUP(EX27,'IN RPS-2015'!$I$2:$J$5,1)),0,ROUND(IF(FN27=2,IF(EV27&lt;$J$152,Main!$L$9,Main!$CI$3)/2,IF(EV27&lt;$J$152,Main!$L$9,Main!$CI$3))*(DAY(EW27)-DAY(EV27)+1)/DAY(EOMONTH(EV27,0)),0))))</f>
        <v/>
      </c>
      <c r="FI27" s="461"/>
      <c r="FJ27" s="461" t="str">
        <f>IF(EV27="","",IF(Main!$C$26="UGC",0,IF(OR(FN27=3,EX27=VLOOKUP(EX27,'IN RPS-2015'!$I$2:$J$5,1)),0,ROUND(IF(FN27=2,VLOOKUP(EY27,IF(EV27&lt;$J$152,$A$154:$E$159,$F$154:$J$159),IF($B$10=VLOOKUP(EU27,$B$2:$G$4,6,TRUE),2,IF($B$10=VLOOKUP(EU27,$B$2:$G$4,6,TRUE),3,IF($D$10=VLOOKUP(EU27,$B$2:$G$4,6,TRUE),4,5))))/2,VLOOKUP(EY27,IF(EV27&lt;$J$152,$A$154:$E$159,$F$154:$J$159),IF($B$10=VLOOKUP(EU27,$B$2:$G$4,6,TRUE),2,IF($B$10=VLOOKUP(EU27,$B$2:$G$4,6,TRUE),3,IF($D$10=VLOOKUP(EU27,$B$2:$G$4,6,TRUE),4,5)))))*(DAY(EW27)-DAY(EV27)+1)/DAY(EOMONTH(EV27,0)),0))))</f>
        <v/>
      </c>
      <c r="FK27" s="461">
        <f t="shared" si="81"/>
        <v>0</v>
      </c>
      <c r="FL27" s="464" t="str">
        <f>IF(EV27="","",IF(AND(Main!$F$22=Main!$CA$24,EV27&gt;$FL$1),ROUND(SUM(EY27,FA27)*10%,0),""))</f>
        <v/>
      </c>
      <c r="FM27" s="464" t="str">
        <f>IF(EU27="","",IF(EY27=0,0,IF(OR(Main!$H$10=Main!$BH$4,Main!$H$10=Main!$BH$5),0,LOOKUP(FK27*DAY(EOMONTH(EV27,0))/(DAY(EW27)-DAY(EV27)+1),$H$184:$I$189))))</f>
        <v/>
      </c>
      <c r="FN27" s="457">
        <f t="shared" si="64"/>
        <v>1</v>
      </c>
    </row>
    <row r="28" spans="1:170">
      <c r="A28" s="161">
        <f>DATE(2010,4,1)</f>
        <v>40269</v>
      </c>
      <c r="B28" s="162">
        <v>900</v>
      </c>
      <c r="C28" s="164">
        <v>10</v>
      </c>
      <c r="D28" s="164" t="s">
        <v>1358</v>
      </c>
      <c r="F28" s="458">
        <f>B2</f>
        <v>42005</v>
      </c>
      <c r="G28" s="458">
        <f>B3</f>
        <v>42461</v>
      </c>
      <c r="I28" s="505" t="s">
        <v>1884</v>
      </c>
      <c r="K28" s="482">
        <f>F23</f>
        <v>42156</v>
      </c>
      <c r="L28" s="459">
        <f>F23</f>
        <v>42156</v>
      </c>
      <c r="M28" s="484"/>
      <c r="N28" s="496">
        <f>IF(OR(G23=0,F23&lt;DATE(2011,3,1)),0,VLOOKUP(L28,'Advance Tax'!$A$3:$C$14,3))</f>
        <v>25600</v>
      </c>
      <c r="O28" s="511">
        <f>IF(N28=0,0,ROUND(N28*$G$23/30,0))</f>
        <v>12800</v>
      </c>
      <c r="P28" s="512">
        <f>IF(N28=0,0,IF(N28=VLOOKUP(N28,'IN RPS-2015'!$I$2:$J$5,1),0,ROUND(Main!$H$9*$G$23/30,0)))</f>
        <v>53</v>
      </c>
      <c r="Q28" s="512">
        <f>IF(N28=0,0,IF(N28=VLOOKUP(N28,'IN RPS-2015'!$I$2:$J$5,1),0,ROUND(O28*IF(L28&lt;Main!$C$27,VLOOKUP(L28,$H$9:$J$12,3),VLOOKUP(L28,$H$9:$J$12,2))%,0)))</f>
        <v>9971</v>
      </c>
      <c r="R28" s="512">
        <f>IF(N28=0,0,IF(N28=VLOOKUP(N28,'IN RPS-2015'!$I$2:$J$5,1),0,ROUND(MIN(ROUND(N28*VLOOKUP(L28,$B$1:$G$4,2)%,0),VLOOKUP(L28,$B$2:$I$4,IF(L28&lt;$G$7,7,8),TRUE))*$G$23/30,0)))</f>
        <v>2560</v>
      </c>
      <c r="S28" s="513"/>
      <c r="T28" s="513"/>
      <c r="U28" s="513"/>
      <c r="V28" s="513"/>
      <c r="W28" s="512">
        <f>IF(Main!C26="UGC",0,IF(N28=0,0,IF(N28=VLOOKUP(N28,'IN RPS-2015'!$I$2:$J$5,1),0,ROUND(VLOOKUP(N28,IF(L28&lt;$G$7,$A$20:$E$23,$F$144:$J$147),IF($B$19=VLOOKUP(L28,$B$2:$G$4,3,TRUE),2,IF($C$19=VLOOKUP(L28,$B$2:$G$4,3,TRUE),3,IF($D$19=VLOOKUP(L28,$B$2:$G$4,3,TRUE),4,5))),TRUE)*$G$23/30,0))))</f>
        <v>70</v>
      </c>
      <c r="X28" s="513"/>
      <c r="Y28" s="513"/>
      <c r="Z28" s="513"/>
      <c r="AA28" s="513">
        <f t="shared" si="83"/>
        <v>25454</v>
      </c>
      <c r="AB28" s="513"/>
      <c r="AC28" s="513"/>
      <c r="AD28" s="3"/>
      <c r="AE28" s="3"/>
      <c r="AF28" s="3"/>
      <c r="AH28" s="461"/>
      <c r="AI28" s="499" t="str">
        <f t="shared" si="54"/>
        <v/>
      </c>
      <c r="AJ28" s="500" t="str">
        <f t="shared" si="84"/>
        <v/>
      </c>
      <c r="AK28" s="484" t="str">
        <f>IF(AJ28="","",MIN(EOMONTH(AJ28,0),VLOOKUP(AJ28,'IN RPS-2015'!$O$164:$P$202,2,TRUE)-1,LOOKUP(AJ28,$E$47:$F$53)-1,IF(AJ28&lt;$B$2,$B$2-1,'IN RPS-2015'!$Q$9),IF(AJ28&lt;$B$3,$B$3-1,'IN RPS-2015'!$Q$9),IF(AJ28&lt;$B$4,$B$4-1,'IN RPS-2015'!$Q$9),LOOKUP(AJ28,$H$47:$I$53)))</f>
        <v/>
      </c>
      <c r="AL28" s="490" t="str">
        <f>IF(AJ28="","",VLOOKUP(AJ28,'IN RPS-2015'!$P$164:$AA$202,9))</f>
        <v/>
      </c>
      <c r="AM28" s="461" t="str">
        <f t="shared" si="66"/>
        <v/>
      </c>
      <c r="AN28" s="461" t="str">
        <f>IF(AJ28="","",IF(AND($AG$3=$AG$1,AJ28&lt;=$AZ$1),0,ROUND(IF(BB28=3,0,IF(BB28=2,IF(AL28=VLOOKUP(AL28,'IN RPS-2015'!$I$2:$J$5,1),0,Main!$H$9)/2,IF(AL28=VLOOKUP(AL28,'IN RPS-2015'!$I$2:$J$5,1),0,Main!$H$9)))*(DAY(AK28)-DAY(AJ28)+1)/DAY(EOMONTH(AJ28,0)),0)))</f>
        <v/>
      </c>
      <c r="AO28" s="461" t="str">
        <f>IF(AJ28="","",IF(AND($AG$3=$AG$1,AJ28&lt;=$AZ$1),0,IF(AL28=VLOOKUP(AL28,'IN RPS-2015'!$I$2:$J$5,1),0,ROUND(AM28*VLOOKUP(AJ28,$AF$4:$AG$7,2)%,0))))</f>
        <v/>
      </c>
      <c r="AP28" s="461" t="str">
        <f>IF(AJ28="","",IF(AND($AG$3=$AG$1,AJ28&lt;=$AZ$1),0,IF(OR(BB28=3,AL28=VLOOKUP(AL28,'IN RPS-2015'!$I$2:$J$5,1)),0,ROUND(MIN(ROUND(AL28*VLOOKUP(AJ28,$B$1:$G$4,2)%,0),VLOOKUP(AJ28,$B$2:$I$4,IF($AG$3=$I$29,7,8),TRUE))*(DAY(AK28)-DAY(AJ28)+1)/DAY(EOMONTH(AJ28,0)),0))))</f>
        <v/>
      </c>
      <c r="AQ28" s="491" t="str">
        <f>IF(AJ28="","",IF(AND($AG$3=$AG$1,AJ28&lt;=$AZ$1),0,IF(Main!$C$26="UGC",0,IF(OR(AJ28&lt;DATE(2010,4,1),$I$6=VLOOKUP(AJ28,$B$2:$G$4,5,TRUE),AL28=VLOOKUP(AL28,'IN RPS-2015'!$I$2:$J$5,1)),0,ROUND(IF(BB28=3,0,IF(BB28=2,MIN(ROUND(AL28*$G$13%,0),IF(AJ28&lt;$J$152,$G$14,$G$15))/2,MIN(ROUND(AL28*$G$13%,0),IF(AJ28&lt;$J$152,$G$14,$G$15))))*(DAY(AK28)-DAY(AJ28)+1)/DAY(EOMONTH(AJ28,0)),0)))))</f>
        <v/>
      </c>
      <c r="AR28" s="461" t="str">
        <f>IF(AJ28="","",IF(AND($AG$3=$AG$1,AJ28&lt;=$AZ$1),0,IF(Main!$C$26="UGC",0,IF(AL28=VLOOKUP(AL28,'IN RPS-2015'!$I$2:$J$5,1),0,ROUND(AM28*VLOOKUP(AJ28,$AF$11:$AG$12,2)%,0)))))</f>
        <v/>
      </c>
      <c r="AS28" s="461" t="str">
        <f>IF(AJ28="","",IF(AND($AG$3=$AG$1,AJ28&lt;=$AZ$1),0,IF(Main!$C$26="UGC",0,IF(AJ28&lt;DATE(2010,4,1),0,IF(OR(BB28=2,BB28=3,AL28=VLOOKUP(AL28,'IN RPS-2015'!$I$2:$J$5,1)),0,ROUND(IF(AJ28&lt;$J$152,VLOOKUP(AJ28,$B$1:$G$4,4),VLOOKUP(VLOOKUP(AJ28,$B$1:$G$4,4),Main!$CE$2:$CF$5,2,FALSE))*(DAY(AK28)-DAY(AJ28)+1)/DAY(EOMONTH(AJ28,0)),0))))))</f>
        <v/>
      </c>
      <c r="AT28" s="461" t="str">
        <f>IF(AJ28="","",IF(AND($AG$3=$AG$1,AJ28&lt;=$AZ$1),0,IF(OR(BB28=2,BB28=3,$D$31=$D$28,AL28=VLOOKUP(AL28,'IN RPS-2015'!$I$2:$J$5,1)),0,ROUND(MIN(VLOOKUP(AI28,$A$27:$C$29,2,TRUE),ROUND(AL28*VLOOKUP(AI28,$A$27:$C$29,3,TRUE)%,0))*IF(AI28=$A$36,$C$36,IF(AI28=$A$37,$C$37,IF(AI28=$A$38,$C$38,IF(AI28=$A$39,$C$39,IF(AI28=$A$40,$C$40,IF(AI28=$A$41,$C$41,1))))))*(DAY(AK28)-DAY(AJ28)+1)/DAY(EOMONTH(AJ28,0)),0))))</f>
        <v/>
      </c>
      <c r="AU28" s="461" t="str">
        <f>IF(AJ28="","",IF(AND($AG$3=$AG$1,AJ28&lt;=$AZ$1),0,IF(Main!$C$26="UGC",0,IF(OR(BB28=3,AL28=VLOOKUP(AL28,'IN RPS-2015'!$I$2:$J$5,1)),0,ROUND(IF(BB28=2,VLOOKUP(AL28,IF($AG$3=$I$29,$A$20:$E$23,$F$144:$J$147),IF($B$19=VLOOKUP(AJ28,$B$2:$G$4,3,TRUE),2,IF($C$19=VLOOKUP(AJ28,$B$2:$G$4,3,TRUE),3,IF($D$19=VLOOKUP(AJ28,$B$2:$G$4,3,TRUE),4,5))),TRUE),VLOOKUP(AL28,IF($AG$3=$I$29,$A$20:$E$23,$F$144:$J$147),IF($B$19=VLOOKUP(AJ28,$B$2:$G$4,3,TRUE),2,IF($C$19=VLOOKUP(AJ28,$B$2:$G$4,3,TRUE),3,IF($D$19=VLOOKUP(AJ28,$B$2:$G$4,3,TRUE),4,5))),TRUE))*(DAY(AK28)-DAY(AJ28)+1)/DAY(EOMONTH(AJ28,0)),0)))))</f>
        <v/>
      </c>
      <c r="AV28" s="461" t="str">
        <f>IF(AJ28="","",IF(AND($AG$3=$AG$1,AJ28&lt;=$AZ$1),0,IF(Main!$C$26="UGC",0,IF(OR(AI28&lt;DATE(2010,4,1),BB28=3,AL28=VLOOKUP(AL28,'IN RPS-2015'!$I$2:$J$5,1)),0,ROUND(IF(BB28=2,IF(AJ28&lt;$J$152,Main!$L$9,Main!$CI$3)/2,IF(AJ28&lt;$J$152,Main!$L$9,Main!$CI$3))*(DAY(AK28)-DAY(AJ28)+1)/DAY(EOMONTH(AJ28,0)),0)))))</f>
        <v/>
      </c>
      <c r="AW28" s="461"/>
      <c r="AX28" s="461" t="str">
        <f>IF(AJ28="","",IF(AND($AG$3=$AG$1,AJ28&lt;=$AZ$1),0,IF(Main!$C$26="UGC",0,IF(OR(BB28=3,AL28=VLOOKUP(AL28,'IN RPS-2015'!$I$2:$J$5,1)),0,ROUND(IF(BB28=2,VLOOKUP(AM28,IF(AJ28&lt;$J$152,$A$154:$E$159,$F$154:$J$159),IF($B$10=VLOOKUP(AI28,$B$2:$G$4,6,TRUE),2,IF($B$10=VLOOKUP(AI28,$B$2:$G$4,6,TRUE),3,IF($D$10=VLOOKUP(AI28,$B$2:$G$4,6,TRUE),4,5))))/2,VLOOKUP(AM28,IF(AJ28&lt;$J$152,$A$154:$E$159,$F$154:$J$159),IF($B$10=VLOOKUP(AI28,$B$2:$G$4,6,TRUE),2,IF($B$10=VLOOKUP(AI28,$B$2:$G$4,6,TRUE),3,IF($D$10=VLOOKUP(AI28,$B$2:$G$4,6,TRUE),4,5)))))*(DAY(AK28)-DAY(AJ28)+1)/DAY(EOMONTH(AJ28,0)),0)))))</f>
        <v/>
      </c>
      <c r="AY28" s="461">
        <f t="shared" si="67"/>
        <v>0</v>
      </c>
      <c r="AZ28" s="464" t="str">
        <f>IF(AJ28="","",IF(AND($AG$3=$AG$1,AJ28&lt;=$AZ$1),0,IF(AND(Main!$F$22=Main!$CA$24,AJ28&gt;$AZ$1),ROUND(SUM(AM28,AO28)*10%,0),"")))</f>
        <v/>
      </c>
      <c r="BA28" s="464" t="str">
        <f>IF(AI28="","",IF(AND($AG$3=$AG$1,AJ28&lt;=$AZ$1),0,IF(OR(Main!$H$10=Main!$BH$4,Main!$H$10=Main!$BH$5),0,LOOKUP(AY28*DAY(EOMONTH(AJ28,0))/(DAY(AK28)-DAY(AJ28)+1),$H$184:$I$189))))</f>
        <v/>
      </c>
      <c r="BB28" s="497">
        <f t="shared" si="55"/>
        <v>1</v>
      </c>
      <c r="BC28" s="464"/>
      <c r="BD28" s="501" t="str">
        <f t="shared" si="56"/>
        <v/>
      </c>
      <c r="BE28" s="502" t="str">
        <f t="shared" si="85"/>
        <v/>
      </c>
      <c r="BF28" s="484" t="str">
        <f>IF(BE28="","",MIN(EOMONTH(BE28,0),VLOOKUP(BE28,'IN RPS-2015'!$O$164:$P$202,2,TRUE)-1,LOOKUP(BE28,$E$47:$F$53)-1,IF(BE28&lt;$B$2,$B$2-1,'IN RPS-2015'!$Q$9),IF(BE28&lt;$B$3,$B$3-1,'IN RPS-2015'!$Q$9),IF(BE28&lt;$B$4,$B$4-1,'IN RPS-2015'!$Q$9),LOOKUP(BE28,$H$47:$I$53)))</f>
        <v/>
      </c>
      <c r="BG28" s="493" t="str">
        <f>IF(BE28="","",VLOOKUP(BE28,'IN RPS-2015'!$P$164:$AA$202,10))</f>
        <v/>
      </c>
      <c r="BH28" s="461" t="str">
        <f t="shared" si="68"/>
        <v/>
      </c>
      <c r="BI28" s="461" t="str">
        <f>IF(BE28="","",IF(AND($AG$3=$AG$1,BE28&lt;=$AZ$1),0,ROUND(IF(BW28=3,0,IF(BW28=2,IF(BG28=VLOOKUP(BG28,'IN RPS-2015'!$I$2:$J$5,1),0,Main!$H$9)/2,IF(BG28=VLOOKUP(BG28,'IN RPS-2015'!$I$2:$J$5,1),0,Main!$H$9)))*(DAY(BF28)-DAY(BE28)+1)/DAY(EOMONTH(BE28,0)),0)))</f>
        <v/>
      </c>
      <c r="BJ28" s="461" t="str">
        <f>IF(BE28="","",IF(AND($AG$3=$AG$1,BE28&lt;=$AZ$1),0,IF(BG28=VLOOKUP(BG28,'IN RPS-2015'!$I$2:$J$5,1),0,ROUND(BH28*VLOOKUP(BE28,$AF$4:$AG$7,2)%,0))))</f>
        <v/>
      </c>
      <c r="BK28" s="461" t="str">
        <f>IF(BE28="","",IF(AND($AG$3=$AG$1,BE28&lt;=$AZ$1),0,IF(OR(BW28=3,BG28=VLOOKUP(BG28,'IN RPS-2015'!$I$2:$J$5,1)),0,ROUND(MIN(ROUND(BG28*VLOOKUP(BE28,$B$1:$G$4,2)%,0),VLOOKUP(BE28,$B$2:$I$4,IF($AG$3=$I$29,7,8),TRUE))*(DAY(BF28)-DAY(BE28)+1)/DAY(EOMONTH(BE28,0)),0))))</f>
        <v/>
      </c>
      <c r="BL28" s="491" t="str">
        <f>IF(BE28="","",IF(AND($AG$3=$AG$1,BE28&lt;=$AZ$1),0,IF(Main!$C$26="UGC",0,IF(OR(BE28&lt;DATE(2010,4,1),$I$6=VLOOKUP(BE28,$B$2:$G$4,5,TRUE),BG28=VLOOKUP(BG28,'IN RPS-2015'!$I$2:$J$5,1)),0,ROUND(IF(BW28=3,0,IF(BW28=2,MIN(ROUND(BG28*$G$13%,0),IF(BE28&lt;$J$152,$G$14,$G$15))/2,MIN(ROUND(BG28*$G$13%,0),IF(BE28&lt;$J$152,$G$14,$G$15))))*(DAY(BF28)-DAY(BE28)+1)/DAY(EOMONTH(BE28,0)),0)))))</f>
        <v/>
      </c>
      <c r="BM28" s="461" t="str">
        <f>IF(BE28="","",IF(AND($AG$3=$AG$1,BE28&lt;=$AZ$1),0,IF(Main!$C$26="UGC",0,IF(BG28=VLOOKUP(BG28,'IN RPS-2015'!$I$2:$J$5,1),0,ROUND(BH28*VLOOKUP(BE28,$AF$11:$AG$12,2)%,0)))))</f>
        <v/>
      </c>
      <c r="BN28" s="461" t="str">
        <f>IF(BE28="","",IF(AND($AG$3=$AG$1,BE28&lt;=$AZ$1),0,IF(Main!$C$26="UGC",0,IF(BE28&lt;DATE(2010,4,1),0,IF(OR(BW28=2,BW28=3,BG28=VLOOKUP(BG28,'IN RPS-2015'!$I$2:$J$5,1)),0,ROUND(IF(BE28&lt;$J$152,VLOOKUP(BE28,$B$1:$G$4,4),VLOOKUP(VLOOKUP(BE28,$B$1:$G$4,4),Main!$CE$2:$CF$5,2,FALSE))*(DAY(BF28)-DAY(BE28)+1)/DAY(EOMONTH(BE28,0)),0))))))</f>
        <v/>
      </c>
      <c r="BO28" s="461" t="str">
        <f>IF(BE28="","",IF(AND($AG$3=$AG$1,BE28&lt;=$AZ$1),0,IF(OR(BW28=2,BW28=3,$D$31=$D$28,BG28=VLOOKUP(BG28,'IN RPS-2015'!$I$2:$J$5,1)),0,ROUND(MIN(VLOOKUP(BD28,$A$27:$C$29,2,TRUE),ROUND(BG28*VLOOKUP(BD28,$A$27:$C$29,3,TRUE)%,0))*IF(BD28=$A$36,$C$36,IF(BD28=$A$37,$C$37,IF(BD28=$A$38,$C$38,IF(BD28=$A$39,$C$39,IF(BD28=$A$40,$C$40,IF(BD28=$A$41,$C$41,1))))))*(DAY(BF28)-DAY(BE28)+1)/DAY(EOMONTH(BE28,0)),0))))</f>
        <v/>
      </c>
      <c r="BP28" s="461" t="str">
        <f>IF(BE28="","",IF(AND($AG$3=$AG$1,BE28&lt;=$AZ$1),0,IF(Main!$C$26="UGC",0,IF(OR(BW28=3,BG28=VLOOKUP(BG28,'IN RPS-2015'!$I$2:$J$5,1)),0,ROUND(IF(BW28=2,VLOOKUP(BG28,IF($AG$3=$I$29,$A$20:$E$23,$F$144:$J$147),IF($B$19=VLOOKUP(BE28,$B$2:$G$4,3,TRUE),2,IF($C$19=VLOOKUP(BE28,$B$2:$G$4,3,TRUE),3,IF($D$19=VLOOKUP(BE28,$B$2:$G$4,3,TRUE),4,5))),TRUE),VLOOKUP(BG28,IF($AG$3=$I$29,$A$20:$E$23,$F$144:$J$147),IF($B$19=VLOOKUP(BE28,$B$2:$G$4,3,TRUE),2,IF($C$19=VLOOKUP(BE28,$B$2:$G$4,3,TRUE),3,IF($D$19=VLOOKUP(BE28,$B$2:$G$4,3,TRUE),4,5))),TRUE))*(DAY(BF28)-DAY(BE28)+1)/DAY(EOMONTH(BE28,0)),0)))))</f>
        <v/>
      </c>
      <c r="BQ28" s="461" t="str">
        <f>IF(BE28="","",IF(AND($AG$3=$AG$1,BE28&lt;=$AZ$1),0,IF(Main!$C$26="UGC",0,IF(OR(BD28&lt;DATE(2010,4,1),BW28=3,BG28=VLOOKUP(BG28,'IN RPS-2015'!$I$2:$J$5,1)),0,ROUND(IF(BW28=2,IF(BE28&lt;$J$152,Main!$L$9,Main!$CI$3)/2,IF(BE28&lt;$J$152,Main!$L$9,Main!$CI$3))*(DAY(BF28)-DAY(BE28)+1)/DAY(EOMONTH(BE28,0)),0)))))</f>
        <v/>
      </c>
      <c r="BR28" s="461"/>
      <c r="BS28" s="461" t="str">
        <f>IF(BE28="","",IF(AND($AG$3=$AG$1,BE28&lt;=$AZ$1),0,IF(Main!$C$26="UGC",0,IF(OR(BW28=3,BG28=VLOOKUP(BG28,'IN RPS-2015'!$I$2:$J$5,1)),0,ROUND(IF(BW28=2,VLOOKUP(BH28,IF(BE28&lt;$J$152,$A$154:$E$159,$F$154:$J$159),IF($B$10=VLOOKUP(BD28,$B$2:$G$4,6,TRUE),2,IF($B$10=VLOOKUP(BD28,$B$2:$G$4,6,TRUE),3,IF($D$10=VLOOKUP(BD28,$B$2:$G$4,6,TRUE),4,5))))/2,VLOOKUP(BH28,IF(BE28&lt;$J$152,$A$154:$E$159,$F$154:$J$159),IF($B$10=VLOOKUP(BD28,$B$2:$G$4,6,TRUE),2,IF($B$10=VLOOKUP(BD28,$B$2:$G$4,6,TRUE),3,IF($D$10=VLOOKUP(BD28,$B$2:$G$4,6,TRUE),4,5)))))*(DAY(BF28)-DAY(BE28)+1)/DAY(EOMONTH(BE28,0)),0)))))</f>
        <v/>
      </c>
      <c r="BT28" s="461">
        <f t="shared" si="69"/>
        <v>0</v>
      </c>
      <c r="BU28" s="464" t="str">
        <f>IF(BE28="","",IF(AND($AG$3=$AG$1,BE28&lt;=$AZ$1),0,IF(AND(Main!$F$22=Main!$CA$24,BE28&gt;$AZ$1),ROUND(SUM(BH28,BJ28)*10%,0),"")))</f>
        <v/>
      </c>
      <c r="BV28" s="464" t="str">
        <f>IF(BD28="","",IF(AND($AG$3=$AG$1,BE28&lt;=$AZ$1),0,IF(OR(Main!$H$10=Main!$BH$4,Main!$H$10=Main!$BH$5),0,LOOKUP(BT28*DAY(EOMONTH(BE28,0))/(DAY(BF28)-DAY(BE28)+1),$H$184:$I$189))))</f>
        <v/>
      </c>
      <c r="BW28" s="503">
        <f t="shared" si="70"/>
        <v>1</v>
      </c>
      <c r="BX28" s="457">
        <f t="shared" si="71"/>
        <v>0</v>
      </c>
      <c r="CA28" s="457"/>
      <c r="CB28" s="461"/>
      <c r="CC28" s="499" t="str">
        <f t="shared" si="57"/>
        <v/>
      </c>
      <c r="CD28" s="500" t="str">
        <f t="shared" si="86"/>
        <v/>
      </c>
      <c r="CE28" s="484" t="str">
        <f>IF(CD28="","",MIN(EOMONTH(CD28,0),VLOOKUP(CD28,'IN RPS-2015'!$O$164:$P$202,2,TRUE)-1,LOOKUP(CD28,$E$47:$F$53)-1,IF(CD28&lt;$B$2,$B$2-1,'IN RPS-2015'!$Q$9),IF(CD28&lt;$B$3,$B$3-1,'IN RPS-2015'!$Q$9),IF(CD28&lt;$B$4,$B$4-1,'IN RPS-2015'!$Q$9),LOOKUP(CD28,$H$47:$I$53)))</f>
        <v/>
      </c>
      <c r="CF28" s="490" t="str">
        <f>IF(CD28="","",VLOOKUP(CD28,'IN RPS-2015'!$T$207:$Y$222,5))</f>
        <v/>
      </c>
      <c r="CG28" s="461" t="str">
        <f t="shared" si="72"/>
        <v/>
      </c>
      <c r="CH28" s="461" t="str">
        <f>IF(CD28="","",IF(AND($CA$3=$CA$1,CD28&lt;=$CT$1),0,ROUND(IF(CV28=3,0,IF(CV28=2,IF(CF28=VLOOKUP(CF28,'IN RPS-2015'!$I$2:$J$5,1),0,Main!$H$9)/2,IF(CF28=VLOOKUP(CF28,'IN RPS-2015'!$I$2:$J$5,1),0,Main!$H$9)))*(DAY(CE28)-DAY(CD28)+1)/DAY(EOMONTH(CD28,0)),0)))</f>
        <v/>
      </c>
      <c r="CI28" s="461" t="str">
        <f>IF(CD28="","",IF(AND($CA$3=$CA$1,CD28&lt;=$CT$1),0,IF(CF28=VLOOKUP(CF28,'IN RPS-2015'!$I$2:$J$5,1),0,ROUND(CG28*VLOOKUP(CD28,$BZ$4:$CA$7,2)%,0))))</f>
        <v/>
      </c>
      <c r="CJ28" s="461" t="str">
        <f>IF(CD28="","",IF(AND($CA$3=$CA$1,CD28&lt;=$CT$1),0,IF(OR(CV28=3,CF28=VLOOKUP(CF28,'IN RPS-2015'!$I$2:$J$5,1)),0,ROUND(MIN(ROUND(CF28*VLOOKUP(CD28,$B$1:$G$4,2)%,0),VLOOKUP(CD28,$B$2:$I$4,IF($CA$3=$I$29,7,8),TRUE))*(DAY(CE28)-DAY(CD28)+1)/DAY(EOMONTH(CD28,0)),0))))</f>
        <v/>
      </c>
      <c r="CK28" s="491" t="str">
        <f>IF(CD28="","",IF(AND($CA$3=$CA$1,CD28&lt;=$CT$1),0,IF(Main!$C$26="UGC",0,IF(OR(CD28&lt;DATE(2010,4,1),$I$6=VLOOKUP(CD28,$B$2:$G$4,5,TRUE),CF28=VLOOKUP(CF28,'IN RPS-2015'!$I$2:$J$5,1)),0,ROUND(IF(CV28=3,0,IF(CV28=2,MIN(ROUND(CF28*$G$13%,0),IF(CD28&lt;$J$152,$G$14,$G$15))/2,MIN(ROUND(CF28*$G$13%,0),IF(CD28&lt;$J$152,$G$14,$G$15))))*(DAY(CE28)-DAY(CD28)+1)/DAY(EOMONTH(CD28,0)),0)))))</f>
        <v/>
      </c>
      <c r="CL28" s="461" t="str">
        <f>IF(CD28="","",IF(AND($CA$3=$CA$1,CD28&lt;=$CT$1),0,IF(Main!$C$26="UGC",0,IF(CF28=VLOOKUP(CF28,'IN RPS-2015'!$I$2:$J$5,1),0,ROUND(CG28*VLOOKUP(CD28,$BZ$11:$CA$12,2)%,0)))))</f>
        <v/>
      </c>
      <c r="CM28" s="461" t="str">
        <f>IF(CD28="","",IF(AND($CA$3=$CA$1,CD28&lt;=$CT$1),0,IF(Main!$C$26="UGC",0,IF(CD28&lt;DATE(2010,4,1),0,IF(OR(CV28=2,CV28=3,CF28=VLOOKUP(CF28,'IN RPS-2015'!$I$2:$J$5,1)),0,ROUND(IF(CD28&lt;$J$152,VLOOKUP(CD28,$B$1:$G$4,4),VLOOKUP(VLOOKUP(CD28,$B$1:$G$4,4),Main!$CE$2:$CF$5,2,FALSE))*(DAY(CE28)-DAY(CD28)+1)/DAY(EOMONTH(CD28,0)),0))))))</f>
        <v/>
      </c>
      <c r="CN28" s="461" t="str">
        <f>IF(CD28="","",IF(AND($CA$3=$CA$1,CD28&lt;=$CT$1),0,IF(OR(CV28=2,CV28=3,$D$31=$D$28,CF28=VLOOKUP(CF28,'IN RPS-2015'!$I$2:$J$5,1)),0,ROUND(MIN(VLOOKUP(CC28,$A$27:$C$29,2,TRUE),ROUND(CF28*VLOOKUP(CC28,$A$27:$C$29,3,TRUE)%,0))*IF(CC28=$A$36,$C$36,IF(CC28=$A$37,$C$37,IF(CC28=$A$38,$C$38,IF(CC28=$A$39,$C$39,IF(CC28=$A$40,$C$40,IF(CC28=$A$41,$C$41,1))))))*(DAY(CE28)-DAY(CD28)+1)/DAY(EOMONTH(CD28,0)),0))))</f>
        <v/>
      </c>
      <c r="CO28" s="461" t="str">
        <f>IF(CD28="","",IF(AND($CA$3=$CA$1,CD28&lt;=$CT$1),0,IF(Main!$C$26="UGC",0,IF(OR(CV28=3,CF28=VLOOKUP(CF28,'IN RPS-2015'!$I$2:$J$5,1)),0,ROUND(IF(CV28=2,VLOOKUP(CF28,IF($CA$3=$I$29,$A$20:$E$23,$F$144:$J$147),IF($B$19=VLOOKUP(CD28,$B$2:$G$4,3,TRUE),2,IF($C$19=VLOOKUP(CD28,$B$2:$G$4,3,TRUE),3,IF($D$19=VLOOKUP(CD28,$B$2:$G$4,3,TRUE),4,5))),TRUE),VLOOKUP(CF28,IF($CA$3=$I$29,$A$20:$E$23,$F$144:$J$147),IF($B$19=VLOOKUP(CD28,$B$2:$G$4,3,TRUE),2,IF($C$19=VLOOKUP(CD28,$B$2:$G$4,3,TRUE),3,IF($D$19=VLOOKUP(CD28,$B$2:$G$4,3,TRUE),4,5))),TRUE))*(DAY(CE28)-DAY(CD28)+1)/DAY(EOMONTH(CD28,0)),0)))))</f>
        <v/>
      </c>
      <c r="CP28" s="461" t="str">
        <f>IF(CD28="","",IF(AND($CA$3=$CA$1,CD28&lt;=$CT$1),0,IF(Main!$C$26="UGC",0,IF(OR(CC28&lt;DATE(2010,4,1),CV28=3,CF28=VLOOKUP(CF28,'IN RPS-2015'!$I$2:$J$5,1)),0,ROUND(IF(CV28=2,IF(CD28&lt;$J$152,Main!$L$9,Main!$CI$3)/2,IF(CD28&lt;$J$152,Main!$L$9,Main!$CI$3))*(DAY(CE28)-DAY(CD28)+1)/DAY(EOMONTH(CD28,0)),0)))))</f>
        <v/>
      </c>
      <c r="CQ28" s="461"/>
      <c r="CR28" s="461" t="str">
        <f>IF(CD28="","",IF(AND($CA$3=$CA$1,CD28&lt;=$CT$1),0,IF(Main!$C$26="UGC",0,IF(OR(CV28=3,CF28=VLOOKUP(CF28,'IN RPS-2015'!$I$2:$J$5,1)),0,ROUND(IF(CV28=2,VLOOKUP(CG28,IF(CD28&lt;$J$152,$A$154:$E$159,$F$154:$J$159),IF($B$10=VLOOKUP(CC28,$B$2:$G$4,6,TRUE),2,IF($B$10=VLOOKUP(CC28,$B$2:$G$4,6,TRUE),3,IF($D$10=VLOOKUP(CC28,$B$2:$G$4,6,TRUE),4,5))))/2,VLOOKUP(CG28,IF(CD28&lt;$J$152,$A$154:$E$159,$F$154:$J$159),IF($B$10=VLOOKUP(CC28,$B$2:$G$4,6,TRUE),2,IF($B$10=VLOOKUP(CC28,$B$2:$G$4,6,TRUE),3,IF($D$10=VLOOKUP(CC28,$B$2:$G$4,6,TRUE),4,5)))))*(DAY(CE28)-DAY(CD28)+1)/DAY(EOMONTH(CD28,0)),0)))))</f>
        <v/>
      </c>
      <c r="CS28" s="461">
        <f t="shared" si="73"/>
        <v>0</v>
      </c>
      <c r="CT28" s="464" t="str">
        <f>IF(CD28="","",IF(AND($CA$3=$CA$1,CD28&lt;=$CT$1),0,IF(AND(Main!$F$22=Main!$CA$24,CD28&gt;$CT$1),ROUND(SUM(CG28,CI28)*10%,0),"")))</f>
        <v/>
      </c>
      <c r="CU28" s="464" t="str">
        <f>IF(CC28="","",IF(CG28=0,0,IF(OR(Main!$H$10=Main!$BH$4,Main!$H$10=Main!$BH$5),0,LOOKUP(CS28*DAY(EOMONTH(CD28,0))/(DAY(CE28)-DAY(CD28)+1),$H$184:$I$189))))</f>
        <v/>
      </c>
      <c r="CV28" s="457">
        <f t="shared" si="74"/>
        <v>1</v>
      </c>
      <c r="CW28" s="464"/>
      <c r="CX28" s="501" t="str">
        <f t="shared" si="59"/>
        <v/>
      </c>
      <c r="CY28" s="502" t="str">
        <f t="shared" si="87"/>
        <v/>
      </c>
      <c r="CZ28" s="484" t="str">
        <f>IF(CY28="","",MIN(EOMONTH(CY28,0),VLOOKUP(CY28,'IN RPS-2015'!$O$164:$P$202,2,TRUE)-1,LOOKUP(CY28,$E$47:$F$53)-1,IF(CY28&lt;$B$2,$B$2-1,'IN RPS-2015'!$Q$9),IF(CY28&lt;$B$3,$B$3-1,'IN RPS-2015'!$Q$9),IF(CY28&lt;$B$4,$B$4-1,'IN RPS-2015'!$Q$9),LOOKUP(CY28,$H$47:$I$53)))</f>
        <v/>
      </c>
      <c r="DA28" s="493" t="str">
        <f>IF(CY28="","",VLOOKUP(CY28,'IN RPS-2015'!$T$207:$Y$222,6))</f>
        <v/>
      </c>
      <c r="DB28" s="461" t="str">
        <f t="shared" si="75"/>
        <v/>
      </c>
      <c r="DC28" s="461" t="str">
        <f>IF(CY28="","",IF(AND($CA$3=$CA$1,CY28&lt;=$CT$1),0,ROUND(IF(DQ28=3,0,IF(DQ28=2,IF(DA28=VLOOKUP(DA28,'IN RPS-2015'!$I$2:$J$5,1),0,Main!$H$9)/2,IF(DA28=VLOOKUP(DA28,'IN RPS-2015'!$I$2:$J$5,1),0,Main!$H$9)))*(DAY(CZ28)-DAY(CY28)+1)/DAY(EOMONTH(CY28,0)),0)))</f>
        <v/>
      </c>
      <c r="DD28" s="461" t="str">
        <f>IF(CY28="","",IF(AND($CA$3=$CA$1,CY28&lt;=$CT$1),0,IF(DA28=VLOOKUP(DA28,'IN RPS-2015'!$I$2:$J$5,1),0,ROUND(DB28*VLOOKUP(CY28,$BZ$4:$CA$7,2)%,0))))</f>
        <v/>
      </c>
      <c r="DE28" s="461" t="str">
        <f>IF(CY28="","",IF(AND($CA$3=$CA$1,CY28&lt;=$CT$1),0,IF(OR(DQ28=3,DA28=VLOOKUP(DA28,'IN RPS-2015'!$I$2:$J$5,1)),0,ROUND(MIN(ROUND(DA28*VLOOKUP(CY28,$B$1:$G$4,2)%,0),VLOOKUP(CY28,$B$2:$I$4,IF($CA$3=$I$29,7,8),TRUE))*(DAY(CZ28)-DAY(CY28)+1)/DAY(EOMONTH(CY28,0)),0))))</f>
        <v/>
      </c>
      <c r="DF28" s="491" t="str">
        <f>IF(CY28="","",IF(AND($CA$3=$CA$1,CY28&lt;=$CT$1),0,IF(Main!$C$26="UGC",0,IF(OR(CY28&lt;DATE(2010,4,1),$I$6=VLOOKUP(CY28,$B$2:$G$4,5,TRUE),DA28=VLOOKUP(DA28,'IN RPS-2015'!$I$2:$J$5,1)),0,ROUND(IF(DQ28=3,0,IF(DQ28=2,MIN(ROUND(DA28*$G$13%,0),IF(CY28&lt;$J$152,$G$14,$G$15))/2,MIN(ROUND(DA28*$G$13%,0),IF(CY28&lt;$J$152,$G$14,$G$15))))*(DAY(CZ28)-DAY(CY28)+1)/DAY(EOMONTH(CY28,0)),0)))))</f>
        <v/>
      </c>
      <c r="DG28" s="461" t="str">
        <f>IF(CY28="","",IF(AND($CA$3=$CA$1,CY28&lt;=$CT$1),0,IF(Main!$C$26="UGC",0,IF(DA28=VLOOKUP(DA28,'IN RPS-2015'!$I$2:$J$5,1),0,ROUND(DB28*VLOOKUP(CY28,$BZ$11:$CA$12,2)%,0)))))</f>
        <v/>
      </c>
      <c r="DH28" s="461" t="str">
        <f>IF(CY28="","",IF(AND($CA$3=$CA$1,CY28&lt;=$CT$1),0,IF(Main!$C$26="UGC",0,IF(CY28&lt;DATE(2010,4,1),0,IF(OR(DQ28=2,DQ28=3,DA28=VLOOKUP(DA28,'IN RPS-2015'!$I$2:$J$5,1)),0,ROUND(IF(CY28&lt;$J$152,VLOOKUP(CY28,$B$1:$G$4,4),VLOOKUP(VLOOKUP(CY28,$B$1:$G$4,4),Main!$CE$2:$CF$5,2,FALSE))*(DAY(CZ28)-DAY(CY28)+1)/DAY(EOMONTH(CY28,0)),0))))))</f>
        <v/>
      </c>
      <c r="DI28" s="461" t="str">
        <f>IF(CY28="","",IF(AND($CA$3=$CA$1,CY28&lt;=$CT$1),0,IF(OR(DQ28=2,DQ28=3,$D$31=$D$28,DA28=VLOOKUP(DA28,'IN RPS-2015'!$I$2:$J$5,1)),0,ROUND(MIN(VLOOKUP(CX28,$A$27:$C$29,2,TRUE),ROUND(DA28*VLOOKUP(CX28,$A$27:$C$29,3,TRUE)%,0))*IF(CX28=$A$36,$C$36,IF(CX28=$A$37,$C$37,IF(CX28=$A$38,$C$38,IF(CX28=$A$39,$C$39,IF(CX28=$A$40,$C$40,IF(CX28=$A$41,$C$41,1))))))*(DAY(CZ28)-DAY(CY28)+1)/DAY(EOMONTH(CY28,0)),0))))</f>
        <v/>
      </c>
      <c r="DJ28" s="461" t="str">
        <f>IF(CY28="","",IF(AND($CA$3=$CA$1,CY28&lt;=$CT$1),0,IF(Main!$C$26="UGC",0,IF(OR(DQ28=3,DA28=VLOOKUP(DA28,'IN RPS-2015'!$I$2:$J$5,1)),0,ROUND(IF(DQ28=2,VLOOKUP(DA28,IF($CA$3=$I$29,$A$20:$E$23,$F$144:$J$147),IF($B$19=VLOOKUP(CY28,$B$2:$G$4,3,TRUE),2,IF($C$19=VLOOKUP(CY28,$B$2:$G$4,3,TRUE),3,IF($D$19=VLOOKUP(CY28,$B$2:$G$4,3,TRUE),4,5))),TRUE),VLOOKUP(DA28,IF($CA$3=$I$29,$A$20:$E$23,$F$144:$J$147),IF($B$19=VLOOKUP(CY28,$B$2:$G$4,3,TRUE),2,IF($C$19=VLOOKUP(CY28,$B$2:$G$4,3,TRUE),3,IF($D$19=VLOOKUP(CY28,$B$2:$G$4,3,TRUE),4,5))),TRUE))*(DAY(CZ28)-DAY(CY28)+1)/DAY(EOMONTH(CY28,0)),0)))))</f>
        <v/>
      </c>
      <c r="DK28" s="461" t="str">
        <f>IF(CY28="","",IF(AND($CA$3=$CA$1,CY28&lt;=$CT$1),0,IF(Main!$C$26="UGC",0,IF(OR(CX28&lt;DATE(2010,4,1),DQ28=3,DA28=VLOOKUP(DA28,'IN RPS-2015'!$I$2:$J$5,1)),0,ROUND(IF(DQ28=2,IF(CY28&lt;$J$152,Main!$L$9,Main!$CI$3)/2,IF(CY28&lt;$J$152,Main!$L$9,Main!$CI$3))*(DAY(CZ28)-DAY(CY28)+1)/DAY(EOMONTH(CY28,0)),0)))))</f>
        <v/>
      </c>
      <c r="DL28" s="461"/>
      <c r="DM28" s="461" t="str">
        <f>IF(CY28="","",IF(AND($CA$3=$CA$1,CY28&lt;=$CT$1),0,IF(Main!$C$26="UGC",0,IF(OR(DQ28=3,DA28=VLOOKUP(DA28,'IN RPS-2015'!$I$2:$J$5,1)),0,ROUND(IF(DQ28=2,VLOOKUP(DB28,IF(CY28&lt;$J$152,$A$154:$E$159,$F$154:$J$159),IF($B$10=VLOOKUP(CX28,$B$2:$G$4,6,TRUE),2,IF($B$10=VLOOKUP(CX28,$B$2:$G$4,6,TRUE),3,IF($D$10=VLOOKUP(CX28,$B$2:$G$4,6,TRUE),4,5))))/2,VLOOKUP(DB28,IF(CY28&lt;$J$152,$A$154:$E$159,$F$154:$J$159),IF($B$10=VLOOKUP(CX28,$B$2:$G$4,6,TRUE),2,IF($B$10=VLOOKUP(CX28,$B$2:$G$4,6,TRUE),3,IF($D$10=VLOOKUP(CX28,$B$2:$G$4,6,TRUE),4,5)))))*(DAY(CZ28)-DAY(CY28)+1)/DAY(EOMONTH(CY28,0)),0)))))</f>
        <v/>
      </c>
      <c r="DN28" s="461">
        <f t="shared" si="76"/>
        <v>0</v>
      </c>
      <c r="DO28" s="464" t="str">
        <f>IF(CY28="","",IF(AND($CA$3=$CA$1,CY28&lt;=$CT$1),0,IF(AND(Main!$F$22=Main!$CA$24,CY28&gt;$CT$1),ROUND(SUM(DB28,DD28)*10%,0),"")))</f>
        <v/>
      </c>
      <c r="DP28" s="464" t="str">
        <f>IF(CX28="","",IF(AND($CA$3=$CA$1,CY28&lt;=$CT$1),0,IF(OR(Main!$H$10=Main!$BH$4,Main!$H$10=Main!$BH$5),0,LOOKUP(DN28*DAY(EOMONTH(CY28,0))/(DAY(CZ28)-DAY(CY28)+1),$H$184:$I$189))))</f>
        <v/>
      </c>
      <c r="DQ28" s="457">
        <f t="shared" si="60"/>
        <v>1</v>
      </c>
      <c r="DR28" s="457">
        <f t="shared" si="77"/>
        <v>0</v>
      </c>
      <c r="DU28" s="457"/>
      <c r="DV28" s="461"/>
      <c r="DW28" s="499" t="str">
        <f t="shared" si="61"/>
        <v/>
      </c>
      <c r="DX28" s="500" t="str">
        <f t="shared" si="88"/>
        <v/>
      </c>
      <c r="DY28" s="484" t="str">
        <f>IF(DX28="","",MIN(EOMONTH(DX28,0),VLOOKUP(DX28,'IN RPS-2015'!$O$164:$P$202,2,TRUE)-1,LOOKUP(DX28,$E$47:$F$53)-1,IF(DX28&lt;$B$2,$B$2-1,'IN RPS-2015'!$Q$9),IF(DX28&lt;$B$3,$B$3-1,'IN RPS-2015'!$Q$9),IF(DX28&lt;$B$4,$B$4-1,'IN RPS-2015'!$Q$9),LOOKUP(DX28,$H$47:$I$53)))</f>
        <v/>
      </c>
      <c r="DZ28" s="490" t="str">
        <f>IF(DX28="","",VLOOKUP(DX28,'IN RPS-2015'!$P$164:$AA$202,11))</f>
        <v/>
      </c>
      <c r="EA28" s="461" t="str">
        <f t="shared" si="78"/>
        <v/>
      </c>
      <c r="EB28" s="461" t="str">
        <f>IF(DX28="","",ROUND(IF(EP28=3,0,IF(EP28=2,IF(DZ28=VLOOKUP(DZ28,'IN RPS-2015'!$I$2:$J$5,1),0,Main!$H$9)/2,IF(DZ28=VLOOKUP(DZ28,'IN RPS-2015'!$I$2:$J$5,1),0,Main!$H$9)))*(DAY(DY28)-DAY(DX28)+1)/DAY(EOMONTH(DX28,0)),0))</f>
        <v/>
      </c>
      <c r="EC28" s="461" t="str">
        <f>IF(DX28="","",IF(DZ28=VLOOKUP(DZ28,'IN RPS-2015'!$I$2:$J$5,1),0,ROUND(EA28*VLOOKUP(DX28,$DT$4:$DU$7,2)%,0)))</f>
        <v/>
      </c>
      <c r="ED28" s="461" t="str">
        <f>IF(DX28="","",IF(OR(EP28=3,DZ28=VLOOKUP(DZ28,'IN RPS-2015'!$I$2:$J$5,1)),0,ROUND(MIN(ROUND(DZ28*VLOOKUP(DX28,$B$1:$G$4,2)%,0),VLOOKUP(DX28,$B$2:$I$4,IF($DU$3=$I$29,7,8),TRUE))*(DAY(DY28)-DAY(DX28)+1)/DAY(EOMONTH(DX28,0)),0)))</f>
        <v/>
      </c>
      <c r="EE28" s="491" t="str">
        <f>IF(DX28="","",IF(Main!$C$26="UGC",0,IF(OR(DX28&lt;DATE(2010,4,1),$I$6=VLOOKUP(DX28,$B$2:$G$4,5,TRUE),DZ28=VLOOKUP(DZ28,'IN RPS-2015'!$I$2:$J$5,1)),0,ROUND(IF(EP28=3,0,IF(EP28=2,MIN(ROUND(DZ28*$G$13%,0),IF(DX28&lt;$I$152,$G$14,$G$15))/2,MIN(ROUND(DZ28*$G$13%,0),IF(DX28&lt;$I$152,$G$14,$G$15))))*(DAY(DY28)-DAY(DX28)+1)/DAY(EOMONTH(DX28,0)),0))))</f>
        <v/>
      </c>
      <c r="EF28" s="461" t="str">
        <f>IF(DX28="","",IF(Main!$C$26="UGC",0,IF(DZ28=VLOOKUP(DZ28,'IN RPS-2015'!$I$2:$J$5,1),0,ROUND(EA28*VLOOKUP(DX28,$DT$11:$DU$12,2)%,0))))</f>
        <v/>
      </c>
      <c r="EG28" s="461" t="str">
        <f>IF(DX28="","",IF(Main!$C$26="UGC",0,IF(DX28&lt;DATE(2010,4,1),0,IF(OR(EP28=2,EP28=3,DZ28=VLOOKUP(DZ28,'IN RPS-2015'!$I$2:$J$5,1)),0,ROUND(IF(DX28&lt;$I$152,VLOOKUP(DX28,$B$1:$G$4,4),VLOOKUP(VLOOKUP(DX28,$B$1:$G$4,4),Main!$CE$2:$CF$5,2,FALSE))*(DAY(DY28)-DAY(DX28)+1)/DAY(EOMONTH(DX28,0)),0)))))</f>
        <v/>
      </c>
      <c r="EH28" s="461" t="str">
        <f>IF(DX28="","",IF(OR(EP28=2,EP28=3,$D$31=$D$28,DZ28=VLOOKUP(DZ28,'IN RPS-2015'!$I$2:$J$5,1)),0,ROUND(MIN(IF(DX28&lt;$I$152,900,1350),ROUND(DZ28*VLOOKUP(DW28,$A$27:$C$29,3,TRUE)%,0))*IF(DW28=$A$36,$C$36,IF(DW28=$A$37,$C$37,IF(DW28=$A$38,$C$38,IF(DW28=$A$39,$C$39,IF(DW28=$A$40,$C$40,IF(DW28=$A$41,$C$41,1))))))*(DAY(DY28)-DAY(DX28)+1)/DAY(EOMONTH(DX28,0)),0)))</f>
        <v/>
      </c>
      <c r="EI28" s="461" t="str">
        <f>IF(DX28="","",IF(Main!$C$26="UGC",0,IF(OR(EP28=3,DZ28=VLOOKUP(DZ28,'IN RPS-2015'!$I$2:$J$5,1)),0,ROUND(IF(EP28=2,VLOOKUP(DZ28,IF($DU$3=$I$29,$A$20:$E$23,$F$144:$J$147),IF($B$19=VLOOKUP(DX28,$B$2:$G$4,3,TRUE),2,IF($C$19=VLOOKUP(DX28,$B$2:$G$4,3,TRUE),3,IF($D$19=VLOOKUP(DX28,$B$2:$G$4,3,TRUE),4,5))),TRUE),VLOOKUP(DZ28,IF($DU$3=$I$29,$A$20:$E$23,$F$144:$J$147),IF($B$19=VLOOKUP(DX28,$B$2:$G$4,3,TRUE),2,IF($C$19=VLOOKUP(DX28,$B$2:$G$4,3,TRUE),3,IF($D$19=VLOOKUP(DX28,$B$2:$G$4,3,TRUE),4,5))),TRUE))*(DAY(DY28)-DAY(DX28)+1)/DAY(EOMONTH(DX28,0)),0))))</f>
        <v/>
      </c>
      <c r="EJ28" s="461" t="str">
        <f>IF(DX28="","",IF(Main!$C$26="UGC",0,IF(OR(DW28&lt;DATE(2010,4,1),EP28=3,DZ28=VLOOKUP(DZ28,'IN RPS-2015'!$I$2:$J$5,1)),0,ROUND(IF(EP28=2,IF(DX28&lt;$I$152,Main!$L$9,Main!$CI$3)/2,IF(DX28&lt;$I$152,Main!$L$9,Main!$CI$3))*(DAY(DY28)-DAY(DX28)+1)/DAY(EOMONTH(DX28,0)),0))))</f>
        <v/>
      </c>
      <c r="EK28" s="461"/>
      <c r="EL28" s="461" t="str">
        <f>IF(DX28="","",IF(Main!$C$26="UGC",0,IF(OR(EP28=3,DZ28=VLOOKUP(DZ28,'IN RPS-2015'!$I$2:$J$5,1)),0,ROUND(IF(EP28=2,VLOOKUP(EA28,IF(DX28&lt;$I$152,$A$154:$E$159,$F$154:$J$159),IF($B$10=VLOOKUP(DW28,$B$2:$G$4,6,TRUE),2,IF($B$10=VLOOKUP(DW28,$B$2:$G$4,6,TRUE),3,IF($D$10=VLOOKUP(DW28,$B$2:$G$4,6,TRUE),4,5))))/2,VLOOKUP(EA28,IF(DX28&lt;$I$152,$A$154:$E$159,$F$154:$J$159),IF($B$10=VLOOKUP(DW28,$B$2:$G$4,6,TRUE),2,IF($B$10=VLOOKUP(DW28,$B$2:$G$4,6,TRUE),3,IF($D$10=VLOOKUP(DW28,$B$2:$G$4,6,TRUE),4,5)))))*(DAY(DY28)-DAY(DX28)+1)/DAY(EOMONTH(DX28,0)),0))))</f>
        <v/>
      </c>
      <c r="EM28" s="461">
        <f t="shared" si="79"/>
        <v>0</v>
      </c>
      <c r="EN28" s="464" t="str">
        <f>IF(DX28="","",IF(AND(Main!$F$22=Main!$CA$24,DX28&gt;$EN$1),ROUND(SUM(EA28,EC28)*10%,0),""))</f>
        <v/>
      </c>
      <c r="EO28" s="464" t="str">
        <f>IF(DW28="","",IF(EA28=0,0,IF(OR(Main!$H$10=Main!$BH$4,Main!$H$10=Main!$BH$5),0,LOOKUP(EM28*DAY(EOMONTH(DX28,0))/(DAY(DY28)-DAY(DX28)+1),$H$184:$I$189))))</f>
        <v/>
      </c>
      <c r="EP28" s="457">
        <f t="shared" si="62"/>
        <v>1</v>
      </c>
      <c r="ER28" s="3"/>
      <c r="ET28" s="461"/>
      <c r="EU28" s="499" t="str">
        <f t="shared" si="63"/>
        <v/>
      </c>
      <c r="EV28" s="500" t="str">
        <f t="shared" si="89"/>
        <v/>
      </c>
      <c r="EW28" s="484" t="str">
        <f>IF(EV28="","",MIN(EOMONTH(EV28,0),VLOOKUP(EV28,'IN RPS-2015'!$O$164:$P$202,2,TRUE)-1,LOOKUP(EV28,$E$47:$F$53)-1,IF(EV28&lt;$B$2,$B$2-1,'IN RPS-2015'!$Q$9),IF(EV28&lt;$B$3,$B$3-1,'IN RPS-2015'!$Q$9),IF(EV28&lt;$B$4,$B$4-1,'IN RPS-2015'!$Q$9),LOOKUP(EV28,$H$47:$I$53)))</f>
        <v/>
      </c>
      <c r="EX28" s="490" t="str">
        <f>IF(EV28="","",VLOOKUP(EV28,'IN RPS-2015'!$P$164:$AA$202,12))</f>
        <v/>
      </c>
      <c r="EY28" s="461" t="str">
        <f t="shared" si="80"/>
        <v/>
      </c>
      <c r="EZ28" s="461" t="str">
        <f>IF(EV28="","",ROUND(IF(FN28=3,0,IF(FN28=2,IF(EX28=VLOOKUP(EX28,'IN RPS-2015'!$I$2:$J$5,1),0,Main!$H$9)/2,IF(EX28=VLOOKUP(EX28,'IN RPS-2015'!$I$2:$J$5,1),0,Main!$H$9)))*(DAY(EW28)-DAY(EV28)+1)/DAY(EOMONTH(EV28,0)),0))</f>
        <v/>
      </c>
      <c r="FA28" s="461" t="str">
        <f>IF(EV28="","",IF(EX28=VLOOKUP(EX28,'IN RPS-2015'!$I$2:$J$5,1),0,ROUND(EY28*VLOOKUP(EV28,$ER$4:$ES$7,2)%,0)))</f>
        <v/>
      </c>
      <c r="FB28" s="461" t="str">
        <f>IF(EV28="","",IF(OR(FN28=3,EX28=VLOOKUP(EX28,'IN RPS-2015'!$I$2:$J$5,1)),0,ROUND(MIN(ROUND(EX28*VLOOKUP(EV28,$B$1:$G$4,2)%,0),VLOOKUP(EV28,$B$2:$I$4,IF($ES$3=$I$29,7,8),TRUE))*(DAY(EW28)-DAY(EV28)+1)/DAY(EOMONTH(EV28,0)),0)))</f>
        <v/>
      </c>
      <c r="FC28" s="491" t="str">
        <f>IF(EV28="","",IF(Main!$C$26="UGC",0,IF(OR(EV28&lt;DATE(2010,4,1),$I$6=VLOOKUP(EV28,$B$2:$G$4,5,TRUE),EX28=VLOOKUP(EX28,'IN RPS-2015'!$I$2:$J$5,1)),0,ROUND(IF(FN28=3,0,IF(FN28=2,MIN(ROUND(EX28*$G$13%,0),IF(EV28&lt;$J$152,$G$14,$G$15))/2,MIN(ROUND(EX28*$G$13%,0),IF(EV28&lt;$J$152,$G$14,$G$15))))*(DAY(EW28)-DAY(EV28)+1)/DAY(EOMONTH(EV28,0)),0))))</f>
        <v/>
      </c>
      <c r="FD28" s="461" t="str">
        <f>IF(EV28="","",IF(Main!$C$26="UGC",0,IF(EX28=VLOOKUP(EX28,'IN RPS-2015'!$I$2:$J$5,1),0,ROUND(EY28*VLOOKUP(EV28,$ER$11:$ES$12,2)%,0))))</f>
        <v/>
      </c>
      <c r="FE28" s="461" t="str">
        <f>IF(EV28="","",IF(Main!$C$26="UGC",0,IF(EV28&lt;DATE(2010,4,1),0,IF(OR(FN28=2,FN28=3,EX28=VLOOKUP(EX28,'IN RPS-2015'!$I$2:$J$5,1)),0,ROUND(IF(EV28&lt;$J$152,VLOOKUP(EV28,$B$1:$G$4,4),VLOOKUP(VLOOKUP(EV28,$B$1:$G$4,4),Main!$CE$2:$CF$5,2,FALSE))*(DAY(EW28)-DAY(EV28)+1)/DAY(EOMONTH(EV28,0)),0)))))</f>
        <v/>
      </c>
      <c r="FF28" s="461" t="str">
        <f>IF(EV28="","",IF(OR(FN28=2,FN28=3,$D$31=$D$28,EX28=VLOOKUP(EX28,'IN RPS-2015'!$I$2:$J$5,1)),0,ROUND(MIN(VLOOKUP(EU28,$A$27:$C$29,2,TRUE),ROUND(EX28*VLOOKUP(EU28,$A$27:$C$29,3,TRUE)%,0))*IF(EU28=$A$36,$C$36,IF(EU28=$A$37,$C$37,IF(EU28=$A$38,$C$38,IF(EU28=$A$39,$C$39,IF(EU28=$A$40,$C$40,IF(EU28=$A$41,$C$41,1))))))*(DAY(EW28)-DAY(EV28)+1)/DAY(EOMONTH(EV28,0)),0)))</f>
        <v/>
      </c>
      <c r="FG28" s="461" t="str">
        <f>IF(EV28="","",IF(Main!$C$26="UGC",0,IF(OR(FN28=3,EX28=VLOOKUP(EX28,'IN RPS-2015'!$I$2:$J$5,1)),0,ROUND(IF(FN28=2,VLOOKUP(EX28,IF($ES$3=$I$29,$A$20:$E$23,$F$144:$J$147),IF($B$19=VLOOKUP(EV28,$B$2:$G$4,3,TRUE),2,IF($C$19=VLOOKUP(EV28,$B$2:$G$4,3,TRUE),3,IF($D$19=VLOOKUP(EV28,$B$2:$G$4,3,TRUE),4,5))),TRUE),VLOOKUP(EX28,IF($ES$3=$I$29,$A$20:$E$23,$F$144:$J$147),IF($B$19=VLOOKUP(EV28,$B$2:$G$4,3,TRUE),2,IF($C$19=VLOOKUP(EV28,$B$2:$G$4,3,TRUE),3,IF($D$19=VLOOKUP(EV28,$B$2:$G$4,3,TRUE),4,5))),TRUE))*(DAY(EW28)-DAY(EV28)+1)/DAY(EOMONTH(EV28,0)),0))))</f>
        <v/>
      </c>
      <c r="FH28" s="461" t="str">
        <f>IF(EV28="","",IF(Main!$C$26="UGC",0,IF(OR(EU28&lt;DATE(2010,4,1),FN28=3,EX28=VLOOKUP(EX28,'IN RPS-2015'!$I$2:$J$5,1)),0,ROUND(IF(FN28=2,IF(EV28&lt;$J$152,Main!$L$9,Main!$CI$3)/2,IF(EV28&lt;$J$152,Main!$L$9,Main!$CI$3))*(DAY(EW28)-DAY(EV28)+1)/DAY(EOMONTH(EV28,0)),0))))</f>
        <v/>
      </c>
      <c r="FI28" s="461"/>
      <c r="FJ28" s="461" t="str">
        <f>IF(EV28="","",IF(Main!$C$26="UGC",0,IF(OR(FN28=3,EX28=VLOOKUP(EX28,'IN RPS-2015'!$I$2:$J$5,1)),0,ROUND(IF(FN28=2,VLOOKUP(EY28,IF(EV28&lt;$J$152,$A$154:$E$159,$F$154:$J$159),IF($B$10=VLOOKUP(EU28,$B$2:$G$4,6,TRUE),2,IF($B$10=VLOOKUP(EU28,$B$2:$G$4,6,TRUE),3,IF($D$10=VLOOKUP(EU28,$B$2:$G$4,6,TRUE),4,5))))/2,VLOOKUP(EY28,IF(EV28&lt;$J$152,$A$154:$E$159,$F$154:$J$159),IF($B$10=VLOOKUP(EU28,$B$2:$G$4,6,TRUE),2,IF($B$10=VLOOKUP(EU28,$B$2:$G$4,6,TRUE),3,IF($D$10=VLOOKUP(EU28,$B$2:$G$4,6,TRUE),4,5)))))*(DAY(EW28)-DAY(EV28)+1)/DAY(EOMONTH(EV28,0)),0))))</f>
        <v/>
      </c>
      <c r="FK28" s="461">
        <f t="shared" si="81"/>
        <v>0</v>
      </c>
      <c r="FL28" s="464" t="str">
        <f>IF(EV28="","",IF(AND(Main!$F$22=Main!$CA$24,EV28&gt;$FL$1),ROUND(SUM(EY28,FA28)*10%,0),""))</f>
        <v/>
      </c>
      <c r="FM28" s="464" t="str">
        <f>IF(EU28="","",IF(EY28=0,0,IF(OR(Main!$H$10=Main!$BH$4,Main!$H$10=Main!$BH$5),0,LOOKUP(FK28*DAY(EOMONTH(EV28,0))/(DAY(EW28)-DAY(EV28)+1),$H$184:$I$189))))</f>
        <v/>
      </c>
      <c r="FN28" s="457">
        <f t="shared" si="64"/>
        <v>1</v>
      </c>
    </row>
    <row r="29" spans="1:170">
      <c r="A29" s="161">
        <f>MAX(DATE(2015,12,1),Main!C27)</f>
        <v>42339</v>
      </c>
      <c r="B29" s="162">
        <v>1350</v>
      </c>
      <c r="C29" s="164">
        <v>10</v>
      </c>
      <c r="D29" s="167" t="s">
        <v>1350</v>
      </c>
      <c r="F29" s="458">
        <f>B3</f>
        <v>42461</v>
      </c>
      <c r="G29" s="458">
        <f>B4</f>
        <v>42461</v>
      </c>
      <c r="I29" s="505" t="s">
        <v>307</v>
      </c>
      <c r="K29" s="505" t="str">
        <f>CONCATENATE("DA Arrears From ",TEXT(A56,"MMMM-YYYY")," TO ",TEXT(B56,"MMMM-YYYY"))</f>
        <v>DA Arrears From January-2015 TO March-2016</v>
      </c>
      <c r="L29" s="482"/>
      <c r="M29" s="482"/>
      <c r="N29" s="482"/>
      <c r="Q29" s="457" t="str">
        <f>C58</f>
        <v/>
      </c>
      <c r="AA29" s="457">
        <f t="shared" si="83"/>
        <v>0</v>
      </c>
      <c r="AH29" s="461"/>
      <c r="AI29" s="499" t="str">
        <f t="shared" si="54"/>
        <v/>
      </c>
      <c r="AJ29" s="500" t="str">
        <f t="shared" si="84"/>
        <v/>
      </c>
      <c r="AK29" s="484" t="str">
        <f>IF(AJ29="","",MIN(EOMONTH(AJ29,0),VLOOKUP(AJ29,'IN RPS-2015'!$O$164:$P$202,2,TRUE)-1,LOOKUP(AJ29,$E$47:$F$53)-1,IF(AJ29&lt;$B$2,$B$2-1,'IN RPS-2015'!$Q$9),IF(AJ29&lt;$B$3,$B$3-1,'IN RPS-2015'!$Q$9),IF(AJ29&lt;$B$4,$B$4-1,'IN RPS-2015'!$Q$9),LOOKUP(AJ29,$H$47:$I$53)))</f>
        <v/>
      </c>
      <c r="AL29" s="490" t="str">
        <f>IF(AJ29="","",VLOOKUP(AJ29,'IN RPS-2015'!$P$164:$AA$202,9))</f>
        <v/>
      </c>
      <c r="AM29" s="461" t="str">
        <f t="shared" si="66"/>
        <v/>
      </c>
      <c r="AN29" s="461" t="str">
        <f>IF(AJ29="","",IF(AND($AG$3=$AG$1,AJ29&lt;=$AZ$1),0,ROUND(IF(BB29=3,0,IF(BB29=2,IF(AL29=VLOOKUP(AL29,'IN RPS-2015'!$I$2:$J$5,1),0,Main!$H$9)/2,IF(AL29=VLOOKUP(AL29,'IN RPS-2015'!$I$2:$J$5,1),0,Main!$H$9)))*(DAY(AK29)-DAY(AJ29)+1)/DAY(EOMONTH(AJ29,0)),0)))</f>
        <v/>
      </c>
      <c r="AO29" s="461" t="str">
        <f>IF(AJ29="","",IF(AND($AG$3=$AG$1,AJ29&lt;=$AZ$1),0,IF(AL29=VLOOKUP(AL29,'IN RPS-2015'!$I$2:$J$5,1),0,ROUND(AM29*VLOOKUP(AJ29,$AF$4:$AG$7,2)%,0))))</f>
        <v/>
      </c>
      <c r="AP29" s="461" t="str">
        <f>IF(AJ29="","",IF(AND($AG$3=$AG$1,AJ29&lt;=$AZ$1),0,IF(OR(BB29=3,AL29=VLOOKUP(AL29,'IN RPS-2015'!$I$2:$J$5,1)),0,ROUND(MIN(ROUND(AL29*VLOOKUP(AJ29,$B$1:$G$4,2)%,0),VLOOKUP(AJ29,$B$2:$I$4,IF($AG$3=$I$29,7,8),TRUE))*(DAY(AK29)-DAY(AJ29)+1)/DAY(EOMONTH(AJ29,0)),0))))</f>
        <v/>
      </c>
      <c r="AQ29" s="491" t="str">
        <f>IF(AJ29="","",IF(AND($AG$3=$AG$1,AJ29&lt;=$AZ$1),0,IF(Main!$C$26="UGC",0,IF(OR(AJ29&lt;DATE(2010,4,1),$I$6=VLOOKUP(AJ29,$B$2:$G$4,5,TRUE),AL29=VLOOKUP(AL29,'IN RPS-2015'!$I$2:$J$5,1)),0,ROUND(IF(BB29=3,0,IF(BB29=2,MIN(ROUND(AL29*$G$13%,0),IF(AJ29&lt;$J$152,$G$14,$G$15))/2,MIN(ROUND(AL29*$G$13%,0),IF(AJ29&lt;$J$152,$G$14,$G$15))))*(DAY(AK29)-DAY(AJ29)+1)/DAY(EOMONTH(AJ29,0)),0)))))</f>
        <v/>
      </c>
      <c r="AR29" s="461" t="str">
        <f>IF(AJ29="","",IF(AND($AG$3=$AG$1,AJ29&lt;=$AZ$1),0,IF(Main!$C$26="UGC",0,IF(AL29=VLOOKUP(AL29,'IN RPS-2015'!$I$2:$J$5,1),0,ROUND(AM29*VLOOKUP(AJ29,$AF$11:$AG$12,2)%,0)))))</f>
        <v/>
      </c>
      <c r="AS29" s="461" t="str">
        <f>IF(AJ29="","",IF(AND($AG$3=$AG$1,AJ29&lt;=$AZ$1),0,IF(Main!$C$26="UGC",0,IF(AJ29&lt;DATE(2010,4,1),0,IF(OR(BB29=2,BB29=3,AL29=VLOOKUP(AL29,'IN RPS-2015'!$I$2:$J$5,1)),0,ROUND(IF(AJ29&lt;$J$152,VLOOKUP(AJ29,$B$1:$G$4,4),VLOOKUP(VLOOKUP(AJ29,$B$1:$G$4,4),Main!$CE$2:$CF$5,2,FALSE))*(DAY(AK29)-DAY(AJ29)+1)/DAY(EOMONTH(AJ29,0)),0))))))</f>
        <v/>
      </c>
      <c r="AT29" s="461" t="str">
        <f>IF(AJ29="","",IF(AND($AG$3=$AG$1,AJ29&lt;=$AZ$1),0,IF(OR(BB29=2,BB29=3,$D$31=$D$28,AL29=VLOOKUP(AL29,'IN RPS-2015'!$I$2:$J$5,1)),0,ROUND(MIN(VLOOKUP(AI29,$A$27:$C$29,2,TRUE),ROUND(AL29*VLOOKUP(AI29,$A$27:$C$29,3,TRUE)%,0))*IF(AI29=$A$36,$C$36,IF(AI29=$A$37,$C$37,IF(AI29=$A$38,$C$38,IF(AI29=$A$39,$C$39,IF(AI29=$A$40,$C$40,IF(AI29=$A$41,$C$41,1))))))*(DAY(AK29)-DAY(AJ29)+1)/DAY(EOMONTH(AJ29,0)),0))))</f>
        <v/>
      </c>
      <c r="AU29" s="461" t="str">
        <f>IF(AJ29="","",IF(AND($AG$3=$AG$1,AJ29&lt;=$AZ$1),0,IF(Main!$C$26="UGC",0,IF(OR(BB29=3,AL29=VLOOKUP(AL29,'IN RPS-2015'!$I$2:$J$5,1)),0,ROUND(IF(BB29=2,VLOOKUP(AL29,IF($AG$3=$I$29,$A$20:$E$23,$F$144:$J$147),IF($B$19=VLOOKUP(AJ29,$B$2:$G$4,3,TRUE),2,IF($C$19=VLOOKUP(AJ29,$B$2:$G$4,3,TRUE),3,IF($D$19=VLOOKUP(AJ29,$B$2:$G$4,3,TRUE),4,5))),TRUE),VLOOKUP(AL29,IF($AG$3=$I$29,$A$20:$E$23,$F$144:$J$147),IF($B$19=VLOOKUP(AJ29,$B$2:$G$4,3,TRUE),2,IF($C$19=VLOOKUP(AJ29,$B$2:$G$4,3,TRUE),3,IF($D$19=VLOOKUP(AJ29,$B$2:$G$4,3,TRUE),4,5))),TRUE))*(DAY(AK29)-DAY(AJ29)+1)/DAY(EOMONTH(AJ29,0)),0)))))</f>
        <v/>
      </c>
      <c r="AV29" s="461" t="str">
        <f>IF(AJ29="","",IF(AND($AG$3=$AG$1,AJ29&lt;=$AZ$1),0,IF(Main!$C$26="UGC",0,IF(OR(AI29&lt;DATE(2010,4,1),BB29=3,AL29=VLOOKUP(AL29,'IN RPS-2015'!$I$2:$J$5,1)),0,ROUND(IF(BB29=2,IF(AJ29&lt;$J$152,Main!$L$9,Main!$CI$3)/2,IF(AJ29&lt;$J$152,Main!$L$9,Main!$CI$3))*(DAY(AK29)-DAY(AJ29)+1)/DAY(EOMONTH(AJ29,0)),0)))))</f>
        <v/>
      </c>
      <c r="AW29" s="461"/>
      <c r="AX29" s="461" t="str">
        <f>IF(AJ29="","",IF(AND($AG$3=$AG$1,AJ29&lt;=$AZ$1),0,IF(Main!$C$26="UGC",0,IF(OR(BB29=3,AL29=VLOOKUP(AL29,'IN RPS-2015'!$I$2:$J$5,1)),0,ROUND(IF(BB29=2,VLOOKUP(AM29,IF(AJ29&lt;$J$152,$A$154:$E$159,$F$154:$J$159),IF($B$10=VLOOKUP(AI29,$B$2:$G$4,6,TRUE),2,IF($B$10=VLOOKUP(AI29,$B$2:$G$4,6,TRUE),3,IF($D$10=VLOOKUP(AI29,$B$2:$G$4,6,TRUE),4,5))))/2,VLOOKUP(AM29,IF(AJ29&lt;$J$152,$A$154:$E$159,$F$154:$J$159),IF($B$10=VLOOKUP(AI29,$B$2:$G$4,6,TRUE),2,IF($B$10=VLOOKUP(AI29,$B$2:$G$4,6,TRUE),3,IF($D$10=VLOOKUP(AI29,$B$2:$G$4,6,TRUE),4,5)))))*(DAY(AK29)-DAY(AJ29)+1)/DAY(EOMONTH(AJ29,0)),0)))))</f>
        <v/>
      </c>
      <c r="AY29" s="461">
        <f t="shared" si="67"/>
        <v>0</v>
      </c>
      <c r="AZ29" s="464" t="str">
        <f>IF(AJ29="","",IF(AND($AG$3=$AG$1,AJ29&lt;=$AZ$1),0,IF(AND(Main!$F$22=Main!$CA$24,AJ29&gt;$AZ$1),ROUND(SUM(AM29,AO29)*10%,0),"")))</f>
        <v/>
      </c>
      <c r="BA29" s="464" t="str">
        <f>IF(AI29="","",IF(AND($AG$3=$AG$1,AJ29&lt;=$AZ$1),0,IF(OR(Main!$H$10=Main!$BH$4,Main!$H$10=Main!$BH$5),0,LOOKUP(AY29*DAY(EOMONTH(AJ29,0))/(DAY(AK29)-DAY(AJ29)+1),$H$184:$I$189))))</f>
        <v/>
      </c>
      <c r="BB29" s="497">
        <f t="shared" si="55"/>
        <v>1</v>
      </c>
      <c r="BC29" s="464"/>
      <c r="BD29" s="501" t="str">
        <f t="shared" si="56"/>
        <v/>
      </c>
      <c r="BE29" s="502" t="str">
        <f t="shared" si="85"/>
        <v/>
      </c>
      <c r="BF29" s="484" t="str">
        <f>IF(BE29="","",MIN(EOMONTH(BE29,0),VLOOKUP(BE29,'IN RPS-2015'!$O$164:$P$202,2,TRUE)-1,LOOKUP(BE29,$E$47:$F$53)-1,IF(BE29&lt;$B$2,$B$2-1,'IN RPS-2015'!$Q$9),IF(BE29&lt;$B$3,$B$3-1,'IN RPS-2015'!$Q$9),IF(BE29&lt;$B$4,$B$4-1,'IN RPS-2015'!$Q$9),LOOKUP(BE29,$H$47:$I$53)))</f>
        <v/>
      </c>
      <c r="BG29" s="493" t="str">
        <f>IF(BE29="","",VLOOKUP(BE29,'IN RPS-2015'!$P$164:$AA$202,10))</f>
        <v/>
      </c>
      <c r="BH29" s="461" t="str">
        <f t="shared" si="68"/>
        <v/>
      </c>
      <c r="BI29" s="461" t="str">
        <f>IF(BE29="","",IF(AND($AG$3=$AG$1,BE29&lt;=$AZ$1),0,ROUND(IF(BW29=3,0,IF(BW29=2,IF(BG29=VLOOKUP(BG29,'IN RPS-2015'!$I$2:$J$5,1),0,Main!$H$9)/2,IF(BG29=VLOOKUP(BG29,'IN RPS-2015'!$I$2:$J$5,1),0,Main!$H$9)))*(DAY(BF29)-DAY(BE29)+1)/DAY(EOMONTH(BE29,0)),0)))</f>
        <v/>
      </c>
      <c r="BJ29" s="461" t="str">
        <f>IF(BE29="","",IF(AND($AG$3=$AG$1,BE29&lt;=$AZ$1),0,IF(BG29=VLOOKUP(BG29,'IN RPS-2015'!$I$2:$J$5,1),0,ROUND(BH29*VLOOKUP(BE29,$AF$4:$AG$7,2)%,0))))</f>
        <v/>
      </c>
      <c r="BK29" s="461" t="str">
        <f>IF(BE29="","",IF(AND($AG$3=$AG$1,BE29&lt;=$AZ$1),0,IF(OR(BW29=3,BG29=VLOOKUP(BG29,'IN RPS-2015'!$I$2:$J$5,1)),0,ROUND(MIN(ROUND(BG29*VLOOKUP(BE29,$B$1:$G$4,2)%,0),VLOOKUP(BE29,$B$2:$I$4,IF($AG$3=$I$29,7,8),TRUE))*(DAY(BF29)-DAY(BE29)+1)/DAY(EOMONTH(BE29,0)),0))))</f>
        <v/>
      </c>
      <c r="BL29" s="491" t="str">
        <f>IF(BE29="","",IF(AND($AG$3=$AG$1,BE29&lt;=$AZ$1),0,IF(Main!$C$26="UGC",0,IF(OR(BE29&lt;DATE(2010,4,1),$I$6=VLOOKUP(BE29,$B$2:$G$4,5,TRUE),BG29=VLOOKUP(BG29,'IN RPS-2015'!$I$2:$J$5,1)),0,ROUND(IF(BW29=3,0,IF(BW29=2,MIN(ROUND(BG29*$G$13%,0),IF(BE29&lt;$J$152,$G$14,$G$15))/2,MIN(ROUND(BG29*$G$13%,0),IF(BE29&lt;$J$152,$G$14,$G$15))))*(DAY(BF29)-DAY(BE29)+1)/DAY(EOMONTH(BE29,0)),0)))))</f>
        <v/>
      </c>
      <c r="BM29" s="461" t="str">
        <f>IF(BE29="","",IF(AND($AG$3=$AG$1,BE29&lt;=$AZ$1),0,IF(Main!$C$26="UGC",0,IF(BG29=VLOOKUP(BG29,'IN RPS-2015'!$I$2:$J$5,1),0,ROUND(BH29*VLOOKUP(BE29,$AF$11:$AG$12,2)%,0)))))</f>
        <v/>
      </c>
      <c r="BN29" s="461" t="str">
        <f>IF(BE29="","",IF(AND($AG$3=$AG$1,BE29&lt;=$AZ$1),0,IF(Main!$C$26="UGC",0,IF(BE29&lt;DATE(2010,4,1),0,IF(OR(BW29=2,BW29=3,BG29=VLOOKUP(BG29,'IN RPS-2015'!$I$2:$J$5,1)),0,ROUND(IF(BE29&lt;$J$152,VLOOKUP(BE29,$B$1:$G$4,4),VLOOKUP(VLOOKUP(BE29,$B$1:$G$4,4),Main!$CE$2:$CF$5,2,FALSE))*(DAY(BF29)-DAY(BE29)+1)/DAY(EOMONTH(BE29,0)),0))))))</f>
        <v/>
      </c>
      <c r="BO29" s="461" t="str">
        <f>IF(BE29="","",IF(AND($AG$3=$AG$1,BE29&lt;=$AZ$1),0,IF(OR(BW29=2,BW29=3,$D$31=$D$28,BG29=VLOOKUP(BG29,'IN RPS-2015'!$I$2:$J$5,1)),0,ROUND(MIN(VLOOKUP(BD29,$A$27:$C$29,2,TRUE),ROUND(BG29*VLOOKUP(BD29,$A$27:$C$29,3,TRUE)%,0))*IF(BD29=$A$36,$C$36,IF(BD29=$A$37,$C$37,IF(BD29=$A$38,$C$38,IF(BD29=$A$39,$C$39,IF(BD29=$A$40,$C$40,IF(BD29=$A$41,$C$41,1))))))*(DAY(BF29)-DAY(BE29)+1)/DAY(EOMONTH(BE29,0)),0))))</f>
        <v/>
      </c>
      <c r="BP29" s="461" t="str">
        <f>IF(BE29="","",IF(AND($AG$3=$AG$1,BE29&lt;=$AZ$1),0,IF(Main!$C$26="UGC",0,IF(OR(BW29=3,BG29=VLOOKUP(BG29,'IN RPS-2015'!$I$2:$J$5,1)),0,ROUND(IF(BW29=2,VLOOKUP(BG29,IF($AG$3=$I$29,$A$20:$E$23,$F$144:$J$147),IF($B$19=VLOOKUP(BE29,$B$2:$G$4,3,TRUE),2,IF($C$19=VLOOKUP(BE29,$B$2:$G$4,3,TRUE),3,IF($D$19=VLOOKUP(BE29,$B$2:$G$4,3,TRUE),4,5))),TRUE),VLOOKUP(BG29,IF($AG$3=$I$29,$A$20:$E$23,$F$144:$J$147),IF($B$19=VLOOKUP(BE29,$B$2:$G$4,3,TRUE),2,IF($C$19=VLOOKUP(BE29,$B$2:$G$4,3,TRUE),3,IF($D$19=VLOOKUP(BE29,$B$2:$G$4,3,TRUE),4,5))),TRUE))*(DAY(BF29)-DAY(BE29)+1)/DAY(EOMONTH(BE29,0)),0)))))</f>
        <v/>
      </c>
      <c r="BQ29" s="461" t="str">
        <f>IF(BE29="","",IF(AND($AG$3=$AG$1,BE29&lt;=$AZ$1),0,IF(Main!$C$26="UGC",0,IF(OR(BD29&lt;DATE(2010,4,1),BW29=3,BG29=VLOOKUP(BG29,'IN RPS-2015'!$I$2:$J$5,1)),0,ROUND(IF(BW29=2,IF(BE29&lt;$J$152,Main!$L$9,Main!$CI$3)/2,IF(BE29&lt;$J$152,Main!$L$9,Main!$CI$3))*(DAY(BF29)-DAY(BE29)+1)/DAY(EOMONTH(BE29,0)),0)))))</f>
        <v/>
      </c>
      <c r="BR29" s="461"/>
      <c r="BS29" s="461" t="str">
        <f>IF(BE29="","",IF(AND($AG$3=$AG$1,BE29&lt;=$AZ$1),0,IF(Main!$C$26="UGC",0,IF(OR(BW29=3,BG29=VLOOKUP(BG29,'IN RPS-2015'!$I$2:$J$5,1)),0,ROUND(IF(BW29=2,VLOOKUP(BH29,IF(BE29&lt;$J$152,$A$154:$E$159,$F$154:$J$159),IF($B$10=VLOOKUP(BD29,$B$2:$G$4,6,TRUE),2,IF($B$10=VLOOKUP(BD29,$B$2:$G$4,6,TRUE),3,IF($D$10=VLOOKUP(BD29,$B$2:$G$4,6,TRUE),4,5))))/2,VLOOKUP(BH29,IF(BE29&lt;$J$152,$A$154:$E$159,$F$154:$J$159),IF($B$10=VLOOKUP(BD29,$B$2:$G$4,6,TRUE),2,IF($B$10=VLOOKUP(BD29,$B$2:$G$4,6,TRUE),3,IF($D$10=VLOOKUP(BD29,$B$2:$G$4,6,TRUE),4,5)))))*(DAY(BF29)-DAY(BE29)+1)/DAY(EOMONTH(BE29,0)),0)))))</f>
        <v/>
      </c>
      <c r="BT29" s="461">
        <f t="shared" si="69"/>
        <v>0</v>
      </c>
      <c r="BU29" s="464" t="str">
        <f>IF(BE29="","",IF(AND($AG$3=$AG$1,BE29&lt;=$AZ$1),0,IF(AND(Main!$F$22=Main!$CA$24,BE29&gt;$AZ$1),ROUND(SUM(BH29,BJ29)*10%,0),"")))</f>
        <v/>
      </c>
      <c r="BV29" s="464" t="str">
        <f>IF(BD29="","",IF(AND($AG$3=$AG$1,BE29&lt;=$AZ$1),0,IF(OR(Main!$H$10=Main!$BH$4,Main!$H$10=Main!$BH$5),0,LOOKUP(BT29*DAY(EOMONTH(BE29,0))/(DAY(BF29)-DAY(BE29)+1),$H$184:$I$189))))</f>
        <v/>
      </c>
      <c r="BW29" s="503">
        <f t="shared" si="70"/>
        <v>1</v>
      </c>
      <c r="BX29" s="457">
        <f t="shared" si="71"/>
        <v>0</v>
      </c>
      <c r="BY29" s="457"/>
      <c r="BZ29" s="457"/>
      <c r="CA29" s="457"/>
      <c r="CB29" s="461"/>
      <c r="CC29" s="499" t="str">
        <f t="shared" si="57"/>
        <v/>
      </c>
      <c r="CD29" s="500" t="str">
        <f t="shared" si="86"/>
        <v/>
      </c>
      <c r="CE29" s="484" t="str">
        <f>IF(CD29="","",MIN(EOMONTH(CD29,0),VLOOKUP(CD29,'IN RPS-2015'!$O$164:$P$202,2,TRUE)-1,LOOKUP(CD29,$E$47:$F$53)-1,IF(CD29&lt;$B$2,$B$2-1,'IN RPS-2015'!$Q$9),IF(CD29&lt;$B$3,$B$3-1,'IN RPS-2015'!$Q$9),IF(CD29&lt;$B$4,$B$4-1,'IN RPS-2015'!$Q$9),LOOKUP(CD29,$H$47:$I$53)))</f>
        <v/>
      </c>
      <c r="CF29" s="490" t="str">
        <f>IF(CD29="","",VLOOKUP(CD29,'IN RPS-2015'!$T$207:$Y$222,5))</f>
        <v/>
      </c>
      <c r="CG29" s="461" t="str">
        <f t="shared" si="72"/>
        <v/>
      </c>
      <c r="CH29" s="461" t="str">
        <f>IF(CD29="","",IF(AND($CA$3=$CA$1,CD29&lt;=$CT$1),0,ROUND(IF(CV29=3,0,IF(CV29=2,IF(CF29=VLOOKUP(CF29,'IN RPS-2015'!$I$2:$J$5,1),0,Main!$H$9)/2,IF(CF29=VLOOKUP(CF29,'IN RPS-2015'!$I$2:$J$5,1),0,Main!$H$9)))*(DAY(CE29)-DAY(CD29)+1)/DAY(EOMONTH(CD29,0)),0)))</f>
        <v/>
      </c>
      <c r="CI29" s="461" t="str">
        <f>IF(CD29="","",IF(AND($CA$3=$CA$1,CD29&lt;=$CT$1),0,IF(CF29=VLOOKUP(CF29,'IN RPS-2015'!$I$2:$J$5,1),0,ROUND(CG29*VLOOKUP(CD29,$BZ$4:$CA$7,2)%,0))))</f>
        <v/>
      </c>
      <c r="CJ29" s="461" t="str">
        <f>IF(CD29="","",IF(AND($CA$3=$CA$1,CD29&lt;=$CT$1),0,IF(OR(CV29=3,CF29=VLOOKUP(CF29,'IN RPS-2015'!$I$2:$J$5,1)),0,ROUND(MIN(ROUND(CF29*VLOOKUP(CD29,$B$1:$G$4,2)%,0),VLOOKUP(CD29,$B$2:$I$4,IF($CA$3=$I$29,7,8),TRUE))*(DAY(CE29)-DAY(CD29)+1)/DAY(EOMONTH(CD29,0)),0))))</f>
        <v/>
      </c>
      <c r="CK29" s="491" t="str">
        <f>IF(CD29="","",IF(AND($CA$3=$CA$1,CD29&lt;=$CT$1),0,IF(Main!$C$26="UGC",0,IF(OR(CD29&lt;DATE(2010,4,1),$I$6=VLOOKUP(CD29,$B$2:$G$4,5,TRUE),CF29=VLOOKUP(CF29,'IN RPS-2015'!$I$2:$J$5,1)),0,ROUND(IF(CV29=3,0,IF(CV29=2,MIN(ROUND(CF29*$G$13%,0),IF(CD29&lt;$J$152,$G$14,$G$15))/2,MIN(ROUND(CF29*$G$13%,0),IF(CD29&lt;$J$152,$G$14,$G$15))))*(DAY(CE29)-DAY(CD29)+1)/DAY(EOMONTH(CD29,0)),0)))))</f>
        <v/>
      </c>
      <c r="CL29" s="461" t="str">
        <f>IF(CD29="","",IF(AND($CA$3=$CA$1,CD29&lt;=$CT$1),0,IF(Main!$C$26="UGC",0,IF(CF29=VLOOKUP(CF29,'IN RPS-2015'!$I$2:$J$5,1),0,ROUND(CG29*VLOOKUP(CD29,$BZ$11:$CA$12,2)%,0)))))</f>
        <v/>
      </c>
      <c r="CM29" s="461" t="str">
        <f>IF(CD29="","",IF(AND($CA$3=$CA$1,CD29&lt;=$CT$1),0,IF(Main!$C$26="UGC",0,IF(CD29&lt;DATE(2010,4,1),0,IF(OR(CV29=2,CV29=3,CF29=VLOOKUP(CF29,'IN RPS-2015'!$I$2:$J$5,1)),0,ROUND(IF(CD29&lt;$J$152,VLOOKUP(CD29,$B$1:$G$4,4),VLOOKUP(VLOOKUP(CD29,$B$1:$G$4,4),Main!$CE$2:$CF$5,2,FALSE))*(DAY(CE29)-DAY(CD29)+1)/DAY(EOMONTH(CD29,0)),0))))))</f>
        <v/>
      </c>
      <c r="CN29" s="461" t="str">
        <f>IF(CD29="","",IF(AND($CA$3=$CA$1,CD29&lt;=$CT$1),0,IF(OR(CV29=2,CV29=3,$D$31=$D$28,CF29=VLOOKUP(CF29,'IN RPS-2015'!$I$2:$J$5,1)),0,ROUND(MIN(VLOOKUP(CC29,$A$27:$C$29,2,TRUE),ROUND(CF29*VLOOKUP(CC29,$A$27:$C$29,3,TRUE)%,0))*IF(CC29=$A$36,$C$36,IF(CC29=$A$37,$C$37,IF(CC29=$A$38,$C$38,IF(CC29=$A$39,$C$39,IF(CC29=$A$40,$C$40,IF(CC29=$A$41,$C$41,1))))))*(DAY(CE29)-DAY(CD29)+1)/DAY(EOMONTH(CD29,0)),0))))</f>
        <v/>
      </c>
      <c r="CO29" s="461" t="str">
        <f>IF(CD29="","",IF(AND($CA$3=$CA$1,CD29&lt;=$CT$1),0,IF(Main!$C$26="UGC",0,IF(OR(CV29=3,CF29=VLOOKUP(CF29,'IN RPS-2015'!$I$2:$J$5,1)),0,ROUND(IF(CV29=2,VLOOKUP(CF29,IF($CA$3=$I$29,$A$20:$E$23,$F$144:$J$147),IF($B$19=VLOOKUP(CD29,$B$2:$G$4,3,TRUE),2,IF($C$19=VLOOKUP(CD29,$B$2:$G$4,3,TRUE),3,IF($D$19=VLOOKUP(CD29,$B$2:$G$4,3,TRUE),4,5))),TRUE),VLOOKUP(CF29,IF($CA$3=$I$29,$A$20:$E$23,$F$144:$J$147),IF($B$19=VLOOKUP(CD29,$B$2:$G$4,3,TRUE),2,IF($C$19=VLOOKUP(CD29,$B$2:$G$4,3,TRUE),3,IF($D$19=VLOOKUP(CD29,$B$2:$G$4,3,TRUE),4,5))),TRUE))*(DAY(CE29)-DAY(CD29)+1)/DAY(EOMONTH(CD29,0)),0)))))</f>
        <v/>
      </c>
      <c r="CP29" s="461" t="str">
        <f>IF(CD29="","",IF(AND($CA$3=$CA$1,CD29&lt;=$CT$1),0,IF(Main!$C$26="UGC",0,IF(OR(CC29&lt;DATE(2010,4,1),CV29=3,CF29=VLOOKUP(CF29,'IN RPS-2015'!$I$2:$J$5,1)),0,ROUND(IF(CV29=2,IF(CD29&lt;$J$152,Main!$L$9,Main!$CI$3)/2,IF(CD29&lt;$J$152,Main!$L$9,Main!$CI$3))*(DAY(CE29)-DAY(CD29)+1)/DAY(EOMONTH(CD29,0)),0)))))</f>
        <v/>
      </c>
      <c r="CQ29" s="461"/>
      <c r="CR29" s="461" t="str">
        <f>IF(CD29="","",IF(AND($CA$3=$CA$1,CD29&lt;=$CT$1),0,IF(Main!$C$26="UGC",0,IF(OR(CV29=3,CF29=VLOOKUP(CF29,'IN RPS-2015'!$I$2:$J$5,1)),0,ROUND(IF(CV29=2,VLOOKUP(CG29,IF(CD29&lt;$J$152,$A$154:$E$159,$F$154:$J$159),IF($B$10=VLOOKUP(CC29,$B$2:$G$4,6,TRUE),2,IF($B$10=VLOOKUP(CC29,$B$2:$G$4,6,TRUE),3,IF($D$10=VLOOKUP(CC29,$B$2:$G$4,6,TRUE),4,5))))/2,VLOOKUP(CG29,IF(CD29&lt;$J$152,$A$154:$E$159,$F$154:$J$159),IF($B$10=VLOOKUP(CC29,$B$2:$G$4,6,TRUE),2,IF($B$10=VLOOKUP(CC29,$B$2:$G$4,6,TRUE),3,IF($D$10=VLOOKUP(CC29,$B$2:$G$4,6,TRUE),4,5)))))*(DAY(CE29)-DAY(CD29)+1)/DAY(EOMONTH(CD29,0)),0)))))</f>
        <v/>
      </c>
      <c r="CS29" s="461">
        <f t="shared" si="73"/>
        <v>0</v>
      </c>
      <c r="CT29" s="464" t="str">
        <f>IF(CD29="","",IF(AND($CA$3=$CA$1,CD29&lt;=$CT$1),0,IF(AND(Main!$F$22=Main!$CA$24,CD29&gt;$CT$1),ROUND(SUM(CG29,CI29)*10%,0),"")))</f>
        <v/>
      </c>
      <c r="CU29" s="464" t="str">
        <f>IF(CC29="","",IF(CG29=0,0,IF(OR(Main!$H$10=Main!$BH$4,Main!$H$10=Main!$BH$5),0,LOOKUP(CS29*DAY(EOMONTH(CD29,0))/(DAY(CE29)-DAY(CD29)+1),$H$184:$I$189))))</f>
        <v/>
      </c>
      <c r="CV29" s="457">
        <f t="shared" si="74"/>
        <v>1</v>
      </c>
      <c r="CW29" s="464"/>
      <c r="CX29" s="501" t="str">
        <f t="shared" si="59"/>
        <v/>
      </c>
      <c r="CY29" s="502" t="str">
        <f t="shared" si="87"/>
        <v/>
      </c>
      <c r="CZ29" s="484" t="str">
        <f>IF(CY29="","",MIN(EOMONTH(CY29,0),VLOOKUP(CY29,'IN RPS-2015'!$O$164:$P$202,2,TRUE)-1,LOOKUP(CY29,$E$47:$F$53)-1,IF(CY29&lt;$B$2,$B$2-1,'IN RPS-2015'!$Q$9),IF(CY29&lt;$B$3,$B$3-1,'IN RPS-2015'!$Q$9),IF(CY29&lt;$B$4,$B$4-1,'IN RPS-2015'!$Q$9),LOOKUP(CY29,$H$47:$I$53)))</f>
        <v/>
      </c>
      <c r="DA29" s="493" t="str">
        <f>IF(CY29="","",VLOOKUP(CY29,'IN RPS-2015'!$T$207:$Y$222,6))</f>
        <v/>
      </c>
      <c r="DB29" s="461" t="str">
        <f t="shared" si="75"/>
        <v/>
      </c>
      <c r="DC29" s="461" t="str">
        <f>IF(CY29="","",IF(AND($CA$3=$CA$1,CY29&lt;=$CT$1),0,ROUND(IF(DQ29=3,0,IF(DQ29=2,IF(DA29=VLOOKUP(DA29,'IN RPS-2015'!$I$2:$J$5,1),0,Main!$H$9)/2,IF(DA29=VLOOKUP(DA29,'IN RPS-2015'!$I$2:$J$5,1),0,Main!$H$9)))*(DAY(CZ29)-DAY(CY29)+1)/DAY(EOMONTH(CY29,0)),0)))</f>
        <v/>
      </c>
      <c r="DD29" s="461" t="str">
        <f>IF(CY29="","",IF(AND($CA$3=$CA$1,CY29&lt;=$CT$1),0,IF(DA29=VLOOKUP(DA29,'IN RPS-2015'!$I$2:$J$5,1),0,ROUND(DB29*VLOOKUP(CY29,$BZ$4:$CA$7,2)%,0))))</f>
        <v/>
      </c>
      <c r="DE29" s="461" t="str">
        <f>IF(CY29="","",IF(AND($CA$3=$CA$1,CY29&lt;=$CT$1),0,IF(OR(DQ29=3,DA29=VLOOKUP(DA29,'IN RPS-2015'!$I$2:$J$5,1)),0,ROUND(MIN(ROUND(DA29*VLOOKUP(CY29,$B$1:$G$4,2)%,0),VLOOKUP(CY29,$B$2:$I$4,IF($CA$3=$I$29,7,8),TRUE))*(DAY(CZ29)-DAY(CY29)+1)/DAY(EOMONTH(CY29,0)),0))))</f>
        <v/>
      </c>
      <c r="DF29" s="491" t="str">
        <f>IF(CY29="","",IF(AND($CA$3=$CA$1,CY29&lt;=$CT$1),0,IF(Main!$C$26="UGC",0,IF(OR(CY29&lt;DATE(2010,4,1),$I$6=VLOOKUP(CY29,$B$2:$G$4,5,TRUE),DA29=VLOOKUP(DA29,'IN RPS-2015'!$I$2:$J$5,1)),0,ROUND(IF(DQ29=3,0,IF(DQ29=2,MIN(ROUND(DA29*$G$13%,0),IF(CY29&lt;$J$152,$G$14,$G$15))/2,MIN(ROUND(DA29*$G$13%,0),IF(CY29&lt;$J$152,$G$14,$G$15))))*(DAY(CZ29)-DAY(CY29)+1)/DAY(EOMONTH(CY29,0)),0)))))</f>
        <v/>
      </c>
      <c r="DG29" s="461" t="str">
        <f>IF(CY29="","",IF(AND($CA$3=$CA$1,CY29&lt;=$CT$1),0,IF(Main!$C$26="UGC",0,IF(DA29=VLOOKUP(DA29,'IN RPS-2015'!$I$2:$J$5,1),0,ROUND(DB29*VLOOKUP(CY29,$BZ$11:$CA$12,2)%,0)))))</f>
        <v/>
      </c>
      <c r="DH29" s="461" t="str">
        <f>IF(CY29="","",IF(AND($CA$3=$CA$1,CY29&lt;=$CT$1),0,IF(Main!$C$26="UGC",0,IF(CY29&lt;DATE(2010,4,1),0,IF(OR(DQ29=2,DQ29=3,DA29=VLOOKUP(DA29,'IN RPS-2015'!$I$2:$J$5,1)),0,ROUND(IF(CY29&lt;$J$152,VLOOKUP(CY29,$B$1:$G$4,4),VLOOKUP(VLOOKUP(CY29,$B$1:$G$4,4),Main!$CE$2:$CF$5,2,FALSE))*(DAY(CZ29)-DAY(CY29)+1)/DAY(EOMONTH(CY29,0)),0))))))</f>
        <v/>
      </c>
      <c r="DI29" s="461" t="str">
        <f>IF(CY29="","",IF(AND($CA$3=$CA$1,CY29&lt;=$CT$1),0,IF(OR(DQ29=2,DQ29=3,$D$31=$D$28,DA29=VLOOKUP(DA29,'IN RPS-2015'!$I$2:$J$5,1)),0,ROUND(MIN(VLOOKUP(CX29,$A$27:$C$29,2,TRUE),ROUND(DA29*VLOOKUP(CX29,$A$27:$C$29,3,TRUE)%,0))*IF(CX29=$A$36,$C$36,IF(CX29=$A$37,$C$37,IF(CX29=$A$38,$C$38,IF(CX29=$A$39,$C$39,IF(CX29=$A$40,$C$40,IF(CX29=$A$41,$C$41,1))))))*(DAY(CZ29)-DAY(CY29)+1)/DAY(EOMONTH(CY29,0)),0))))</f>
        <v/>
      </c>
      <c r="DJ29" s="461" t="str">
        <f>IF(CY29="","",IF(AND($CA$3=$CA$1,CY29&lt;=$CT$1),0,IF(Main!$C$26="UGC",0,IF(OR(DQ29=3,DA29=VLOOKUP(DA29,'IN RPS-2015'!$I$2:$J$5,1)),0,ROUND(IF(DQ29=2,VLOOKUP(DA29,IF($CA$3=$I$29,$A$20:$E$23,$F$144:$J$147),IF($B$19=VLOOKUP(CY29,$B$2:$G$4,3,TRUE),2,IF($C$19=VLOOKUP(CY29,$B$2:$G$4,3,TRUE),3,IF($D$19=VLOOKUP(CY29,$B$2:$G$4,3,TRUE),4,5))),TRUE),VLOOKUP(DA29,IF($CA$3=$I$29,$A$20:$E$23,$F$144:$J$147),IF($B$19=VLOOKUP(CY29,$B$2:$G$4,3,TRUE),2,IF($C$19=VLOOKUP(CY29,$B$2:$G$4,3,TRUE),3,IF($D$19=VLOOKUP(CY29,$B$2:$G$4,3,TRUE),4,5))),TRUE))*(DAY(CZ29)-DAY(CY29)+1)/DAY(EOMONTH(CY29,0)),0)))))</f>
        <v/>
      </c>
      <c r="DK29" s="461" t="str">
        <f>IF(CY29="","",IF(AND($CA$3=$CA$1,CY29&lt;=$CT$1),0,IF(Main!$C$26="UGC",0,IF(OR(CX29&lt;DATE(2010,4,1),DQ29=3,DA29=VLOOKUP(DA29,'IN RPS-2015'!$I$2:$J$5,1)),0,ROUND(IF(DQ29=2,IF(CY29&lt;$J$152,Main!$L$9,Main!$CI$3)/2,IF(CY29&lt;$J$152,Main!$L$9,Main!$CI$3))*(DAY(CZ29)-DAY(CY29)+1)/DAY(EOMONTH(CY29,0)),0)))))</f>
        <v/>
      </c>
      <c r="DL29" s="461"/>
      <c r="DM29" s="461" t="str">
        <f>IF(CY29="","",IF(AND($CA$3=$CA$1,CY29&lt;=$CT$1),0,IF(Main!$C$26="UGC",0,IF(OR(DQ29=3,DA29=VLOOKUP(DA29,'IN RPS-2015'!$I$2:$J$5,1)),0,ROUND(IF(DQ29=2,VLOOKUP(DB29,IF(CY29&lt;$J$152,$A$154:$E$159,$F$154:$J$159),IF($B$10=VLOOKUP(CX29,$B$2:$G$4,6,TRUE),2,IF($B$10=VLOOKUP(CX29,$B$2:$G$4,6,TRUE),3,IF($D$10=VLOOKUP(CX29,$B$2:$G$4,6,TRUE),4,5))))/2,VLOOKUP(DB29,IF(CY29&lt;$J$152,$A$154:$E$159,$F$154:$J$159),IF($B$10=VLOOKUP(CX29,$B$2:$G$4,6,TRUE),2,IF($B$10=VLOOKUP(CX29,$B$2:$G$4,6,TRUE),3,IF($D$10=VLOOKUP(CX29,$B$2:$G$4,6,TRUE),4,5)))))*(DAY(CZ29)-DAY(CY29)+1)/DAY(EOMONTH(CY29,0)),0)))))</f>
        <v/>
      </c>
      <c r="DN29" s="461">
        <f t="shared" si="76"/>
        <v>0</v>
      </c>
      <c r="DO29" s="464" t="str">
        <f>IF(CY29="","",IF(AND($CA$3=$CA$1,CY29&lt;=$CT$1),0,IF(AND(Main!$F$22=Main!$CA$24,CY29&gt;$CT$1),ROUND(SUM(DB29,DD29)*10%,0),"")))</f>
        <v/>
      </c>
      <c r="DP29" s="464" t="str">
        <f>IF(CX29="","",IF(AND($CA$3=$CA$1,CY29&lt;=$CT$1),0,IF(OR(Main!$H$10=Main!$BH$4,Main!$H$10=Main!$BH$5),0,LOOKUP(DN29*DAY(EOMONTH(CY29,0))/(DAY(CZ29)-DAY(CY29)+1),$H$184:$I$189))))</f>
        <v/>
      </c>
      <c r="DQ29" s="457">
        <f t="shared" si="60"/>
        <v>1</v>
      </c>
      <c r="DR29" s="457">
        <f t="shared" si="77"/>
        <v>0</v>
      </c>
      <c r="DS29" s="457"/>
      <c r="DT29" s="457"/>
      <c r="DU29" s="457"/>
      <c r="DV29" s="461"/>
      <c r="DW29" s="499" t="str">
        <f t="shared" si="61"/>
        <v/>
      </c>
      <c r="DX29" s="500" t="str">
        <f t="shared" si="88"/>
        <v/>
      </c>
      <c r="DY29" s="484" t="str">
        <f>IF(DX29="","",MIN(EOMONTH(DX29,0),VLOOKUP(DX29,'IN RPS-2015'!$O$164:$P$202,2,TRUE)-1,LOOKUP(DX29,$E$47:$F$53)-1,IF(DX29&lt;$B$2,$B$2-1,'IN RPS-2015'!$Q$9),IF(DX29&lt;$B$3,$B$3-1,'IN RPS-2015'!$Q$9),IF(DX29&lt;$B$4,$B$4-1,'IN RPS-2015'!$Q$9),LOOKUP(DX29,$H$47:$I$53)))</f>
        <v/>
      </c>
      <c r="DZ29" s="490" t="str">
        <f>IF(DX29="","",VLOOKUP(DX29,'IN RPS-2015'!$P$164:$AA$202,11))</f>
        <v/>
      </c>
      <c r="EA29" s="461" t="str">
        <f t="shared" si="78"/>
        <v/>
      </c>
      <c r="EB29" s="461" t="str">
        <f>IF(DX29="","",ROUND(IF(EP29=3,0,IF(EP29=2,IF(DZ29=VLOOKUP(DZ29,'IN RPS-2015'!$I$2:$J$5,1),0,Main!$H$9)/2,IF(DZ29=VLOOKUP(DZ29,'IN RPS-2015'!$I$2:$J$5,1),0,Main!$H$9)))*(DAY(DY29)-DAY(DX29)+1)/DAY(EOMONTH(DX29,0)),0))</f>
        <v/>
      </c>
      <c r="EC29" s="461" t="str">
        <f>IF(DX29="","",IF(DZ29=VLOOKUP(DZ29,'IN RPS-2015'!$I$2:$J$5,1),0,ROUND(EA29*VLOOKUP(DX29,$DT$4:$DU$7,2)%,0)))</f>
        <v/>
      </c>
      <c r="ED29" s="461" t="str">
        <f>IF(DX29="","",IF(OR(EP29=3,DZ29=VLOOKUP(DZ29,'IN RPS-2015'!$I$2:$J$5,1)),0,ROUND(MIN(ROUND(DZ29*VLOOKUP(DX29,$B$1:$G$4,2)%,0),VLOOKUP(DX29,$B$2:$I$4,IF($DU$3=$I$29,7,8),TRUE))*(DAY(DY29)-DAY(DX29)+1)/DAY(EOMONTH(DX29,0)),0)))</f>
        <v/>
      </c>
      <c r="EE29" s="491" t="str">
        <f>IF(DX29="","",IF(Main!$C$26="UGC",0,IF(OR(DX29&lt;DATE(2010,4,1),$I$6=VLOOKUP(DX29,$B$2:$G$4,5,TRUE),DZ29=VLOOKUP(DZ29,'IN RPS-2015'!$I$2:$J$5,1)),0,ROUND(IF(EP29=3,0,IF(EP29=2,MIN(ROUND(DZ29*$G$13%,0),IF(DX29&lt;$I$152,$G$14,$G$15))/2,MIN(ROUND(DZ29*$G$13%,0),IF(DX29&lt;$I$152,$G$14,$G$15))))*(DAY(DY29)-DAY(DX29)+1)/DAY(EOMONTH(DX29,0)),0))))</f>
        <v/>
      </c>
      <c r="EF29" s="461" t="str">
        <f>IF(DX29="","",IF(Main!$C$26="UGC",0,IF(DZ29=VLOOKUP(DZ29,'IN RPS-2015'!$I$2:$J$5,1),0,ROUND(EA29*VLOOKUP(DX29,$DT$11:$DU$12,2)%,0))))</f>
        <v/>
      </c>
      <c r="EG29" s="461" t="str">
        <f>IF(DX29="","",IF(Main!$C$26="UGC",0,IF(DX29&lt;DATE(2010,4,1),0,IF(OR(EP29=2,EP29=3,DZ29=VLOOKUP(DZ29,'IN RPS-2015'!$I$2:$J$5,1)),0,ROUND(IF(DX29&lt;$I$152,VLOOKUP(DX29,$B$1:$G$4,4),VLOOKUP(VLOOKUP(DX29,$B$1:$G$4,4),Main!$CE$2:$CF$5,2,FALSE))*(DAY(DY29)-DAY(DX29)+1)/DAY(EOMONTH(DX29,0)),0)))))</f>
        <v/>
      </c>
      <c r="EH29" s="461" t="str">
        <f>IF(DX29="","",IF(OR(EP29=2,EP29=3,$D$31=$D$28,DZ29=VLOOKUP(DZ29,'IN RPS-2015'!$I$2:$J$5,1)),0,ROUND(MIN(IF(DX29&lt;$I$152,900,1350),ROUND(DZ29*VLOOKUP(DW29,$A$27:$C$29,3,TRUE)%,0))*IF(DW29=$A$36,$C$36,IF(DW29=$A$37,$C$37,IF(DW29=$A$38,$C$38,IF(DW29=$A$39,$C$39,IF(DW29=$A$40,$C$40,IF(DW29=$A$41,$C$41,1))))))*(DAY(DY29)-DAY(DX29)+1)/DAY(EOMONTH(DX29,0)),0)))</f>
        <v/>
      </c>
      <c r="EI29" s="461" t="str">
        <f>IF(DX29="","",IF(Main!$C$26="UGC",0,IF(OR(EP29=3,DZ29=VLOOKUP(DZ29,'IN RPS-2015'!$I$2:$J$5,1)),0,ROUND(IF(EP29=2,VLOOKUP(DZ29,IF($DU$3=$I$29,$A$20:$E$23,$F$144:$J$147),IF($B$19=VLOOKUP(DX29,$B$2:$G$4,3,TRUE),2,IF($C$19=VLOOKUP(DX29,$B$2:$G$4,3,TRUE),3,IF($D$19=VLOOKUP(DX29,$B$2:$G$4,3,TRUE),4,5))),TRUE),VLOOKUP(DZ29,IF($DU$3=$I$29,$A$20:$E$23,$F$144:$J$147),IF($B$19=VLOOKUP(DX29,$B$2:$G$4,3,TRUE),2,IF($C$19=VLOOKUP(DX29,$B$2:$G$4,3,TRUE),3,IF($D$19=VLOOKUP(DX29,$B$2:$G$4,3,TRUE),4,5))),TRUE))*(DAY(DY29)-DAY(DX29)+1)/DAY(EOMONTH(DX29,0)),0))))</f>
        <v/>
      </c>
      <c r="EJ29" s="461" t="str">
        <f>IF(DX29="","",IF(Main!$C$26="UGC",0,IF(OR(DW29&lt;DATE(2010,4,1),EP29=3,DZ29=VLOOKUP(DZ29,'IN RPS-2015'!$I$2:$J$5,1)),0,ROUND(IF(EP29=2,IF(DX29&lt;$I$152,Main!$L$9,Main!$CI$3)/2,IF(DX29&lt;$I$152,Main!$L$9,Main!$CI$3))*(DAY(DY29)-DAY(DX29)+1)/DAY(EOMONTH(DX29,0)),0))))</f>
        <v/>
      </c>
      <c r="EK29" s="461"/>
      <c r="EL29" s="461" t="str">
        <f>IF(DX29="","",IF(Main!$C$26="UGC",0,IF(OR(EP29=3,DZ29=VLOOKUP(DZ29,'IN RPS-2015'!$I$2:$J$5,1)),0,ROUND(IF(EP29=2,VLOOKUP(EA29,IF(DX29&lt;$I$152,$A$154:$E$159,$F$154:$J$159),IF($B$10=VLOOKUP(DW29,$B$2:$G$4,6,TRUE),2,IF($B$10=VLOOKUP(DW29,$B$2:$G$4,6,TRUE),3,IF($D$10=VLOOKUP(DW29,$B$2:$G$4,6,TRUE),4,5))))/2,VLOOKUP(EA29,IF(DX29&lt;$I$152,$A$154:$E$159,$F$154:$J$159),IF($B$10=VLOOKUP(DW29,$B$2:$G$4,6,TRUE),2,IF($B$10=VLOOKUP(DW29,$B$2:$G$4,6,TRUE),3,IF($D$10=VLOOKUP(DW29,$B$2:$G$4,6,TRUE),4,5)))))*(DAY(DY29)-DAY(DX29)+1)/DAY(EOMONTH(DX29,0)),0))))</f>
        <v/>
      </c>
      <c r="EM29" s="461">
        <f t="shared" si="79"/>
        <v>0</v>
      </c>
      <c r="EN29" s="464" t="str">
        <f>IF(DX29="","",IF(AND(Main!$F$22=Main!$CA$24,DX29&gt;$EN$1),ROUND(SUM(EA29,EC29)*10%,0),""))</f>
        <v/>
      </c>
      <c r="EO29" s="464" t="str">
        <f>IF(DW29="","",IF(EA29=0,0,IF(OR(Main!$H$10=Main!$BH$4,Main!$H$10=Main!$BH$5),0,LOOKUP(EM29*DAY(EOMONTH(DX29,0))/(DAY(DY29)-DAY(DX29)+1),$H$184:$I$189))))</f>
        <v/>
      </c>
      <c r="EP29" s="457">
        <f t="shared" si="62"/>
        <v>1</v>
      </c>
      <c r="ET29" s="461"/>
      <c r="EU29" s="499" t="str">
        <f t="shared" si="63"/>
        <v/>
      </c>
      <c r="EV29" s="500" t="str">
        <f t="shared" si="89"/>
        <v/>
      </c>
      <c r="EW29" s="484" t="str">
        <f>IF(EV29="","",MIN(EOMONTH(EV29,0),VLOOKUP(EV29,'IN RPS-2015'!$O$164:$P$202,2,TRUE)-1,LOOKUP(EV29,$E$47:$F$53)-1,IF(EV29&lt;$B$2,$B$2-1,'IN RPS-2015'!$Q$9),IF(EV29&lt;$B$3,$B$3-1,'IN RPS-2015'!$Q$9),IF(EV29&lt;$B$4,$B$4-1,'IN RPS-2015'!$Q$9),LOOKUP(EV29,$H$47:$I$53)))</f>
        <v/>
      </c>
      <c r="EX29" s="490" t="str">
        <f>IF(EV29="","",VLOOKUP(EV29,'IN RPS-2015'!$P$164:$AA$202,12))</f>
        <v/>
      </c>
      <c r="EY29" s="461" t="str">
        <f t="shared" si="80"/>
        <v/>
      </c>
      <c r="EZ29" s="461" t="str">
        <f>IF(EV29="","",ROUND(IF(FN29=3,0,IF(FN29=2,IF(EX29=VLOOKUP(EX29,'IN RPS-2015'!$I$2:$J$5,1),0,Main!$H$9)/2,IF(EX29=VLOOKUP(EX29,'IN RPS-2015'!$I$2:$J$5,1),0,Main!$H$9)))*(DAY(EW29)-DAY(EV29)+1)/DAY(EOMONTH(EV29,0)),0))</f>
        <v/>
      </c>
      <c r="FA29" s="461" t="str">
        <f>IF(EV29="","",IF(EX29=VLOOKUP(EX29,'IN RPS-2015'!$I$2:$J$5,1),0,ROUND(EY29*VLOOKUP(EV29,$ER$4:$ES$7,2)%,0)))</f>
        <v/>
      </c>
      <c r="FB29" s="461" t="str">
        <f>IF(EV29="","",IF(OR(FN29=3,EX29=VLOOKUP(EX29,'IN RPS-2015'!$I$2:$J$5,1)),0,ROUND(MIN(ROUND(EX29*VLOOKUP(EV29,$B$1:$G$4,2)%,0),VLOOKUP(EV29,$B$2:$I$4,IF($ES$3=$I$29,7,8),TRUE))*(DAY(EW29)-DAY(EV29)+1)/DAY(EOMONTH(EV29,0)),0)))</f>
        <v/>
      </c>
      <c r="FC29" s="491" t="str">
        <f>IF(EV29="","",IF(Main!$C$26="UGC",0,IF(OR(EV29&lt;DATE(2010,4,1),$I$6=VLOOKUP(EV29,$B$2:$G$4,5,TRUE),EX29=VLOOKUP(EX29,'IN RPS-2015'!$I$2:$J$5,1)),0,ROUND(IF(FN29=3,0,IF(FN29=2,MIN(ROUND(EX29*$G$13%,0),IF(EV29&lt;$J$152,$G$14,$G$15))/2,MIN(ROUND(EX29*$G$13%,0),IF(EV29&lt;$J$152,$G$14,$G$15))))*(DAY(EW29)-DAY(EV29)+1)/DAY(EOMONTH(EV29,0)),0))))</f>
        <v/>
      </c>
      <c r="FD29" s="461" t="str">
        <f>IF(EV29="","",IF(Main!$C$26="UGC",0,IF(EX29=VLOOKUP(EX29,'IN RPS-2015'!$I$2:$J$5,1),0,ROUND(EY29*VLOOKUP(EV29,$ER$11:$ES$12,2)%,0))))</f>
        <v/>
      </c>
      <c r="FE29" s="461" t="str">
        <f>IF(EV29="","",IF(Main!$C$26="UGC",0,IF(EV29&lt;DATE(2010,4,1),0,IF(OR(FN29=2,FN29=3,EX29=VLOOKUP(EX29,'IN RPS-2015'!$I$2:$J$5,1)),0,ROUND(IF(EV29&lt;$J$152,VLOOKUP(EV29,$B$1:$G$4,4),VLOOKUP(VLOOKUP(EV29,$B$1:$G$4,4),Main!$CE$2:$CF$5,2,FALSE))*(DAY(EW29)-DAY(EV29)+1)/DAY(EOMONTH(EV29,0)),0)))))</f>
        <v/>
      </c>
      <c r="FF29" s="461" t="str">
        <f>IF(EV29="","",IF(OR(FN29=2,FN29=3,$D$31=$D$28,EX29=VLOOKUP(EX29,'IN RPS-2015'!$I$2:$J$5,1)),0,ROUND(MIN(VLOOKUP(EU29,$A$27:$C$29,2,TRUE),ROUND(EX29*VLOOKUP(EU29,$A$27:$C$29,3,TRUE)%,0))*IF(EU29=$A$36,$C$36,IF(EU29=$A$37,$C$37,IF(EU29=$A$38,$C$38,IF(EU29=$A$39,$C$39,IF(EU29=$A$40,$C$40,IF(EU29=$A$41,$C$41,1))))))*(DAY(EW29)-DAY(EV29)+1)/DAY(EOMONTH(EV29,0)),0)))</f>
        <v/>
      </c>
      <c r="FG29" s="461" t="str">
        <f>IF(EV29="","",IF(Main!$C$26="UGC",0,IF(OR(FN29=3,EX29=VLOOKUP(EX29,'IN RPS-2015'!$I$2:$J$5,1)),0,ROUND(IF(FN29=2,VLOOKUP(EX29,IF($ES$3=$I$29,$A$20:$E$23,$F$144:$J$147),IF($B$19=VLOOKUP(EV29,$B$2:$G$4,3,TRUE),2,IF($C$19=VLOOKUP(EV29,$B$2:$G$4,3,TRUE),3,IF($D$19=VLOOKUP(EV29,$B$2:$G$4,3,TRUE),4,5))),TRUE),VLOOKUP(EX29,IF($ES$3=$I$29,$A$20:$E$23,$F$144:$J$147),IF($B$19=VLOOKUP(EV29,$B$2:$G$4,3,TRUE),2,IF($C$19=VLOOKUP(EV29,$B$2:$G$4,3,TRUE),3,IF($D$19=VLOOKUP(EV29,$B$2:$G$4,3,TRUE),4,5))),TRUE))*(DAY(EW29)-DAY(EV29)+1)/DAY(EOMONTH(EV29,0)),0))))</f>
        <v/>
      </c>
      <c r="FH29" s="461" t="str">
        <f>IF(EV29="","",IF(Main!$C$26="UGC",0,IF(OR(EU29&lt;DATE(2010,4,1),FN29=3,EX29=VLOOKUP(EX29,'IN RPS-2015'!$I$2:$J$5,1)),0,ROUND(IF(FN29=2,IF(EV29&lt;$J$152,Main!$L$9,Main!$CI$3)/2,IF(EV29&lt;$J$152,Main!$L$9,Main!$CI$3))*(DAY(EW29)-DAY(EV29)+1)/DAY(EOMONTH(EV29,0)),0))))</f>
        <v/>
      </c>
      <c r="FI29" s="461"/>
      <c r="FJ29" s="461" t="str">
        <f>IF(EV29="","",IF(Main!$C$26="UGC",0,IF(OR(FN29=3,EX29=VLOOKUP(EX29,'IN RPS-2015'!$I$2:$J$5,1)),0,ROUND(IF(FN29=2,VLOOKUP(EY29,IF(EV29&lt;$J$152,$A$154:$E$159,$F$154:$J$159),IF($B$10=VLOOKUP(EU29,$B$2:$G$4,6,TRUE),2,IF($B$10=VLOOKUP(EU29,$B$2:$G$4,6,TRUE),3,IF($D$10=VLOOKUP(EU29,$B$2:$G$4,6,TRUE),4,5))))/2,VLOOKUP(EY29,IF(EV29&lt;$J$152,$A$154:$E$159,$F$154:$J$159),IF($B$10=VLOOKUP(EU29,$B$2:$G$4,6,TRUE),2,IF($B$10=VLOOKUP(EU29,$B$2:$G$4,6,TRUE),3,IF($D$10=VLOOKUP(EU29,$B$2:$G$4,6,TRUE),4,5)))))*(DAY(EW29)-DAY(EV29)+1)/DAY(EOMONTH(EV29,0)),0))))</f>
        <v/>
      </c>
      <c r="FK29" s="461">
        <f t="shared" si="81"/>
        <v>0</v>
      </c>
      <c r="FL29" s="464" t="str">
        <f>IF(EV29="","",IF(AND(Main!$F$22=Main!$CA$24,EV29&gt;$FL$1),ROUND(SUM(EY29,FA29)*10%,0),""))</f>
        <v/>
      </c>
      <c r="FM29" s="464" t="str">
        <f>IF(EU29="","",IF(EY29=0,0,IF(OR(Main!$H$10=Main!$BH$4,Main!$H$10=Main!$BH$5),0,LOOKUP(FK29*DAY(EOMONTH(EV29,0))/(DAY(EW29)-DAY(EV29)+1),$H$184:$I$189))))</f>
        <v/>
      </c>
      <c r="FN29" s="457">
        <f t="shared" si="64"/>
        <v>1</v>
      </c>
    </row>
    <row r="30" spans="1:170">
      <c r="A30" s="161"/>
      <c r="B30" s="162"/>
      <c r="C30" s="164"/>
      <c r="D30" s="167" t="s">
        <v>1351</v>
      </c>
      <c r="F30" s="458">
        <f>B4</f>
        <v>42461</v>
      </c>
      <c r="G30" s="458">
        <f>'IN RPS-2015'!C9</f>
        <v>42461</v>
      </c>
      <c r="K30" s="457" t="str">
        <f>CONCATENATE("DA Arrears From ",TEXT(A99,"MMMM-YYYY")," TO ",TEXT(B99,"MMMM-YYYY"))</f>
        <v>DA Arrears From July-2015 TO March-2016</v>
      </c>
      <c r="L30" s="482"/>
      <c r="M30" s="482"/>
      <c r="N30" s="482"/>
      <c r="Q30" s="457" t="str">
        <f>G99</f>
        <v/>
      </c>
      <c r="AA30" s="457">
        <f t="shared" si="83"/>
        <v>0</v>
      </c>
      <c r="AH30" s="461"/>
      <c r="AI30" s="499" t="str">
        <f t="shared" si="54"/>
        <v/>
      </c>
      <c r="AJ30" s="500" t="str">
        <f t="shared" si="84"/>
        <v/>
      </c>
      <c r="AK30" s="484" t="str">
        <f>IF(AJ30="","",MIN(EOMONTH(AJ30,0),VLOOKUP(AJ30,'IN RPS-2015'!$O$164:$P$202,2,TRUE)-1,LOOKUP(AJ30,$E$47:$F$53)-1,IF(AJ30&lt;$B$2,$B$2-1,'IN RPS-2015'!$Q$9),IF(AJ30&lt;$B$3,$B$3-1,'IN RPS-2015'!$Q$9),IF(AJ30&lt;$B$4,$B$4-1,'IN RPS-2015'!$Q$9),LOOKUP(AJ30,$H$47:$I$53)))</f>
        <v/>
      </c>
      <c r="AL30" s="490" t="str">
        <f>IF(AJ30="","",VLOOKUP(AJ30,'IN RPS-2015'!$P$164:$AA$202,9))</f>
        <v/>
      </c>
      <c r="AM30" s="461" t="str">
        <f t="shared" si="66"/>
        <v/>
      </c>
      <c r="AN30" s="461" t="str">
        <f>IF(AJ30="","",IF(AND($AG$3=$AG$1,AJ30&lt;=$AZ$1),0,ROUND(IF(BB30=3,0,IF(BB30=2,IF(AL30=VLOOKUP(AL30,'IN RPS-2015'!$I$2:$J$5,1),0,Main!$H$9)/2,IF(AL30=VLOOKUP(AL30,'IN RPS-2015'!$I$2:$J$5,1),0,Main!$H$9)))*(DAY(AK30)-DAY(AJ30)+1)/DAY(EOMONTH(AJ30,0)),0)))</f>
        <v/>
      </c>
      <c r="AO30" s="461" t="str">
        <f>IF(AJ30="","",IF(AND($AG$3=$AG$1,AJ30&lt;=$AZ$1),0,IF(AL30=VLOOKUP(AL30,'IN RPS-2015'!$I$2:$J$5,1),0,ROUND(AM30*VLOOKUP(AJ30,$AF$4:$AG$7,2)%,0))))</f>
        <v/>
      </c>
      <c r="AP30" s="461" t="str">
        <f>IF(AJ30="","",IF(AND($AG$3=$AG$1,AJ30&lt;=$AZ$1),0,IF(OR(BB30=3,AL30=VLOOKUP(AL30,'IN RPS-2015'!$I$2:$J$5,1)),0,ROUND(MIN(ROUND(AL30*VLOOKUP(AJ30,$B$1:$G$4,2)%,0),VLOOKUP(AJ30,$B$2:$I$4,IF($AG$3=$I$29,7,8),TRUE))*(DAY(AK30)-DAY(AJ30)+1)/DAY(EOMONTH(AJ30,0)),0))))</f>
        <v/>
      </c>
      <c r="AQ30" s="491" t="str">
        <f>IF(AJ30="","",IF(AND($AG$3=$AG$1,AJ30&lt;=$AZ$1),0,IF(Main!$C$26="UGC",0,IF(OR(AJ30&lt;DATE(2010,4,1),$I$6=VLOOKUP(AJ30,$B$2:$G$4,5,TRUE),AL30=VLOOKUP(AL30,'IN RPS-2015'!$I$2:$J$5,1)),0,ROUND(IF(BB30=3,0,IF(BB30=2,MIN(ROUND(AL30*$G$13%,0),IF(AJ30&lt;$J$152,$G$14,$G$15))/2,MIN(ROUND(AL30*$G$13%,0),IF(AJ30&lt;$J$152,$G$14,$G$15))))*(DAY(AK30)-DAY(AJ30)+1)/DAY(EOMONTH(AJ30,0)),0)))))</f>
        <v/>
      </c>
      <c r="AR30" s="461" t="str">
        <f>IF(AJ30="","",IF(AND($AG$3=$AG$1,AJ30&lt;=$AZ$1),0,IF(Main!$C$26="UGC",0,IF(AL30=VLOOKUP(AL30,'IN RPS-2015'!$I$2:$J$5,1),0,ROUND(AM30*VLOOKUP(AJ30,$AF$11:$AG$12,2)%,0)))))</f>
        <v/>
      </c>
      <c r="AS30" s="461" t="str">
        <f>IF(AJ30="","",IF(AND($AG$3=$AG$1,AJ30&lt;=$AZ$1),0,IF(Main!$C$26="UGC",0,IF(AJ30&lt;DATE(2010,4,1),0,IF(OR(BB30=2,BB30=3,AL30=VLOOKUP(AL30,'IN RPS-2015'!$I$2:$J$5,1)),0,ROUND(IF(AJ30&lt;$J$152,VLOOKUP(AJ30,$B$1:$G$4,4),VLOOKUP(VLOOKUP(AJ30,$B$1:$G$4,4),Main!$CE$2:$CF$5,2,FALSE))*(DAY(AK30)-DAY(AJ30)+1)/DAY(EOMONTH(AJ30,0)),0))))))</f>
        <v/>
      </c>
      <c r="AT30" s="461" t="str">
        <f>IF(AJ30="","",IF(AND($AG$3=$AG$1,AJ30&lt;=$AZ$1),0,IF(OR(BB30=2,BB30=3,$D$31=$D$28,AL30=VLOOKUP(AL30,'IN RPS-2015'!$I$2:$J$5,1)),0,ROUND(MIN(VLOOKUP(AI30,$A$27:$C$29,2,TRUE),ROUND(AL30*VLOOKUP(AI30,$A$27:$C$29,3,TRUE)%,0))*IF(AI30=$A$36,$C$36,IF(AI30=$A$37,$C$37,IF(AI30=$A$38,$C$38,IF(AI30=$A$39,$C$39,IF(AI30=$A$40,$C$40,IF(AI30=$A$41,$C$41,1))))))*(DAY(AK30)-DAY(AJ30)+1)/DAY(EOMONTH(AJ30,0)),0))))</f>
        <v/>
      </c>
      <c r="AU30" s="461" t="str">
        <f>IF(AJ30="","",IF(AND($AG$3=$AG$1,AJ30&lt;=$AZ$1),0,IF(Main!$C$26="UGC",0,IF(OR(BB30=3,AL30=VLOOKUP(AL30,'IN RPS-2015'!$I$2:$J$5,1)),0,ROUND(IF(BB30=2,VLOOKUP(AL30,IF($AG$3=$I$29,$A$20:$E$23,$F$144:$J$147),IF($B$19=VLOOKUP(AJ30,$B$2:$G$4,3,TRUE),2,IF($C$19=VLOOKUP(AJ30,$B$2:$G$4,3,TRUE),3,IF($D$19=VLOOKUP(AJ30,$B$2:$G$4,3,TRUE),4,5))),TRUE),VLOOKUP(AL30,IF($AG$3=$I$29,$A$20:$E$23,$F$144:$J$147),IF($B$19=VLOOKUP(AJ30,$B$2:$G$4,3,TRUE),2,IF($C$19=VLOOKUP(AJ30,$B$2:$G$4,3,TRUE),3,IF($D$19=VLOOKUP(AJ30,$B$2:$G$4,3,TRUE),4,5))),TRUE))*(DAY(AK30)-DAY(AJ30)+1)/DAY(EOMONTH(AJ30,0)),0)))))</f>
        <v/>
      </c>
      <c r="AV30" s="461" t="str">
        <f>IF(AJ30="","",IF(AND($AG$3=$AG$1,AJ30&lt;=$AZ$1),0,IF(Main!$C$26="UGC",0,IF(OR(AI30&lt;DATE(2010,4,1),BB30=3,AL30=VLOOKUP(AL30,'IN RPS-2015'!$I$2:$J$5,1)),0,ROUND(IF(BB30=2,IF(AJ30&lt;$J$152,Main!$L$9,Main!$CI$3)/2,IF(AJ30&lt;$J$152,Main!$L$9,Main!$CI$3))*(DAY(AK30)-DAY(AJ30)+1)/DAY(EOMONTH(AJ30,0)),0)))))</f>
        <v/>
      </c>
      <c r="AW30" s="461"/>
      <c r="AX30" s="461" t="str">
        <f>IF(AJ30="","",IF(AND($AG$3=$AG$1,AJ30&lt;=$AZ$1),0,IF(Main!$C$26="UGC",0,IF(OR(BB30=3,AL30=VLOOKUP(AL30,'IN RPS-2015'!$I$2:$J$5,1)),0,ROUND(IF(BB30=2,VLOOKUP(AM30,IF(AJ30&lt;$J$152,$A$154:$E$159,$F$154:$J$159),IF($B$10=VLOOKUP(AI30,$B$2:$G$4,6,TRUE),2,IF($B$10=VLOOKUP(AI30,$B$2:$G$4,6,TRUE),3,IF($D$10=VLOOKUP(AI30,$B$2:$G$4,6,TRUE),4,5))))/2,VLOOKUP(AM30,IF(AJ30&lt;$J$152,$A$154:$E$159,$F$154:$J$159),IF($B$10=VLOOKUP(AI30,$B$2:$G$4,6,TRUE),2,IF($B$10=VLOOKUP(AI30,$B$2:$G$4,6,TRUE),3,IF($D$10=VLOOKUP(AI30,$B$2:$G$4,6,TRUE),4,5)))))*(DAY(AK30)-DAY(AJ30)+1)/DAY(EOMONTH(AJ30,0)),0)))))</f>
        <v/>
      </c>
      <c r="AY30" s="461">
        <f t="shared" si="67"/>
        <v>0</v>
      </c>
      <c r="AZ30" s="464" t="str">
        <f>IF(AJ30="","",IF(AND($AG$3=$AG$1,AJ30&lt;=$AZ$1),0,IF(AND(Main!$F$22=Main!$CA$24,AJ30&gt;$AZ$1),ROUND(SUM(AM30,AO30)*10%,0),"")))</f>
        <v/>
      </c>
      <c r="BA30" s="464" t="str">
        <f>IF(AI30="","",IF(AND($AG$3=$AG$1,AJ30&lt;=$AZ$1),0,IF(OR(Main!$H$10=Main!$BH$4,Main!$H$10=Main!$BH$5),0,LOOKUP(AY30*DAY(EOMONTH(AJ30,0))/(DAY(AK30)-DAY(AJ30)+1),$H$184:$I$189))))</f>
        <v/>
      </c>
      <c r="BB30" s="497">
        <f t="shared" si="55"/>
        <v>1</v>
      </c>
      <c r="BC30" s="464"/>
      <c r="BD30" s="501" t="str">
        <f t="shared" si="56"/>
        <v/>
      </c>
      <c r="BE30" s="502" t="str">
        <f t="shared" si="85"/>
        <v/>
      </c>
      <c r="BF30" s="484" t="str">
        <f>IF(BE30="","",MIN(EOMONTH(BE30,0),VLOOKUP(BE30,'IN RPS-2015'!$O$164:$P$202,2,TRUE)-1,LOOKUP(BE30,$E$47:$F$53)-1,IF(BE30&lt;$B$2,$B$2-1,'IN RPS-2015'!$Q$9),IF(BE30&lt;$B$3,$B$3-1,'IN RPS-2015'!$Q$9),IF(BE30&lt;$B$4,$B$4-1,'IN RPS-2015'!$Q$9),LOOKUP(BE30,$H$47:$I$53)))</f>
        <v/>
      </c>
      <c r="BG30" s="493" t="str">
        <f>IF(BE30="","",VLOOKUP(BE30,'IN RPS-2015'!$P$164:$AA$202,10))</f>
        <v/>
      </c>
      <c r="BH30" s="461" t="str">
        <f t="shared" si="68"/>
        <v/>
      </c>
      <c r="BI30" s="461" t="str">
        <f>IF(BE30="","",IF(AND($AG$3=$AG$1,BE30&lt;=$AZ$1),0,ROUND(IF(BW30=3,0,IF(BW30=2,IF(BG30=VLOOKUP(BG30,'IN RPS-2015'!$I$2:$J$5,1),0,Main!$H$9)/2,IF(BG30=VLOOKUP(BG30,'IN RPS-2015'!$I$2:$J$5,1),0,Main!$H$9)))*(DAY(BF30)-DAY(BE30)+1)/DAY(EOMONTH(BE30,0)),0)))</f>
        <v/>
      </c>
      <c r="BJ30" s="461" t="str">
        <f>IF(BE30="","",IF(AND($AG$3=$AG$1,BE30&lt;=$AZ$1),0,IF(BG30=VLOOKUP(BG30,'IN RPS-2015'!$I$2:$J$5,1),0,ROUND(BH30*VLOOKUP(BE30,$AF$4:$AG$7,2)%,0))))</f>
        <v/>
      </c>
      <c r="BK30" s="461" t="str">
        <f>IF(BE30="","",IF(AND($AG$3=$AG$1,BE30&lt;=$AZ$1),0,IF(OR(BW30=3,BG30=VLOOKUP(BG30,'IN RPS-2015'!$I$2:$J$5,1)),0,ROUND(MIN(ROUND(BG30*VLOOKUP(BE30,$B$1:$G$4,2)%,0),VLOOKUP(BE30,$B$2:$I$4,IF($AG$3=$I$29,7,8),TRUE))*(DAY(BF30)-DAY(BE30)+1)/DAY(EOMONTH(BE30,0)),0))))</f>
        <v/>
      </c>
      <c r="BL30" s="491" t="str">
        <f>IF(BE30="","",IF(AND($AG$3=$AG$1,BE30&lt;=$AZ$1),0,IF(Main!$C$26="UGC",0,IF(OR(BE30&lt;DATE(2010,4,1),$I$6=VLOOKUP(BE30,$B$2:$G$4,5,TRUE),BG30=VLOOKUP(BG30,'IN RPS-2015'!$I$2:$J$5,1)),0,ROUND(IF(BW30=3,0,IF(BW30=2,MIN(ROUND(BG30*$G$13%,0),IF(BE30&lt;$J$152,$G$14,$G$15))/2,MIN(ROUND(BG30*$G$13%,0),IF(BE30&lt;$J$152,$G$14,$G$15))))*(DAY(BF30)-DAY(BE30)+1)/DAY(EOMONTH(BE30,0)),0)))))</f>
        <v/>
      </c>
      <c r="BM30" s="461" t="str">
        <f>IF(BE30="","",IF(AND($AG$3=$AG$1,BE30&lt;=$AZ$1),0,IF(Main!$C$26="UGC",0,IF(BG30=VLOOKUP(BG30,'IN RPS-2015'!$I$2:$J$5,1),0,ROUND(BH30*VLOOKUP(BE30,$AF$11:$AG$12,2)%,0)))))</f>
        <v/>
      </c>
      <c r="BN30" s="461" t="str">
        <f>IF(BE30="","",IF(AND($AG$3=$AG$1,BE30&lt;=$AZ$1),0,IF(Main!$C$26="UGC",0,IF(BE30&lt;DATE(2010,4,1),0,IF(OR(BW30=2,BW30=3,BG30=VLOOKUP(BG30,'IN RPS-2015'!$I$2:$J$5,1)),0,ROUND(IF(BE30&lt;$J$152,VLOOKUP(BE30,$B$1:$G$4,4),VLOOKUP(VLOOKUP(BE30,$B$1:$G$4,4),Main!$CE$2:$CF$5,2,FALSE))*(DAY(BF30)-DAY(BE30)+1)/DAY(EOMONTH(BE30,0)),0))))))</f>
        <v/>
      </c>
      <c r="BO30" s="461" t="str">
        <f>IF(BE30="","",IF(AND($AG$3=$AG$1,BE30&lt;=$AZ$1),0,IF(OR(BW30=2,BW30=3,$D$31=$D$28,BG30=VLOOKUP(BG30,'IN RPS-2015'!$I$2:$J$5,1)),0,ROUND(MIN(VLOOKUP(BD30,$A$27:$C$29,2,TRUE),ROUND(BG30*VLOOKUP(BD30,$A$27:$C$29,3,TRUE)%,0))*IF(BD30=$A$36,$C$36,IF(BD30=$A$37,$C$37,IF(BD30=$A$38,$C$38,IF(BD30=$A$39,$C$39,IF(BD30=$A$40,$C$40,IF(BD30=$A$41,$C$41,1))))))*(DAY(BF30)-DAY(BE30)+1)/DAY(EOMONTH(BE30,0)),0))))</f>
        <v/>
      </c>
      <c r="BP30" s="461" t="str">
        <f>IF(BE30="","",IF(AND($AG$3=$AG$1,BE30&lt;=$AZ$1),0,IF(Main!$C$26="UGC",0,IF(OR(BW30=3,BG30=VLOOKUP(BG30,'IN RPS-2015'!$I$2:$J$5,1)),0,ROUND(IF(BW30=2,VLOOKUP(BG30,IF($AG$3=$I$29,$A$20:$E$23,$F$144:$J$147),IF($B$19=VLOOKUP(BE30,$B$2:$G$4,3,TRUE),2,IF($C$19=VLOOKUP(BE30,$B$2:$G$4,3,TRUE),3,IF($D$19=VLOOKUP(BE30,$B$2:$G$4,3,TRUE),4,5))),TRUE),VLOOKUP(BG30,IF($AG$3=$I$29,$A$20:$E$23,$F$144:$J$147),IF($B$19=VLOOKUP(BE30,$B$2:$G$4,3,TRUE),2,IF($C$19=VLOOKUP(BE30,$B$2:$G$4,3,TRUE),3,IF($D$19=VLOOKUP(BE30,$B$2:$G$4,3,TRUE),4,5))),TRUE))*(DAY(BF30)-DAY(BE30)+1)/DAY(EOMONTH(BE30,0)),0)))))</f>
        <v/>
      </c>
      <c r="BQ30" s="461" t="str">
        <f>IF(BE30="","",IF(AND($AG$3=$AG$1,BE30&lt;=$AZ$1),0,IF(Main!$C$26="UGC",0,IF(OR(BD30&lt;DATE(2010,4,1),BW30=3,BG30=VLOOKUP(BG30,'IN RPS-2015'!$I$2:$J$5,1)),0,ROUND(IF(BW30=2,IF(BE30&lt;$J$152,Main!$L$9,Main!$CI$3)/2,IF(BE30&lt;$J$152,Main!$L$9,Main!$CI$3))*(DAY(BF30)-DAY(BE30)+1)/DAY(EOMONTH(BE30,0)),0)))))</f>
        <v/>
      </c>
      <c r="BR30" s="461"/>
      <c r="BS30" s="461" t="str">
        <f>IF(BE30="","",IF(AND($AG$3=$AG$1,BE30&lt;=$AZ$1),0,IF(Main!$C$26="UGC",0,IF(OR(BW30=3,BG30=VLOOKUP(BG30,'IN RPS-2015'!$I$2:$J$5,1)),0,ROUND(IF(BW30=2,VLOOKUP(BH30,IF(BE30&lt;$J$152,$A$154:$E$159,$F$154:$J$159),IF($B$10=VLOOKUP(BD30,$B$2:$G$4,6,TRUE),2,IF($B$10=VLOOKUP(BD30,$B$2:$G$4,6,TRUE),3,IF($D$10=VLOOKUP(BD30,$B$2:$G$4,6,TRUE),4,5))))/2,VLOOKUP(BH30,IF(BE30&lt;$J$152,$A$154:$E$159,$F$154:$J$159),IF($B$10=VLOOKUP(BD30,$B$2:$G$4,6,TRUE),2,IF($B$10=VLOOKUP(BD30,$B$2:$G$4,6,TRUE),3,IF($D$10=VLOOKUP(BD30,$B$2:$G$4,6,TRUE),4,5)))))*(DAY(BF30)-DAY(BE30)+1)/DAY(EOMONTH(BE30,0)),0)))))</f>
        <v/>
      </c>
      <c r="BT30" s="461">
        <f t="shared" si="69"/>
        <v>0</v>
      </c>
      <c r="BU30" s="464" t="str">
        <f>IF(BE30="","",IF(AND($AG$3=$AG$1,BE30&lt;=$AZ$1),0,IF(AND(Main!$F$22=Main!$CA$24,BE30&gt;$AZ$1),ROUND(SUM(BH30,BJ30)*10%,0),"")))</f>
        <v/>
      </c>
      <c r="BV30" s="464" t="str">
        <f>IF(BD30="","",IF(AND($AG$3=$AG$1,BE30&lt;=$AZ$1),0,IF(OR(Main!$H$10=Main!$BH$4,Main!$H$10=Main!$BH$5),0,LOOKUP(BT30*DAY(EOMONTH(BE30,0))/(DAY(BF30)-DAY(BE30)+1),$H$184:$I$189))))</f>
        <v/>
      </c>
      <c r="BW30" s="503">
        <f t="shared" si="70"/>
        <v>1</v>
      </c>
      <c r="BX30" s="457">
        <f t="shared" si="71"/>
        <v>0</v>
      </c>
      <c r="BY30" s="457"/>
      <c r="BZ30" s="457"/>
      <c r="CA30" s="457"/>
      <c r="CB30" s="461"/>
      <c r="CC30" s="499" t="str">
        <f t="shared" si="57"/>
        <v/>
      </c>
      <c r="CD30" s="500" t="str">
        <f t="shared" si="86"/>
        <v/>
      </c>
      <c r="CE30" s="484" t="str">
        <f>IF(CD30="","",MIN(EOMONTH(CD30,0),VLOOKUP(CD30,'IN RPS-2015'!$O$164:$P$202,2,TRUE)-1,LOOKUP(CD30,$E$47:$F$53)-1,IF(CD30&lt;$B$2,$B$2-1,'IN RPS-2015'!$Q$9),IF(CD30&lt;$B$3,$B$3-1,'IN RPS-2015'!$Q$9),IF(CD30&lt;$B$4,$B$4-1,'IN RPS-2015'!$Q$9),LOOKUP(CD30,$H$47:$I$53)))</f>
        <v/>
      </c>
      <c r="CF30" s="490" t="str">
        <f>IF(CD30="","",VLOOKUP(CD30,'IN RPS-2015'!$T$207:$Y$222,5))</f>
        <v/>
      </c>
      <c r="CG30" s="461" t="str">
        <f t="shared" si="72"/>
        <v/>
      </c>
      <c r="CH30" s="461" t="str">
        <f>IF(CD30="","",IF(AND($CA$3=$CA$1,CD30&lt;=$CT$1),0,ROUND(IF(CV30=3,0,IF(CV30=2,IF(CF30=VLOOKUP(CF30,'IN RPS-2015'!$I$2:$J$5,1),0,Main!$H$9)/2,IF(CF30=VLOOKUP(CF30,'IN RPS-2015'!$I$2:$J$5,1),0,Main!$H$9)))*(DAY(CE30)-DAY(CD30)+1)/DAY(EOMONTH(CD30,0)),0)))</f>
        <v/>
      </c>
      <c r="CI30" s="461" t="str">
        <f>IF(CD30="","",IF(AND($CA$3=$CA$1,CD30&lt;=$CT$1),0,IF(CF30=VLOOKUP(CF30,'IN RPS-2015'!$I$2:$J$5,1),0,ROUND(CG30*VLOOKUP(CD30,$BZ$4:$CA$7,2)%,0))))</f>
        <v/>
      </c>
      <c r="CJ30" s="461" t="str">
        <f>IF(CD30="","",IF(AND($CA$3=$CA$1,CD30&lt;=$CT$1),0,IF(OR(CV30=3,CF30=VLOOKUP(CF30,'IN RPS-2015'!$I$2:$J$5,1)),0,ROUND(MIN(ROUND(CF30*VLOOKUP(CD30,$B$1:$G$4,2)%,0),VLOOKUP(CD30,$B$2:$I$4,IF($CA$3=$I$29,7,8),TRUE))*(DAY(CE30)-DAY(CD30)+1)/DAY(EOMONTH(CD30,0)),0))))</f>
        <v/>
      </c>
      <c r="CK30" s="491" t="str">
        <f>IF(CD30="","",IF(AND($CA$3=$CA$1,CD30&lt;=$CT$1),0,IF(Main!$C$26="UGC",0,IF(OR(CD30&lt;DATE(2010,4,1),$I$6=VLOOKUP(CD30,$B$2:$G$4,5,TRUE),CF30=VLOOKUP(CF30,'IN RPS-2015'!$I$2:$J$5,1)),0,ROUND(IF(CV30=3,0,IF(CV30=2,MIN(ROUND(CF30*$G$13%,0),IF(CD30&lt;$J$152,$G$14,$G$15))/2,MIN(ROUND(CF30*$G$13%,0),IF(CD30&lt;$J$152,$G$14,$G$15))))*(DAY(CE30)-DAY(CD30)+1)/DAY(EOMONTH(CD30,0)),0)))))</f>
        <v/>
      </c>
      <c r="CL30" s="461" t="str">
        <f>IF(CD30="","",IF(AND($CA$3=$CA$1,CD30&lt;=$CT$1),0,IF(Main!$C$26="UGC",0,IF(CF30=VLOOKUP(CF30,'IN RPS-2015'!$I$2:$J$5,1),0,ROUND(CG30*VLOOKUP(CD30,$BZ$11:$CA$12,2)%,0)))))</f>
        <v/>
      </c>
      <c r="CM30" s="461" t="str">
        <f>IF(CD30="","",IF(AND($CA$3=$CA$1,CD30&lt;=$CT$1),0,IF(Main!$C$26="UGC",0,IF(CD30&lt;DATE(2010,4,1),0,IF(OR(CV30=2,CV30=3,CF30=VLOOKUP(CF30,'IN RPS-2015'!$I$2:$J$5,1)),0,ROUND(IF(CD30&lt;$J$152,VLOOKUP(CD30,$B$1:$G$4,4),VLOOKUP(VLOOKUP(CD30,$B$1:$G$4,4),Main!$CE$2:$CF$5,2,FALSE))*(DAY(CE30)-DAY(CD30)+1)/DAY(EOMONTH(CD30,0)),0))))))</f>
        <v/>
      </c>
      <c r="CN30" s="461" t="str">
        <f>IF(CD30="","",IF(AND($CA$3=$CA$1,CD30&lt;=$CT$1),0,IF(OR(CV30=2,CV30=3,$D$31=$D$28,CF30=VLOOKUP(CF30,'IN RPS-2015'!$I$2:$J$5,1)),0,ROUND(MIN(VLOOKUP(CC30,$A$27:$C$29,2,TRUE),ROUND(CF30*VLOOKUP(CC30,$A$27:$C$29,3,TRUE)%,0))*IF(CC30=$A$36,$C$36,IF(CC30=$A$37,$C$37,IF(CC30=$A$38,$C$38,IF(CC30=$A$39,$C$39,IF(CC30=$A$40,$C$40,IF(CC30=$A$41,$C$41,1))))))*(DAY(CE30)-DAY(CD30)+1)/DAY(EOMONTH(CD30,0)),0))))</f>
        <v/>
      </c>
      <c r="CO30" s="461" t="str">
        <f>IF(CD30="","",IF(AND($CA$3=$CA$1,CD30&lt;=$CT$1),0,IF(Main!$C$26="UGC",0,IF(OR(CV30=3,CF30=VLOOKUP(CF30,'IN RPS-2015'!$I$2:$J$5,1)),0,ROUND(IF(CV30=2,VLOOKUP(CF30,IF($CA$3=$I$29,$A$20:$E$23,$F$144:$J$147),IF($B$19=VLOOKUP(CD30,$B$2:$G$4,3,TRUE),2,IF($C$19=VLOOKUP(CD30,$B$2:$G$4,3,TRUE),3,IF($D$19=VLOOKUP(CD30,$B$2:$G$4,3,TRUE),4,5))),TRUE),VLOOKUP(CF30,IF($CA$3=$I$29,$A$20:$E$23,$F$144:$J$147),IF($B$19=VLOOKUP(CD30,$B$2:$G$4,3,TRUE),2,IF($C$19=VLOOKUP(CD30,$B$2:$G$4,3,TRUE),3,IF($D$19=VLOOKUP(CD30,$B$2:$G$4,3,TRUE),4,5))),TRUE))*(DAY(CE30)-DAY(CD30)+1)/DAY(EOMONTH(CD30,0)),0)))))</f>
        <v/>
      </c>
      <c r="CP30" s="461" t="str">
        <f>IF(CD30="","",IF(AND($CA$3=$CA$1,CD30&lt;=$CT$1),0,IF(Main!$C$26="UGC",0,IF(OR(CC30&lt;DATE(2010,4,1),CV30=3,CF30=VLOOKUP(CF30,'IN RPS-2015'!$I$2:$J$5,1)),0,ROUND(IF(CV30=2,IF(CD30&lt;$J$152,Main!$L$9,Main!$CI$3)/2,IF(CD30&lt;$J$152,Main!$L$9,Main!$CI$3))*(DAY(CE30)-DAY(CD30)+1)/DAY(EOMONTH(CD30,0)),0)))))</f>
        <v/>
      </c>
      <c r="CQ30" s="461"/>
      <c r="CR30" s="461" t="str">
        <f>IF(CD30="","",IF(AND($CA$3=$CA$1,CD30&lt;=$CT$1),0,IF(Main!$C$26="UGC",0,IF(OR(CV30=3,CF30=VLOOKUP(CF30,'IN RPS-2015'!$I$2:$J$5,1)),0,ROUND(IF(CV30=2,VLOOKUP(CG30,IF(CD30&lt;$J$152,$A$154:$E$159,$F$154:$J$159),IF($B$10=VLOOKUP(CC30,$B$2:$G$4,6,TRUE),2,IF($B$10=VLOOKUP(CC30,$B$2:$G$4,6,TRUE),3,IF($D$10=VLOOKUP(CC30,$B$2:$G$4,6,TRUE),4,5))))/2,VLOOKUP(CG30,IF(CD30&lt;$J$152,$A$154:$E$159,$F$154:$J$159),IF($B$10=VLOOKUP(CC30,$B$2:$G$4,6,TRUE),2,IF($B$10=VLOOKUP(CC30,$B$2:$G$4,6,TRUE),3,IF($D$10=VLOOKUP(CC30,$B$2:$G$4,6,TRUE),4,5)))))*(DAY(CE30)-DAY(CD30)+1)/DAY(EOMONTH(CD30,0)),0)))))</f>
        <v/>
      </c>
      <c r="CS30" s="461">
        <f t="shared" si="73"/>
        <v>0</v>
      </c>
      <c r="CT30" s="464" t="str">
        <f>IF(CD30="","",IF(AND($CA$3=$CA$1,CD30&lt;=$CT$1),0,IF(AND(Main!$F$22=Main!$CA$24,CD30&gt;$CT$1),ROUND(SUM(CG30,CI30)*10%,0),"")))</f>
        <v/>
      </c>
      <c r="CU30" s="464" t="str">
        <f>IF(CC30="","",IF(CG30=0,0,IF(OR(Main!$H$10=Main!$BH$4,Main!$H$10=Main!$BH$5),0,LOOKUP(CS30*DAY(EOMONTH(CD30,0))/(DAY(CE30)-DAY(CD30)+1),$H$184:$I$189))))</f>
        <v/>
      </c>
      <c r="CV30" s="457">
        <f t="shared" si="74"/>
        <v>1</v>
      </c>
      <c r="CW30" s="464"/>
      <c r="CX30" s="501" t="str">
        <f t="shared" si="59"/>
        <v/>
      </c>
      <c r="CY30" s="502" t="str">
        <f t="shared" si="87"/>
        <v/>
      </c>
      <c r="CZ30" s="484" t="str">
        <f>IF(CY30="","",MIN(EOMONTH(CY30,0),VLOOKUP(CY30,'IN RPS-2015'!$O$164:$P$202,2,TRUE)-1,LOOKUP(CY30,$E$47:$F$53)-1,IF(CY30&lt;$B$2,$B$2-1,'IN RPS-2015'!$Q$9),IF(CY30&lt;$B$3,$B$3-1,'IN RPS-2015'!$Q$9),IF(CY30&lt;$B$4,$B$4-1,'IN RPS-2015'!$Q$9),LOOKUP(CY30,$H$47:$I$53)))</f>
        <v/>
      </c>
      <c r="DA30" s="493" t="str">
        <f>IF(CY30="","",VLOOKUP(CY30,'IN RPS-2015'!$T$207:$Y$222,6))</f>
        <v/>
      </c>
      <c r="DB30" s="461" t="str">
        <f t="shared" si="75"/>
        <v/>
      </c>
      <c r="DC30" s="461" t="str">
        <f>IF(CY30="","",IF(AND($CA$3=$CA$1,CY30&lt;=$CT$1),0,ROUND(IF(DQ30=3,0,IF(DQ30=2,IF(DA30=VLOOKUP(DA30,'IN RPS-2015'!$I$2:$J$5,1),0,Main!$H$9)/2,IF(DA30=VLOOKUP(DA30,'IN RPS-2015'!$I$2:$J$5,1),0,Main!$H$9)))*(DAY(CZ30)-DAY(CY30)+1)/DAY(EOMONTH(CY30,0)),0)))</f>
        <v/>
      </c>
      <c r="DD30" s="461" t="str">
        <f>IF(CY30="","",IF(AND($CA$3=$CA$1,CY30&lt;=$CT$1),0,IF(DA30=VLOOKUP(DA30,'IN RPS-2015'!$I$2:$J$5,1),0,ROUND(DB30*VLOOKUP(CY30,$BZ$4:$CA$7,2)%,0))))</f>
        <v/>
      </c>
      <c r="DE30" s="461" t="str">
        <f>IF(CY30="","",IF(AND($CA$3=$CA$1,CY30&lt;=$CT$1),0,IF(OR(DQ30=3,DA30=VLOOKUP(DA30,'IN RPS-2015'!$I$2:$J$5,1)),0,ROUND(MIN(ROUND(DA30*VLOOKUP(CY30,$B$1:$G$4,2)%,0),VLOOKUP(CY30,$B$2:$I$4,IF($CA$3=$I$29,7,8),TRUE))*(DAY(CZ30)-DAY(CY30)+1)/DAY(EOMONTH(CY30,0)),0))))</f>
        <v/>
      </c>
      <c r="DF30" s="491" t="str">
        <f>IF(CY30="","",IF(AND($CA$3=$CA$1,CY30&lt;=$CT$1),0,IF(Main!$C$26="UGC",0,IF(OR(CY30&lt;DATE(2010,4,1),$I$6=VLOOKUP(CY30,$B$2:$G$4,5,TRUE),DA30=VLOOKUP(DA30,'IN RPS-2015'!$I$2:$J$5,1)),0,ROUND(IF(DQ30=3,0,IF(DQ30=2,MIN(ROUND(DA30*$G$13%,0),IF(CY30&lt;$J$152,$G$14,$G$15))/2,MIN(ROUND(DA30*$G$13%,0),IF(CY30&lt;$J$152,$G$14,$G$15))))*(DAY(CZ30)-DAY(CY30)+1)/DAY(EOMONTH(CY30,0)),0)))))</f>
        <v/>
      </c>
      <c r="DG30" s="461" t="str">
        <f>IF(CY30="","",IF(AND($CA$3=$CA$1,CY30&lt;=$CT$1),0,IF(Main!$C$26="UGC",0,IF(DA30=VLOOKUP(DA30,'IN RPS-2015'!$I$2:$J$5,1),0,ROUND(DB30*VLOOKUP(CY30,$BZ$11:$CA$12,2)%,0)))))</f>
        <v/>
      </c>
      <c r="DH30" s="461" t="str">
        <f>IF(CY30="","",IF(AND($CA$3=$CA$1,CY30&lt;=$CT$1),0,IF(Main!$C$26="UGC",0,IF(CY30&lt;DATE(2010,4,1),0,IF(OR(DQ30=2,DQ30=3,DA30=VLOOKUP(DA30,'IN RPS-2015'!$I$2:$J$5,1)),0,ROUND(IF(CY30&lt;$J$152,VLOOKUP(CY30,$B$1:$G$4,4),VLOOKUP(VLOOKUP(CY30,$B$1:$G$4,4),Main!$CE$2:$CF$5,2,FALSE))*(DAY(CZ30)-DAY(CY30)+1)/DAY(EOMONTH(CY30,0)),0))))))</f>
        <v/>
      </c>
      <c r="DI30" s="461" t="str">
        <f>IF(CY30="","",IF(AND($CA$3=$CA$1,CY30&lt;=$CT$1),0,IF(OR(DQ30=2,DQ30=3,$D$31=$D$28,DA30=VLOOKUP(DA30,'IN RPS-2015'!$I$2:$J$5,1)),0,ROUND(MIN(VLOOKUP(CX30,$A$27:$C$29,2,TRUE),ROUND(DA30*VLOOKUP(CX30,$A$27:$C$29,3,TRUE)%,0))*IF(CX30=$A$36,$C$36,IF(CX30=$A$37,$C$37,IF(CX30=$A$38,$C$38,IF(CX30=$A$39,$C$39,IF(CX30=$A$40,$C$40,IF(CX30=$A$41,$C$41,1))))))*(DAY(CZ30)-DAY(CY30)+1)/DAY(EOMONTH(CY30,0)),0))))</f>
        <v/>
      </c>
      <c r="DJ30" s="461" t="str">
        <f>IF(CY30="","",IF(AND($CA$3=$CA$1,CY30&lt;=$CT$1),0,IF(Main!$C$26="UGC",0,IF(OR(DQ30=3,DA30=VLOOKUP(DA30,'IN RPS-2015'!$I$2:$J$5,1)),0,ROUND(IF(DQ30=2,VLOOKUP(DA30,IF($CA$3=$I$29,$A$20:$E$23,$F$144:$J$147),IF($B$19=VLOOKUP(CY30,$B$2:$G$4,3,TRUE),2,IF($C$19=VLOOKUP(CY30,$B$2:$G$4,3,TRUE),3,IF($D$19=VLOOKUP(CY30,$B$2:$G$4,3,TRUE),4,5))),TRUE),VLOOKUP(DA30,IF($CA$3=$I$29,$A$20:$E$23,$F$144:$J$147),IF($B$19=VLOOKUP(CY30,$B$2:$G$4,3,TRUE),2,IF($C$19=VLOOKUP(CY30,$B$2:$G$4,3,TRUE),3,IF($D$19=VLOOKUP(CY30,$B$2:$G$4,3,TRUE),4,5))),TRUE))*(DAY(CZ30)-DAY(CY30)+1)/DAY(EOMONTH(CY30,0)),0)))))</f>
        <v/>
      </c>
      <c r="DK30" s="461" t="str">
        <f>IF(CY30="","",IF(AND($CA$3=$CA$1,CY30&lt;=$CT$1),0,IF(Main!$C$26="UGC",0,IF(OR(CX30&lt;DATE(2010,4,1),DQ30=3,DA30=VLOOKUP(DA30,'IN RPS-2015'!$I$2:$J$5,1)),0,ROUND(IF(DQ30=2,IF(CY30&lt;$J$152,Main!$L$9,Main!$CI$3)/2,IF(CY30&lt;$J$152,Main!$L$9,Main!$CI$3))*(DAY(CZ30)-DAY(CY30)+1)/DAY(EOMONTH(CY30,0)),0)))))</f>
        <v/>
      </c>
      <c r="DL30" s="461"/>
      <c r="DM30" s="461" t="str">
        <f>IF(CY30="","",IF(AND($CA$3=$CA$1,CY30&lt;=$CT$1),0,IF(Main!$C$26="UGC",0,IF(OR(DQ30=3,DA30=VLOOKUP(DA30,'IN RPS-2015'!$I$2:$J$5,1)),0,ROUND(IF(DQ30=2,VLOOKUP(DB30,IF(CY30&lt;$J$152,$A$154:$E$159,$F$154:$J$159),IF($B$10=VLOOKUP(CX30,$B$2:$G$4,6,TRUE),2,IF($B$10=VLOOKUP(CX30,$B$2:$G$4,6,TRUE),3,IF($D$10=VLOOKUP(CX30,$B$2:$G$4,6,TRUE),4,5))))/2,VLOOKUP(DB30,IF(CY30&lt;$J$152,$A$154:$E$159,$F$154:$J$159),IF($B$10=VLOOKUP(CX30,$B$2:$G$4,6,TRUE),2,IF($B$10=VLOOKUP(CX30,$B$2:$G$4,6,TRUE),3,IF($D$10=VLOOKUP(CX30,$B$2:$G$4,6,TRUE),4,5)))))*(DAY(CZ30)-DAY(CY30)+1)/DAY(EOMONTH(CY30,0)),0)))))</f>
        <v/>
      </c>
      <c r="DN30" s="461">
        <f t="shared" si="76"/>
        <v>0</v>
      </c>
      <c r="DO30" s="464" t="str">
        <f>IF(CY30="","",IF(AND($CA$3=$CA$1,CY30&lt;=$CT$1),0,IF(AND(Main!$F$22=Main!$CA$24,CY30&gt;$CT$1),ROUND(SUM(DB30,DD30)*10%,0),"")))</f>
        <v/>
      </c>
      <c r="DP30" s="464" t="str">
        <f>IF(CX30="","",IF(AND($CA$3=$CA$1,CY30&lt;=$CT$1),0,IF(OR(Main!$H$10=Main!$BH$4,Main!$H$10=Main!$BH$5),0,LOOKUP(DN30*DAY(EOMONTH(CY30,0))/(DAY(CZ30)-DAY(CY30)+1),$H$184:$I$189))))</f>
        <v/>
      </c>
      <c r="DQ30" s="457">
        <f t="shared" si="60"/>
        <v>1</v>
      </c>
      <c r="DR30" s="457">
        <f t="shared" si="77"/>
        <v>0</v>
      </c>
      <c r="DS30" s="457"/>
      <c r="DT30" s="457"/>
      <c r="DU30" s="457"/>
      <c r="DV30" s="461"/>
      <c r="DW30" s="499" t="str">
        <f t="shared" si="61"/>
        <v/>
      </c>
      <c r="DX30" s="500" t="str">
        <f t="shared" si="88"/>
        <v/>
      </c>
      <c r="DY30" s="484" t="str">
        <f>IF(DX30="","",MIN(EOMONTH(DX30,0),VLOOKUP(DX30,'IN RPS-2015'!$O$164:$P$202,2,TRUE)-1,LOOKUP(DX30,$E$47:$F$53)-1,IF(DX30&lt;$B$2,$B$2-1,'IN RPS-2015'!$Q$9),IF(DX30&lt;$B$3,$B$3-1,'IN RPS-2015'!$Q$9),IF(DX30&lt;$B$4,$B$4-1,'IN RPS-2015'!$Q$9),LOOKUP(DX30,$H$47:$I$53)))</f>
        <v/>
      </c>
      <c r="DZ30" s="490" t="str">
        <f>IF(DX30="","",VLOOKUP(DX30,'IN RPS-2015'!$P$164:$AA$202,11))</f>
        <v/>
      </c>
      <c r="EA30" s="461" t="str">
        <f t="shared" si="78"/>
        <v/>
      </c>
      <c r="EB30" s="461" t="str">
        <f>IF(DX30="","",ROUND(IF(EP30=3,0,IF(EP30=2,IF(DZ30=VLOOKUP(DZ30,'IN RPS-2015'!$I$2:$J$5,1),0,Main!$H$9)/2,IF(DZ30=VLOOKUP(DZ30,'IN RPS-2015'!$I$2:$J$5,1),0,Main!$H$9)))*(DAY(DY30)-DAY(DX30)+1)/DAY(EOMONTH(DX30,0)),0))</f>
        <v/>
      </c>
      <c r="EC30" s="461" t="str">
        <f>IF(DX30="","",IF(DZ30=VLOOKUP(DZ30,'IN RPS-2015'!$I$2:$J$5,1),0,ROUND(EA30*VLOOKUP(DX30,$DT$4:$DU$7,2)%,0)))</f>
        <v/>
      </c>
      <c r="ED30" s="461" t="str">
        <f>IF(DX30="","",IF(OR(EP30=3,DZ30=VLOOKUP(DZ30,'IN RPS-2015'!$I$2:$J$5,1)),0,ROUND(MIN(ROUND(DZ30*VLOOKUP(DX30,$B$1:$G$4,2)%,0),VLOOKUP(DX30,$B$2:$I$4,IF($DU$3=$I$29,7,8),TRUE))*(DAY(DY30)-DAY(DX30)+1)/DAY(EOMONTH(DX30,0)),0)))</f>
        <v/>
      </c>
      <c r="EE30" s="491" t="str">
        <f>IF(DX30="","",IF(Main!$C$26="UGC",0,IF(OR(DX30&lt;DATE(2010,4,1),$I$6=VLOOKUP(DX30,$B$2:$G$4,5,TRUE),DZ30=VLOOKUP(DZ30,'IN RPS-2015'!$I$2:$J$5,1)),0,ROUND(IF(EP30=3,0,IF(EP30=2,MIN(ROUND(DZ30*$G$13%,0),IF(DX30&lt;$I$152,$G$14,$G$15))/2,MIN(ROUND(DZ30*$G$13%,0),IF(DX30&lt;$I$152,$G$14,$G$15))))*(DAY(DY30)-DAY(DX30)+1)/DAY(EOMONTH(DX30,0)),0))))</f>
        <v/>
      </c>
      <c r="EF30" s="461" t="str">
        <f>IF(DX30="","",IF(Main!$C$26="UGC",0,IF(DZ30=VLOOKUP(DZ30,'IN RPS-2015'!$I$2:$J$5,1),0,ROUND(EA30*VLOOKUP(DX30,$DT$11:$DU$12,2)%,0))))</f>
        <v/>
      </c>
      <c r="EG30" s="461" t="str">
        <f>IF(DX30="","",IF(Main!$C$26="UGC",0,IF(DX30&lt;DATE(2010,4,1),0,IF(OR(EP30=2,EP30=3,DZ30=VLOOKUP(DZ30,'IN RPS-2015'!$I$2:$J$5,1)),0,ROUND(IF(DX30&lt;$I$152,VLOOKUP(DX30,$B$1:$G$4,4),VLOOKUP(VLOOKUP(DX30,$B$1:$G$4,4),Main!$CE$2:$CF$5,2,FALSE))*(DAY(DY30)-DAY(DX30)+1)/DAY(EOMONTH(DX30,0)),0)))))</f>
        <v/>
      </c>
      <c r="EH30" s="461" t="str">
        <f>IF(DX30="","",IF(OR(EP30=2,EP30=3,$D$31=$D$28,DZ30=VLOOKUP(DZ30,'IN RPS-2015'!$I$2:$J$5,1)),0,ROUND(MIN(IF(DX30&lt;$I$152,900,1350),ROUND(DZ30*VLOOKUP(DW30,$A$27:$C$29,3,TRUE)%,0))*IF(DW30=$A$36,$C$36,IF(DW30=$A$37,$C$37,IF(DW30=$A$38,$C$38,IF(DW30=$A$39,$C$39,IF(DW30=$A$40,$C$40,IF(DW30=$A$41,$C$41,1))))))*(DAY(DY30)-DAY(DX30)+1)/DAY(EOMONTH(DX30,0)),0)))</f>
        <v/>
      </c>
      <c r="EI30" s="461" t="str">
        <f>IF(DX30="","",IF(Main!$C$26="UGC",0,IF(OR(EP30=3,DZ30=VLOOKUP(DZ30,'IN RPS-2015'!$I$2:$J$5,1)),0,ROUND(IF(EP30=2,VLOOKUP(DZ30,IF($DU$3=$I$29,$A$20:$E$23,$F$144:$J$147),IF($B$19=VLOOKUP(DX30,$B$2:$G$4,3,TRUE),2,IF($C$19=VLOOKUP(DX30,$B$2:$G$4,3,TRUE),3,IF($D$19=VLOOKUP(DX30,$B$2:$G$4,3,TRUE),4,5))),TRUE),VLOOKUP(DZ30,IF($DU$3=$I$29,$A$20:$E$23,$F$144:$J$147),IF($B$19=VLOOKUP(DX30,$B$2:$G$4,3,TRUE),2,IF($C$19=VLOOKUP(DX30,$B$2:$G$4,3,TRUE),3,IF($D$19=VLOOKUP(DX30,$B$2:$G$4,3,TRUE),4,5))),TRUE))*(DAY(DY30)-DAY(DX30)+1)/DAY(EOMONTH(DX30,0)),0))))</f>
        <v/>
      </c>
      <c r="EJ30" s="461" t="str">
        <f>IF(DX30="","",IF(Main!$C$26="UGC",0,IF(OR(DW30&lt;DATE(2010,4,1),EP30=3,DZ30=VLOOKUP(DZ30,'IN RPS-2015'!$I$2:$J$5,1)),0,ROUND(IF(EP30=2,IF(DX30&lt;$I$152,Main!$L$9,Main!$CI$3)/2,IF(DX30&lt;$I$152,Main!$L$9,Main!$CI$3))*(DAY(DY30)-DAY(DX30)+1)/DAY(EOMONTH(DX30,0)),0))))</f>
        <v/>
      </c>
      <c r="EK30" s="461"/>
      <c r="EL30" s="461" t="str">
        <f>IF(DX30="","",IF(Main!$C$26="UGC",0,IF(OR(EP30=3,DZ30=VLOOKUP(DZ30,'IN RPS-2015'!$I$2:$J$5,1)),0,ROUND(IF(EP30=2,VLOOKUP(EA30,IF(DX30&lt;$I$152,$A$154:$E$159,$F$154:$J$159),IF($B$10=VLOOKUP(DW30,$B$2:$G$4,6,TRUE),2,IF($B$10=VLOOKUP(DW30,$B$2:$G$4,6,TRUE),3,IF($D$10=VLOOKUP(DW30,$B$2:$G$4,6,TRUE),4,5))))/2,VLOOKUP(EA30,IF(DX30&lt;$I$152,$A$154:$E$159,$F$154:$J$159),IF($B$10=VLOOKUP(DW30,$B$2:$G$4,6,TRUE),2,IF($B$10=VLOOKUP(DW30,$B$2:$G$4,6,TRUE),3,IF($D$10=VLOOKUP(DW30,$B$2:$G$4,6,TRUE),4,5)))))*(DAY(DY30)-DAY(DX30)+1)/DAY(EOMONTH(DX30,0)),0))))</f>
        <v/>
      </c>
      <c r="EM30" s="461">
        <f t="shared" si="79"/>
        <v>0</v>
      </c>
      <c r="EN30" s="464" t="str">
        <f>IF(DX30="","",IF(AND(Main!$F$22=Main!$CA$24,DX30&gt;$EN$1),ROUND(SUM(EA30,EC30)*10%,0),""))</f>
        <v/>
      </c>
      <c r="EO30" s="464" t="str">
        <f>IF(DW30="","",IF(EA30=0,0,IF(OR(Main!$H$10=Main!$BH$4,Main!$H$10=Main!$BH$5),0,LOOKUP(EM30*DAY(EOMONTH(DX30,0))/(DAY(DY30)-DAY(DX30)+1),$H$184:$I$189))))</f>
        <v/>
      </c>
      <c r="EP30" s="457">
        <f t="shared" si="62"/>
        <v>1</v>
      </c>
      <c r="ET30" s="461"/>
      <c r="EU30" s="499" t="str">
        <f t="shared" si="63"/>
        <v/>
      </c>
      <c r="EV30" s="500" t="str">
        <f t="shared" si="89"/>
        <v/>
      </c>
      <c r="EW30" s="484" t="str">
        <f>IF(EV30="","",MIN(EOMONTH(EV30,0),VLOOKUP(EV30,'IN RPS-2015'!$O$164:$P$202,2,TRUE)-1,LOOKUP(EV30,$E$47:$F$53)-1,IF(EV30&lt;$B$2,$B$2-1,'IN RPS-2015'!$Q$9),IF(EV30&lt;$B$3,$B$3-1,'IN RPS-2015'!$Q$9),IF(EV30&lt;$B$4,$B$4-1,'IN RPS-2015'!$Q$9),LOOKUP(EV30,$H$47:$I$53)))</f>
        <v/>
      </c>
      <c r="EX30" s="490" t="str">
        <f>IF(EV30="","",VLOOKUP(EV30,'IN RPS-2015'!$P$164:$AA$202,12))</f>
        <v/>
      </c>
      <c r="EY30" s="461" t="str">
        <f t="shared" si="80"/>
        <v/>
      </c>
      <c r="EZ30" s="461" t="str">
        <f>IF(EV30="","",ROUND(IF(FN30=3,0,IF(FN30=2,IF(EX30=VLOOKUP(EX30,'IN RPS-2015'!$I$2:$J$5,1),0,Main!$H$9)/2,IF(EX30=VLOOKUP(EX30,'IN RPS-2015'!$I$2:$J$5,1),0,Main!$H$9)))*(DAY(EW30)-DAY(EV30)+1)/DAY(EOMONTH(EV30,0)),0))</f>
        <v/>
      </c>
      <c r="FA30" s="461" t="str">
        <f>IF(EV30="","",IF(EX30=VLOOKUP(EX30,'IN RPS-2015'!$I$2:$J$5,1),0,ROUND(EY30*VLOOKUP(EV30,$ER$4:$ES$7,2)%,0)))</f>
        <v/>
      </c>
      <c r="FB30" s="461" t="str">
        <f>IF(EV30="","",IF(OR(FN30=3,EX30=VLOOKUP(EX30,'IN RPS-2015'!$I$2:$J$5,1)),0,ROUND(MIN(ROUND(EX30*VLOOKUP(EV30,$B$1:$G$4,2)%,0),VLOOKUP(EV30,$B$2:$I$4,IF($ES$3=$I$29,7,8),TRUE))*(DAY(EW30)-DAY(EV30)+1)/DAY(EOMONTH(EV30,0)),0)))</f>
        <v/>
      </c>
      <c r="FC30" s="491" t="str">
        <f>IF(EV30="","",IF(Main!$C$26="UGC",0,IF(OR(EV30&lt;DATE(2010,4,1),$I$6=VLOOKUP(EV30,$B$2:$G$4,5,TRUE),EX30=VLOOKUP(EX30,'IN RPS-2015'!$I$2:$J$5,1)),0,ROUND(IF(FN30=3,0,IF(FN30=2,MIN(ROUND(EX30*$G$13%,0),IF(EV30&lt;$J$152,$G$14,$G$15))/2,MIN(ROUND(EX30*$G$13%,0),IF(EV30&lt;$J$152,$G$14,$G$15))))*(DAY(EW30)-DAY(EV30)+1)/DAY(EOMONTH(EV30,0)),0))))</f>
        <v/>
      </c>
      <c r="FD30" s="461" t="str">
        <f>IF(EV30="","",IF(Main!$C$26="UGC",0,IF(EX30=VLOOKUP(EX30,'IN RPS-2015'!$I$2:$J$5,1),0,ROUND(EY30*VLOOKUP(EV30,$ER$11:$ES$12,2)%,0))))</f>
        <v/>
      </c>
      <c r="FE30" s="461" t="str">
        <f>IF(EV30="","",IF(Main!$C$26="UGC",0,IF(EV30&lt;DATE(2010,4,1),0,IF(OR(FN30=2,FN30=3,EX30=VLOOKUP(EX30,'IN RPS-2015'!$I$2:$J$5,1)),0,ROUND(IF(EV30&lt;$J$152,VLOOKUP(EV30,$B$1:$G$4,4),VLOOKUP(VLOOKUP(EV30,$B$1:$G$4,4),Main!$CE$2:$CF$5,2,FALSE))*(DAY(EW30)-DAY(EV30)+1)/DAY(EOMONTH(EV30,0)),0)))))</f>
        <v/>
      </c>
      <c r="FF30" s="461" t="str">
        <f>IF(EV30="","",IF(OR(FN30=2,FN30=3,$D$31=$D$28,EX30=VLOOKUP(EX30,'IN RPS-2015'!$I$2:$J$5,1)),0,ROUND(MIN(VLOOKUP(EU30,$A$27:$C$29,2,TRUE),ROUND(EX30*VLOOKUP(EU30,$A$27:$C$29,3,TRUE)%,0))*IF(EU30=$A$36,$C$36,IF(EU30=$A$37,$C$37,IF(EU30=$A$38,$C$38,IF(EU30=$A$39,$C$39,IF(EU30=$A$40,$C$40,IF(EU30=$A$41,$C$41,1))))))*(DAY(EW30)-DAY(EV30)+1)/DAY(EOMONTH(EV30,0)),0)))</f>
        <v/>
      </c>
      <c r="FG30" s="461" t="str">
        <f>IF(EV30="","",IF(Main!$C$26="UGC",0,IF(OR(FN30=3,EX30=VLOOKUP(EX30,'IN RPS-2015'!$I$2:$J$5,1)),0,ROUND(IF(FN30=2,VLOOKUP(EX30,IF($ES$3=$I$29,$A$20:$E$23,$F$144:$J$147),IF($B$19=VLOOKUP(EV30,$B$2:$G$4,3,TRUE),2,IF($C$19=VLOOKUP(EV30,$B$2:$G$4,3,TRUE),3,IF($D$19=VLOOKUP(EV30,$B$2:$G$4,3,TRUE),4,5))),TRUE),VLOOKUP(EX30,IF($ES$3=$I$29,$A$20:$E$23,$F$144:$J$147),IF($B$19=VLOOKUP(EV30,$B$2:$G$4,3,TRUE),2,IF($C$19=VLOOKUP(EV30,$B$2:$G$4,3,TRUE),3,IF($D$19=VLOOKUP(EV30,$B$2:$G$4,3,TRUE),4,5))),TRUE))*(DAY(EW30)-DAY(EV30)+1)/DAY(EOMONTH(EV30,0)),0))))</f>
        <v/>
      </c>
      <c r="FH30" s="461" t="str">
        <f>IF(EV30="","",IF(Main!$C$26="UGC",0,IF(OR(EU30&lt;DATE(2010,4,1),FN30=3,EX30=VLOOKUP(EX30,'IN RPS-2015'!$I$2:$J$5,1)),0,ROUND(IF(FN30=2,IF(EV30&lt;$J$152,Main!$L$9,Main!$CI$3)/2,IF(EV30&lt;$J$152,Main!$L$9,Main!$CI$3))*(DAY(EW30)-DAY(EV30)+1)/DAY(EOMONTH(EV30,0)),0))))</f>
        <v/>
      </c>
      <c r="FI30" s="461"/>
      <c r="FJ30" s="461" t="str">
        <f>IF(EV30="","",IF(Main!$C$26="UGC",0,IF(OR(FN30=3,EX30=VLOOKUP(EX30,'IN RPS-2015'!$I$2:$J$5,1)),0,ROUND(IF(FN30=2,VLOOKUP(EY30,IF(EV30&lt;$J$152,$A$154:$E$159,$F$154:$J$159),IF($B$10=VLOOKUP(EU30,$B$2:$G$4,6,TRUE),2,IF($B$10=VLOOKUP(EU30,$B$2:$G$4,6,TRUE),3,IF($D$10=VLOOKUP(EU30,$B$2:$G$4,6,TRUE),4,5))))/2,VLOOKUP(EY30,IF(EV30&lt;$J$152,$A$154:$E$159,$F$154:$J$159),IF($B$10=VLOOKUP(EU30,$B$2:$G$4,6,TRUE),2,IF($B$10=VLOOKUP(EU30,$B$2:$G$4,6,TRUE),3,IF($D$10=VLOOKUP(EU30,$B$2:$G$4,6,TRUE),4,5)))))*(DAY(EW30)-DAY(EV30)+1)/DAY(EOMONTH(EV30,0)),0))))</f>
        <v/>
      </c>
      <c r="FK30" s="461">
        <f t="shared" si="81"/>
        <v>0</v>
      </c>
      <c r="FL30" s="464" t="str">
        <f>IF(EV30="","",IF(AND(Main!$F$22=Main!$CA$24,EV30&gt;$FL$1),ROUND(SUM(EY30,FA30)*10%,0),""))</f>
        <v/>
      </c>
      <c r="FM30" s="464" t="str">
        <f>IF(EU30="","",IF(EY30=0,0,IF(OR(Main!$H$10=Main!$BH$4,Main!$H$10=Main!$BH$5),0,LOOKUP(FK30*DAY(EOMONTH(EV30,0))/(DAY(EW30)-DAY(EV30)+1),$H$184:$I$189))))</f>
        <v/>
      </c>
      <c r="FN30" s="457">
        <f t="shared" si="64"/>
        <v>1</v>
      </c>
    </row>
    <row r="31" spans="1:170">
      <c r="A31" s="161"/>
      <c r="B31" s="162"/>
      <c r="C31" s="164"/>
      <c r="D31" s="164" t="str">
        <f>IF(Main!$H$10=Main!$BH$4,D26,D28)</f>
        <v>Applicable</v>
      </c>
      <c r="AH31" s="461"/>
      <c r="AI31" s="499" t="str">
        <f t="shared" si="54"/>
        <v/>
      </c>
      <c r="AJ31" s="500" t="str">
        <f t="shared" si="84"/>
        <v/>
      </c>
      <c r="AK31" s="484" t="str">
        <f>IF(AJ31="","",MIN(EOMONTH(AJ31,0),VLOOKUP(AJ31,'IN RPS-2015'!$O$164:$P$202,2,TRUE)-1,LOOKUP(AJ31,$E$47:$F$53)-1,IF(AJ31&lt;$B$2,$B$2-1,'IN RPS-2015'!$Q$9),IF(AJ31&lt;$B$3,$B$3-1,'IN RPS-2015'!$Q$9),IF(AJ31&lt;$B$4,$B$4-1,'IN RPS-2015'!$Q$9),LOOKUP(AJ31,$H$47:$I$53)))</f>
        <v/>
      </c>
      <c r="AL31" s="490" t="str">
        <f>IF(AJ31="","",VLOOKUP(AJ31,'IN RPS-2015'!$P$164:$AA$202,9))</f>
        <v/>
      </c>
      <c r="AM31" s="461" t="str">
        <f t="shared" si="66"/>
        <v/>
      </c>
      <c r="AN31" s="461" t="str">
        <f>IF(AJ31="","",IF(AND($AG$3=$AG$1,AJ31&lt;=$AZ$1),0,ROUND(IF(BB31=3,0,IF(BB31=2,IF(AL31=VLOOKUP(AL31,'IN RPS-2015'!$I$2:$J$5,1),0,Main!$H$9)/2,IF(AL31=VLOOKUP(AL31,'IN RPS-2015'!$I$2:$J$5,1),0,Main!$H$9)))*(DAY(AK31)-DAY(AJ31)+1)/DAY(EOMONTH(AJ31,0)),0)))</f>
        <v/>
      </c>
      <c r="AO31" s="461" t="str">
        <f>IF(AJ31="","",IF(AND($AG$3=$AG$1,AJ31&lt;=$AZ$1),0,IF(AL31=VLOOKUP(AL31,'IN RPS-2015'!$I$2:$J$5,1),0,ROUND(AM31*VLOOKUP(AJ31,$AF$4:$AG$7,2)%,0))))</f>
        <v/>
      </c>
      <c r="AP31" s="461" t="str">
        <f>IF(AJ31="","",IF(AND($AG$3=$AG$1,AJ31&lt;=$AZ$1),0,IF(OR(BB31=3,AL31=VLOOKUP(AL31,'IN RPS-2015'!$I$2:$J$5,1)),0,ROUND(MIN(ROUND(AL31*VLOOKUP(AJ31,$B$1:$G$4,2)%,0),VLOOKUP(AJ31,$B$2:$I$4,IF($AG$3=$I$29,7,8),TRUE))*(DAY(AK31)-DAY(AJ31)+1)/DAY(EOMONTH(AJ31,0)),0))))</f>
        <v/>
      </c>
      <c r="AQ31" s="491" t="str">
        <f>IF(AJ31="","",IF(AND($AG$3=$AG$1,AJ31&lt;=$AZ$1),0,IF(Main!$C$26="UGC",0,IF(OR(AJ31&lt;DATE(2010,4,1),$I$6=VLOOKUP(AJ31,$B$2:$G$4,5,TRUE),AL31=VLOOKUP(AL31,'IN RPS-2015'!$I$2:$J$5,1)),0,ROUND(IF(BB31=3,0,IF(BB31=2,MIN(ROUND(AL31*$G$13%,0),IF(AJ31&lt;$J$152,$G$14,$G$15))/2,MIN(ROUND(AL31*$G$13%,0),IF(AJ31&lt;$J$152,$G$14,$G$15))))*(DAY(AK31)-DAY(AJ31)+1)/DAY(EOMONTH(AJ31,0)),0)))))</f>
        <v/>
      </c>
      <c r="AR31" s="461" t="str">
        <f>IF(AJ31="","",IF(AND($AG$3=$AG$1,AJ31&lt;=$AZ$1),0,IF(Main!$C$26="UGC",0,IF(AL31=VLOOKUP(AL31,'IN RPS-2015'!$I$2:$J$5,1),0,ROUND(AM31*VLOOKUP(AJ31,$AF$11:$AG$12,2)%,0)))))</f>
        <v/>
      </c>
      <c r="AS31" s="461" t="str">
        <f>IF(AJ31="","",IF(AND($AG$3=$AG$1,AJ31&lt;=$AZ$1),0,IF(Main!$C$26="UGC",0,IF(AJ31&lt;DATE(2010,4,1),0,IF(OR(BB31=2,BB31=3,AL31=VLOOKUP(AL31,'IN RPS-2015'!$I$2:$J$5,1)),0,ROUND(IF(AJ31&lt;$J$152,VLOOKUP(AJ31,$B$1:$G$4,4),VLOOKUP(VLOOKUP(AJ31,$B$1:$G$4,4),Main!$CE$2:$CF$5,2,FALSE))*(DAY(AK31)-DAY(AJ31)+1)/DAY(EOMONTH(AJ31,0)),0))))))</f>
        <v/>
      </c>
      <c r="AT31" s="461" t="str">
        <f>IF(AJ31="","",IF(AND($AG$3=$AG$1,AJ31&lt;=$AZ$1),0,IF(OR(BB31=2,BB31=3,$D$31=$D$28,AL31=VLOOKUP(AL31,'IN RPS-2015'!$I$2:$J$5,1)),0,ROUND(MIN(VLOOKUP(AI31,$A$27:$C$29,2,TRUE),ROUND(AL31*VLOOKUP(AI31,$A$27:$C$29,3,TRUE)%,0))*IF(AI31=$A$36,$C$36,IF(AI31=$A$37,$C$37,IF(AI31=$A$38,$C$38,IF(AI31=$A$39,$C$39,IF(AI31=$A$40,$C$40,IF(AI31=$A$41,$C$41,1))))))*(DAY(AK31)-DAY(AJ31)+1)/DAY(EOMONTH(AJ31,0)),0))))</f>
        <v/>
      </c>
      <c r="AU31" s="461" t="str">
        <f>IF(AJ31="","",IF(AND($AG$3=$AG$1,AJ31&lt;=$AZ$1),0,IF(Main!$C$26="UGC",0,IF(OR(BB31=3,AL31=VLOOKUP(AL31,'IN RPS-2015'!$I$2:$J$5,1)),0,ROUND(IF(BB31=2,VLOOKUP(AL31,IF($AG$3=$I$29,$A$20:$E$23,$F$144:$J$147),IF($B$19=VLOOKUP(AJ31,$B$2:$G$4,3,TRUE),2,IF($C$19=VLOOKUP(AJ31,$B$2:$G$4,3,TRUE),3,IF($D$19=VLOOKUP(AJ31,$B$2:$G$4,3,TRUE),4,5))),TRUE),VLOOKUP(AL31,IF($AG$3=$I$29,$A$20:$E$23,$F$144:$J$147),IF($B$19=VLOOKUP(AJ31,$B$2:$G$4,3,TRUE),2,IF($C$19=VLOOKUP(AJ31,$B$2:$G$4,3,TRUE),3,IF($D$19=VLOOKUP(AJ31,$B$2:$G$4,3,TRUE),4,5))),TRUE))*(DAY(AK31)-DAY(AJ31)+1)/DAY(EOMONTH(AJ31,0)),0)))))</f>
        <v/>
      </c>
      <c r="AV31" s="461" t="str">
        <f>IF(AJ31="","",IF(AND($AG$3=$AG$1,AJ31&lt;=$AZ$1),0,IF(Main!$C$26="UGC",0,IF(OR(AI31&lt;DATE(2010,4,1),BB31=3,AL31=VLOOKUP(AL31,'IN RPS-2015'!$I$2:$J$5,1)),0,ROUND(IF(BB31=2,IF(AJ31&lt;$J$152,Main!$L$9,Main!$CI$3)/2,IF(AJ31&lt;$J$152,Main!$L$9,Main!$CI$3))*(DAY(AK31)-DAY(AJ31)+1)/DAY(EOMONTH(AJ31,0)),0)))))</f>
        <v/>
      </c>
      <c r="AW31" s="461"/>
      <c r="AX31" s="461" t="str">
        <f>IF(AJ31="","",IF(AND($AG$3=$AG$1,AJ31&lt;=$AZ$1),0,IF(Main!$C$26="UGC",0,IF(OR(BB31=3,AL31=VLOOKUP(AL31,'IN RPS-2015'!$I$2:$J$5,1)),0,ROUND(IF(BB31=2,VLOOKUP(AM31,IF(AJ31&lt;$J$152,$A$154:$E$159,$F$154:$J$159),IF($B$10=VLOOKUP(AI31,$B$2:$G$4,6,TRUE),2,IF($B$10=VLOOKUP(AI31,$B$2:$G$4,6,TRUE),3,IF($D$10=VLOOKUP(AI31,$B$2:$G$4,6,TRUE),4,5))))/2,VLOOKUP(AM31,IF(AJ31&lt;$J$152,$A$154:$E$159,$F$154:$J$159),IF($B$10=VLOOKUP(AI31,$B$2:$G$4,6,TRUE),2,IF($B$10=VLOOKUP(AI31,$B$2:$G$4,6,TRUE),3,IF($D$10=VLOOKUP(AI31,$B$2:$G$4,6,TRUE),4,5)))))*(DAY(AK31)-DAY(AJ31)+1)/DAY(EOMONTH(AJ31,0)),0)))))</f>
        <v/>
      </c>
      <c r="AY31" s="461">
        <f t="shared" si="67"/>
        <v>0</v>
      </c>
      <c r="AZ31" s="464" t="str">
        <f>IF(AJ31="","",IF(AND($AG$3=$AG$1,AJ31&lt;=$AZ$1),0,IF(AND(Main!$F$22=Main!$CA$24,AJ31&gt;$AZ$1),ROUND(SUM(AM31,AO31)*10%,0),"")))</f>
        <v/>
      </c>
      <c r="BA31" s="464" t="str">
        <f>IF(AI31="","",IF(AND($AG$3=$AG$1,AJ31&lt;=$AZ$1),0,IF(OR(Main!$H$10=Main!$BH$4,Main!$H$10=Main!$BH$5),0,LOOKUP(AY31*DAY(EOMONTH(AJ31,0))/(DAY(AK31)-DAY(AJ31)+1),$H$184:$I$189))))</f>
        <v/>
      </c>
      <c r="BB31" s="497">
        <f t="shared" si="55"/>
        <v>1</v>
      </c>
      <c r="BC31" s="464"/>
      <c r="BD31" s="501" t="str">
        <f t="shared" si="56"/>
        <v/>
      </c>
      <c r="BE31" s="502" t="str">
        <f t="shared" si="85"/>
        <v/>
      </c>
      <c r="BF31" s="484" t="str">
        <f>IF(BE31="","",MIN(EOMONTH(BE31,0),VLOOKUP(BE31,'IN RPS-2015'!$O$164:$P$202,2,TRUE)-1,LOOKUP(BE31,$E$47:$F$53)-1,IF(BE31&lt;$B$2,$B$2-1,'IN RPS-2015'!$Q$9),IF(BE31&lt;$B$3,$B$3-1,'IN RPS-2015'!$Q$9),IF(BE31&lt;$B$4,$B$4-1,'IN RPS-2015'!$Q$9),LOOKUP(BE31,$H$47:$I$53)))</f>
        <v/>
      </c>
      <c r="BG31" s="493" t="str">
        <f>IF(BE31="","",VLOOKUP(BE31,'IN RPS-2015'!$P$164:$AA$202,10))</f>
        <v/>
      </c>
      <c r="BH31" s="461" t="str">
        <f t="shared" si="68"/>
        <v/>
      </c>
      <c r="BI31" s="461" t="str">
        <f>IF(BE31="","",IF(AND($AG$3=$AG$1,BE31&lt;=$AZ$1),0,ROUND(IF(BW31=3,0,IF(BW31=2,IF(BG31=VLOOKUP(BG31,'IN RPS-2015'!$I$2:$J$5,1),0,Main!$H$9)/2,IF(BG31=VLOOKUP(BG31,'IN RPS-2015'!$I$2:$J$5,1),0,Main!$H$9)))*(DAY(BF31)-DAY(BE31)+1)/DAY(EOMONTH(BE31,0)),0)))</f>
        <v/>
      </c>
      <c r="BJ31" s="461" t="str">
        <f>IF(BE31="","",IF(AND($AG$3=$AG$1,BE31&lt;=$AZ$1),0,IF(BG31=VLOOKUP(BG31,'IN RPS-2015'!$I$2:$J$5,1),0,ROUND(BH31*VLOOKUP(BE31,$AF$4:$AG$7,2)%,0))))</f>
        <v/>
      </c>
      <c r="BK31" s="461" t="str">
        <f>IF(BE31="","",IF(AND($AG$3=$AG$1,BE31&lt;=$AZ$1),0,IF(OR(BW31=3,BG31=VLOOKUP(BG31,'IN RPS-2015'!$I$2:$J$5,1)),0,ROUND(MIN(ROUND(BG31*VLOOKUP(BE31,$B$1:$G$4,2)%,0),VLOOKUP(BE31,$B$2:$I$4,IF($AG$3=$I$29,7,8),TRUE))*(DAY(BF31)-DAY(BE31)+1)/DAY(EOMONTH(BE31,0)),0))))</f>
        <v/>
      </c>
      <c r="BL31" s="491" t="str">
        <f>IF(BE31="","",IF(AND($AG$3=$AG$1,BE31&lt;=$AZ$1),0,IF(Main!$C$26="UGC",0,IF(OR(BE31&lt;DATE(2010,4,1),$I$6=VLOOKUP(BE31,$B$2:$G$4,5,TRUE),BG31=VLOOKUP(BG31,'IN RPS-2015'!$I$2:$J$5,1)),0,ROUND(IF(BW31=3,0,IF(BW31=2,MIN(ROUND(BG31*$G$13%,0),IF(BE31&lt;$J$152,$G$14,$G$15))/2,MIN(ROUND(BG31*$G$13%,0),IF(BE31&lt;$J$152,$G$14,$G$15))))*(DAY(BF31)-DAY(BE31)+1)/DAY(EOMONTH(BE31,0)),0)))))</f>
        <v/>
      </c>
      <c r="BM31" s="461" t="str">
        <f>IF(BE31="","",IF(AND($AG$3=$AG$1,BE31&lt;=$AZ$1),0,IF(Main!$C$26="UGC",0,IF(BG31=VLOOKUP(BG31,'IN RPS-2015'!$I$2:$J$5,1),0,ROUND(BH31*VLOOKUP(BE31,$AF$11:$AG$12,2)%,0)))))</f>
        <v/>
      </c>
      <c r="BN31" s="461" t="str">
        <f>IF(BE31="","",IF(AND($AG$3=$AG$1,BE31&lt;=$AZ$1),0,IF(Main!$C$26="UGC",0,IF(BE31&lt;DATE(2010,4,1),0,IF(OR(BW31=2,BW31=3,BG31=VLOOKUP(BG31,'IN RPS-2015'!$I$2:$J$5,1)),0,ROUND(IF(BE31&lt;$J$152,VLOOKUP(BE31,$B$1:$G$4,4),VLOOKUP(VLOOKUP(BE31,$B$1:$G$4,4),Main!$CE$2:$CF$5,2,FALSE))*(DAY(BF31)-DAY(BE31)+1)/DAY(EOMONTH(BE31,0)),0))))))</f>
        <v/>
      </c>
      <c r="BO31" s="461" t="str">
        <f>IF(BE31="","",IF(AND($AG$3=$AG$1,BE31&lt;=$AZ$1),0,IF(OR(BW31=2,BW31=3,$D$31=$D$28,BG31=VLOOKUP(BG31,'IN RPS-2015'!$I$2:$J$5,1)),0,ROUND(MIN(VLOOKUP(BD31,$A$27:$C$29,2,TRUE),ROUND(BG31*VLOOKUP(BD31,$A$27:$C$29,3,TRUE)%,0))*IF(BD31=$A$36,$C$36,IF(BD31=$A$37,$C$37,IF(BD31=$A$38,$C$38,IF(BD31=$A$39,$C$39,IF(BD31=$A$40,$C$40,IF(BD31=$A$41,$C$41,1))))))*(DAY(BF31)-DAY(BE31)+1)/DAY(EOMONTH(BE31,0)),0))))</f>
        <v/>
      </c>
      <c r="BP31" s="461" t="str">
        <f>IF(BE31="","",IF(AND($AG$3=$AG$1,BE31&lt;=$AZ$1),0,IF(Main!$C$26="UGC",0,IF(OR(BW31=3,BG31=VLOOKUP(BG31,'IN RPS-2015'!$I$2:$J$5,1)),0,ROUND(IF(BW31=2,VLOOKUP(BG31,IF($AG$3=$I$29,$A$20:$E$23,$F$144:$J$147),IF($B$19=VLOOKUP(BE31,$B$2:$G$4,3,TRUE),2,IF($C$19=VLOOKUP(BE31,$B$2:$G$4,3,TRUE),3,IF($D$19=VLOOKUP(BE31,$B$2:$G$4,3,TRUE),4,5))),TRUE),VLOOKUP(BG31,IF($AG$3=$I$29,$A$20:$E$23,$F$144:$J$147),IF($B$19=VLOOKUP(BE31,$B$2:$G$4,3,TRUE),2,IF($C$19=VLOOKUP(BE31,$B$2:$G$4,3,TRUE),3,IF($D$19=VLOOKUP(BE31,$B$2:$G$4,3,TRUE),4,5))),TRUE))*(DAY(BF31)-DAY(BE31)+1)/DAY(EOMONTH(BE31,0)),0)))))</f>
        <v/>
      </c>
      <c r="BQ31" s="461" t="str">
        <f>IF(BE31="","",IF(AND($AG$3=$AG$1,BE31&lt;=$AZ$1),0,IF(Main!$C$26="UGC",0,IF(OR(BD31&lt;DATE(2010,4,1),BW31=3,BG31=VLOOKUP(BG31,'IN RPS-2015'!$I$2:$J$5,1)),0,ROUND(IF(BW31=2,IF(BE31&lt;$J$152,Main!$L$9,Main!$CI$3)/2,IF(BE31&lt;$J$152,Main!$L$9,Main!$CI$3))*(DAY(BF31)-DAY(BE31)+1)/DAY(EOMONTH(BE31,0)),0)))))</f>
        <v/>
      </c>
      <c r="BR31" s="461"/>
      <c r="BS31" s="461" t="str">
        <f>IF(BE31="","",IF(AND($AG$3=$AG$1,BE31&lt;=$AZ$1),0,IF(Main!$C$26="UGC",0,IF(OR(BW31=3,BG31=VLOOKUP(BG31,'IN RPS-2015'!$I$2:$J$5,1)),0,ROUND(IF(BW31=2,VLOOKUP(BH31,IF(BE31&lt;$J$152,$A$154:$E$159,$F$154:$J$159),IF($B$10=VLOOKUP(BD31,$B$2:$G$4,6,TRUE),2,IF($B$10=VLOOKUP(BD31,$B$2:$G$4,6,TRUE),3,IF($D$10=VLOOKUP(BD31,$B$2:$G$4,6,TRUE),4,5))))/2,VLOOKUP(BH31,IF(BE31&lt;$J$152,$A$154:$E$159,$F$154:$J$159),IF($B$10=VLOOKUP(BD31,$B$2:$G$4,6,TRUE),2,IF($B$10=VLOOKUP(BD31,$B$2:$G$4,6,TRUE),3,IF($D$10=VLOOKUP(BD31,$B$2:$G$4,6,TRUE),4,5)))))*(DAY(BF31)-DAY(BE31)+1)/DAY(EOMONTH(BE31,0)),0)))))</f>
        <v/>
      </c>
      <c r="BT31" s="461">
        <f t="shared" si="69"/>
        <v>0</v>
      </c>
      <c r="BU31" s="464" t="str">
        <f>IF(BE31="","",IF(AND($AG$3=$AG$1,BE31&lt;=$AZ$1),0,IF(AND(Main!$F$22=Main!$CA$24,BE31&gt;$AZ$1),ROUND(SUM(BH31,BJ31)*10%,0),"")))</f>
        <v/>
      </c>
      <c r="BV31" s="464" t="str">
        <f>IF(BD31="","",IF(AND($AG$3=$AG$1,BE31&lt;=$AZ$1),0,IF(OR(Main!$H$10=Main!$BH$4,Main!$H$10=Main!$BH$5),0,LOOKUP(BT31*DAY(EOMONTH(BE31,0))/(DAY(BF31)-DAY(BE31)+1),$H$184:$I$189))))</f>
        <v/>
      </c>
      <c r="BW31" s="503">
        <f t="shared" si="70"/>
        <v>1</v>
      </c>
      <c r="BX31" s="457">
        <f t="shared" si="71"/>
        <v>0</v>
      </c>
      <c r="BY31" s="457"/>
      <c r="BZ31" s="457"/>
      <c r="CA31" s="457"/>
      <c r="CB31" s="461"/>
      <c r="CC31" s="499" t="str">
        <f t="shared" si="57"/>
        <v/>
      </c>
      <c r="CD31" s="500" t="str">
        <f t="shared" si="86"/>
        <v/>
      </c>
      <c r="CE31" s="484" t="str">
        <f>IF(CD31="","",MIN(EOMONTH(CD31,0),VLOOKUP(CD31,'IN RPS-2015'!$O$164:$P$202,2,TRUE)-1,LOOKUP(CD31,$E$47:$F$53)-1,IF(CD31&lt;$B$2,$B$2-1,'IN RPS-2015'!$Q$9),IF(CD31&lt;$B$3,$B$3-1,'IN RPS-2015'!$Q$9),IF(CD31&lt;$B$4,$B$4-1,'IN RPS-2015'!$Q$9),LOOKUP(CD31,$H$47:$I$53)))</f>
        <v/>
      </c>
      <c r="CF31" s="490" t="str">
        <f>IF(CD31="","",VLOOKUP(CD31,'IN RPS-2015'!$T$207:$Y$222,5))</f>
        <v/>
      </c>
      <c r="CG31" s="461" t="str">
        <f t="shared" si="72"/>
        <v/>
      </c>
      <c r="CH31" s="461" t="str">
        <f>IF(CD31="","",IF(AND($CA$3=$CA$1,CD31&lt;=$CT$1),0,ROUND(IF(CV31=3,0,IF(CV31=2,IF(CF31=VLOOKUP(CF31,'IN RPS-2015'!$I$2:$J$5,1),0,Main!$H$9)/2,IF(CF31=VLOOKUP(CF31,'IN RPS-2015'!$I$2:$J$5,1),0,Main!$H$9)))*(DAY(CE31)-DAY(CD31)+1)/DAY(EOMONTH(CD31,0)),0)))</f>
        <v/>
      </c>
      <c r="CI31" s="461" t="str">
        <f>IF(CD31="","",IF(AND($CA$3=$CA$1,CD31&lt;=$CT$1),0,IF(CF31=VLOOKUP(CF31,'IN RPS-2015'!$I$2:$J$5,1),0,ROUND(CG31*VLOOKUP(CD31,$BZ$4:$CA$7,2)%,0))))</f>
        <v/>
      </c>
      <c r="CJ31" s="461" t="str">
        <f>IF(CD31="","",IF(AND($CA$3=$CA$1,CD31&lt;=$CT$1),0,IF(OR(CV31=3,CF31=VLOOKUP(CF31,'IN RPS-2015'!$I$2:$J$5,1)),0,ROUND(MIN(ROUND(CF31*VLOOKUP(CD31,$B$1:$G$4,2)%,0),VLOOKUP(CD31,$B$2:$I$4,IF($CA$3=$I$29,7,8),TRUE))*(DAY(CE31)-DAY(CD31)+1)/DAY(EOMONTH(CD31,0)),0))))</f>
        <v/>
      </c>
      <c r="CK31" s="491" t="str">
        <f>IF(CD31="","",IF(AND($CA$3=$CA$1,CD31&lt;=$CT$1),0,IF(Main!$C$26="UGC",0,IF(OR(CD31&lt;DATE(2010,4,1),$I$6=VLOOKUP(CD31,$B$2:$G$4,5,TRUE),CF31=VLOOKUP(CF31,'IN RPS-2015'!$I$2:$J$5,1)),0,ROUND(IF(CV31=3,0,IF(CV31=2,MIN(ROUND(CF31*$G$13%,0),IF(CD31&lt;$J$152,$G$14,$G$15))/2,MIN(ROUND(CF31*$G$13%,0),IF(CD31&lt;$J$152,$G$14,$G$15))))*(DAY(CE31)-DAY(CD31)+1)/DAY(EOMONTH(CD31,0)),0)))))</f>
        <v/>
      </c>
      <c r="CL31" s="461" t="str">
        <f>IF(CD31="","",IF(AND($CA$3=$CA$1,CD31&lt;=$CT$1),0,IF(Main!$C$26="UGC",0,IF(CF31=VLOOKUP(CF31,'IN RPS-2015'!$I$2:$J$5,1),0,ROUND(CG31*VLOOKUP(CD31,$BZ$11:$CA$12,2)%,0)))))</f>
        <v/>
      </c>
      <c r="CM31" s="461" t="str">
        <f>IF(CD31="","",IF(AND($CA$3=$CA$1,CD31&lt;=$CT$1),0,IF(Main!$C$26="UGC",0,IF(CD31&lt;DATE(2010,4,1),0,IF(OR(CV31=2,CV31=3,CF31=VLOOKUP(CF31,'IN RPS-2015'!$I$2:$J$5,1)),0,ROUND(IF(CD31&lt;$J$152,VLOOKUP(CD31,$B$1:$G$4,4),VLOOKUP(VLOOKUP(CD31,$B$1:$G$4,4),Main!$CE$2:$CF$5,2,FALSE))*(DAY(CE31)-DAY(CD31)+1)/DAY(EOMONTH(CD31,0)),0))))))</f>
        <v/>
      </c>
      <c r="CN31" s="461" t="str">
        <f>IF(CD31="","",IF(AND($CA$3=$CA$1,CD31&lt;=$CT$1),0,IF(OR(CV31=2,CV31=3,$D$31=$D$28,CF31=VLOOKUP(CF31,'IN RPS-2015'!$I$2:$J$5,1)),0,ROUND(MIN(VLOOKUP(CC31,$A$27:$C$29,2,TRUE),ROUND(CF31*VLOOKUP(CC31,$A$27:$C$29,3,TRUE)%,0))*IF(CC31=$A$36,$C$36,IF(CC31=$A$37,$C$37,IF(CC31=$A$38,$C$38,IF(CC31=$A$39,$C$39,IF(CC31=$A$40,$C$40,IF(CC31=$A$41,$C$41,1))))))*(DAY(CE31)-DAY(CD31)+1)/DAY(EOMONTH(CD31,0)),0))))</f>
        <v/>
      </c>
      <c r="CO31" s="461" t="str">
        <f>IF(CD31="","",IF(AND($CA$3=$CA$1,CD31&lt;=$CT$1),0,IF(Main!$C$26="UGC",0,IF(OR(CV31=3,CF31=VLOOKUP(CF31,'IN RPS-2015'!$I$2:$J$5,1)),0,ROUND(IF(CV31=2,VLOOKUP(CF31,IF($CA$3=$I$29,$A$20:$E$23,$F$144:$J$147),IF($B$19=VLOOKUP(CD31,$B$2:$G$4,3,TRUE),2,IF($C$19=VLOOKUP(CD31,$B$2:$G$4,3,TRUE),3,IF($D$19=VLOOKUP(CD31,$B$2:$G$4,3,TRUE),4,5))),TRUE),VLOOKUP(CF31,IF($CA$3=$I$29,$A$20:$E$23,$F$144:$J$147),IF($B$19=VLOOKUP(CD31,$B$2:$G$4,3,TRUE),2,IF($C$19=VLOOKUP(CD31,$B$2:$G$4,3,TRUE),3,IF($D$19=VLOOKUP(CD31,$B$2:$G$4,3,TRUE),4,5))),TRUE))*(DAY(CE31)-DAY(CD31)+1)/DAY(EOMONTH(CD31,0)),0)))))</f>
        <v/>
      </c>
      <c r="CP31" s="461" t="str">
        <f>IF(CD31="","",IF(AND($CA$3=$CA$1,CD31&lt;=$CT$1),0,IF(Main!$C$26="UGC",0,IF(OR(CC31&lt;DATE(2010,4,1),CV31=3,CF31=VLOOKUP(CF31,'IN RPS-2015'!$I$2:$J$5,1)),0,ROUND(IF(CV31=2,IF(CD31&lt;$J$152,Main!$L$9,Main!$CI$3)/2,IF(CD31&lt;$J$152,Main!$L$9,Main!$CI$3))*(DAY(CE31)-DAY(CD31)+1)/DAY(EOMONTH(CD31,0)),0)))))</f>
        <v/>
      </c>
      <c r="CQ31" s="461"/>
      <c r="CR31" s="461" t="str">
        <f>IF(CD31="","",IF(AND($CA$3=$CA$1,CD31&lt;=$CT$1),0,IF(Main!$C$26="UGC",0,IF(OR(CV31=3,CF31=VLOOKUP(CF31,'IN RPS-2015'!$I$2:$J$5,1)),0,ROUND(IF(CV31=2,VLOOKUP(CG31,IF(CD31&lt;$J$152,$A$154:$E$159,$F$154:$J$159),IF($B$10=VLOOKUP(CC31,$B$2:$G$4,6,TRUE),2,IF($B$10=VLOOKUP(CC31,$B$2:$G$4,6,TRUE),3,IF($D$10=VLOOKUP(CC31,$B$2:$G$4,6,TRUE),4,5))))/2,VLOOKUP(CG31,IF(CD31&lt;$J$152,$A$154:$E$159,$F$154:$J$159),IF($B$10=VLOOKUP(CC31,$B$2:$G$4,6,TRUE),2,IF($B$10=VLOOKUP(CC31,$B$2:$G$4,6,TRUE),3,IF($D$10=VLOOKUP(CC31,$B$2:$G$4,6,TRUE),4,5)))))*(DAY(CE31)-DAY(CD31)+1)/DAY(EOMONTH(CD31,0)),0)))))</f>
        <v/>
      </c>
      <c r="CS31" s="461">
        <f t="shared" si="73"/>
        <v>0</v>
      </c>
      <c r="CT31" s="464" t="str">
        <f>IF(CD31="","",IF(AND($CA$3=$CA$1,CD31&lt;=$CT$1),0,IF(AND(Main!$F$22=Main!$CA$24,CD31&gt;$CT$1),ROUND(SUM(CG31,CI31)*10%,0),"")))</f>
        <v/>
      </c>
      <c r="CU31" s="464" t="str">
        <f>IF(CC31="","",IF(CG31=0,0,IF(OR(Main!$H$10=Main!$BH$4,Main!$H$10=Main!$BH$5),0,LOOKUP(CS31*DAY(EOMONTH(CD31,0))/(DAY(CE31)-DAY(CD31)+1),$H$184:$I$189))))</f>
        <v/>
      </c>
      <c r="CV31" s="457">
        <f t="shared" si="74"/>
        <v>1</v>
      </c>
      <c r="CW31" s="464"/>
      <c r="CX31" s="501" t="str">
        <f t="shared" si="59"/>
        <v/>
      </c>
      <c r="CY31" s="502" t="str">
        <f t="shared" si="87"/>
        <v/>
      </c>
      <c r="CZ31" s="484" t="str">
        <f>IF(CY31="","",MIN(EOMONTH(CY31,0),VLOOKUP(CY31,'IN RPS-2015'!$O$164:$P$202,2,TRUE)-1,LOOKUP(CY31,$E$47:$F$53)-1,IF(CY31&lt;$B$2,$B$2-1,'IN RPS-2015'!$Q$9),IF(CY31&lt;$B$3,$B$3-1,'IN RPS-2015'!$Q$9),IF(CY31&lt;$B$4,$B$4-1,'IN RPS-2015'!$Q$9),LOOKUP(CY31,$H$47:$I$53)))</f>
        <v/>
      </c>
      <c r="DA31" s="493" t="str">
        <f>IF(CY31="","",VLOOKUP(CY31,'IN RPS-2015'!$T$207:$Y$222,6))</f>
        <v/>
      </c>
      <c r="DB31" s="461" t="str">
        <f t="shared" si="75"/>
        <v/>
      </c>
      <c r="DC31" s="461" t="str">
        <f>IF(CY31="","",IF(AND($CA$3=$CA$1,CY31&lt;=$CT$1),0,ROUND(IF(DQ31=3,0,IF(DQ31=2,IF(DA31=VLOOKUP(DA31,'IN RPS-2015'!$I$2:$J$5,1),0,Main!$H$9)/2,IF(DA31=VLOOKUP(DA31,'IN RPS-2015'!$I$2:$J$5,1),0,Main!$H$9)))*(DAY(CZ31)-DAY(CY31)+1)/DAY(EOMONTH(CY31,0)),0)))</f>
        <v/>
      </c>
      <c r="DD31" s="461" t="str">
        <f>IF(CY31="","",IF(AND($CA$3=$CA$1,CY31&lt;=$CT$1),0,IF(DA31=VLOOKUP(DA31,'IN RPS-2015'!$I$2:$J$5,1),0,ROUND(DB31*VLOOKUP(CY31,$BZ$4:$CA$7,2)%,0))))</f>
        <v/>
      </c>
      <c r="DE31" s="461" t="str">
        <f>IF(CY31="","",IF(AND($CA$3=$CA$1,CY31&lt;=$CT$1),0,IF(OR(DQ31=3,DA31=VLOOKUP(DA31,'IN RPS-2015'!$I$2:$J$5,1)),0,ROUND(MIN(ROUND(DA31*VLOOKUP(CY31,$B$1:$G$4,2)%,0),VLOOKUP(CY31,$B$2:$I$4,IF($CA$3=$I$29,7,8),TRUE))*(DAY(CZ31)-DAY(CY31)+1)/DAY(EOMONTH(CY31,0)),0))))</f>
        <v/>
      </c>
      <c r="DF31" s="491" t="str">
        <f>IF(CY31="","",IF(AND($CA$3=$CA$1,CY31&lt;=$CT$1),0,IF(Main!$C$26="UGC",0,IF(OR(CY31&lt;DATE(2010,4,1),$I$6=VLOOKUP(CY31,$B$2:$G$4,5,TRUE),DA31=VLOOKUP(DA31,'IN RPS-2015'!$I$2:$J$5,1)),0,ROUND(IF(DQ31=3,0,IF(DQ31=2,MIN(ROUND(DA31*$G$13%,0),IF(CY31&lt;$J$152,$G$14,$G$15))/2,MIN(ROUND(DA31*$G$13%,0),IF(CY31&lt;$J$152,$G$14,$G$15))))*(DAY(CZ31)-DAY(CY31)+1)/DAY(EOMONTH(CY31,0)),0)))))</f>
        <v/>
      </c>
      <c r="DG31" s="461" t="str">
        <f>IF(CY31="","",IF(AND($CA$3=$CA$1,CY31&lt;=$CT$1),0,IF(Main!$C$26="UGC",0,IF(DA31=VLOOKUP(DA31,'IN RPS-2015'!$I$2:$J$5,1),0,ROUND(DB31*VLOOKUP(CY31,$BZ$11:$CA$12,2)%,0)))))</f>
        <v/>
      </c>
      <c r="DH31" s="461" t="str">
        <f>IF(CY31="","",IF(AND($CA$3=$CA$1,CY31&lt;=$CT$1),0,IF(Main!$C$26="UGC",0,IF(CY31&lt;DATE(2010,4,1),0,IF(OR(DQ31=2,DQ31=3,DA31=VLOOKUP(DA31,'IN RPS-2015'!$I$2:$J$5,1)),0,ROUND(IF(CY31&lt;$J$152,VLOOKUP(CY31,$B$1:$G$4,4),VLOOKUP(VLOOKUP(CY31,$B$1:$G$4,4),Main!$CE$2:$CF$5,2,FALSE))*(DAY(CZ31)-DAY(CY31)+1)/DAY(EOMONTH(CY31,0)),0))))))</f>
        <v/>
      </c>
      <c r="DI31" s="461" t="str">
        <f>IF(CY31="","",IF(AND($CA$3=$CA$1,CY31&lt;=$CT$1),0,IF(OR(DQ31=2,DQ31=3,$D$31=$D$28,DA31=VLOOKUP(DA31,'IN RPS-2015'!$I$2:$J$5,1)),0,ROUND(MIN(VLOOKUP(CX31,$A$27:$C$29,2,TRUE),ROUND(DA31*VLOOKUP(CX31,$A$27:$C$29,3,TRUE)%,0))*IF(CX31=$A$36,$C$36,IF(CX31=$A$37,$C$37,IF(CX31=$A$38,$C$38,IF(CX31=$A$39,$C$39,IF(CX31=$A$40,$C$40,IF(CX31=$A$41,$C$41,1))))))*(DAY(CZ31)-DAY(CY31)+1)/DAY(EOMONTH(CY31,0)),0))))</f>
        <v/>
      </c>
      <c r="DJ31" s="461" t="str">
        <f>IF(CY31="","",IF(AND($CA$3=$CA$1,CY31&lt;=$CT$1),0,IF(Main!$C$26="UGC",0,IF(OR(DQ31=3,DA31=VLOOKUP(DA31,'IN RPS-2015'!$I$2:$J$5,1)),0,ROUND(IF(DQ31=2,VLOOKUP(DA31,IF($CA$3=$I$29,$A$20:$E$23,$F$144:$J$147),IF($B$19=VLOOKUP(CY31,$B$2:$G$4,3,TRUE),2,IF($C$19=VLOOKUP(CY31,$B$2:$G$4,3,TRUE),3,IF($D$19=VLOOKUP(CY31,$B$2:$G$4,3,TRUE),4,5))),TRUE),VLOOKUP(DA31,IF($CA$3=$I$29,$A$20:$E$23,$F$144:$J$147),IF($B$19=VLOOKUP(CY31,$B$2:$G$4,3,TRUE),2,IF($C$19=VLOOKUP(CY31,$B$2:$G$4,3,TRUE),3,IF($D$19=VLOOKUP(CY31,$B$2:$G$4,3,TRUE),4,5))),TRUE))*(DAY(CZ31)-DAY(CY31)+1)/DAY(EOMONTH(CY31,0)),0)))))</f>
        <v/>
      </c>
      <c r="DK31" s="461" t="str">
        <f>IF(CY31="","",IF(AND($CA$3=$CA$1,CY31&lt;=$CT$1),0,IF(Main!$C$26="UGC",0,IF(OR(CX31&lt;DATE(2010,4,1),DQ31=3,DA31=VLOOKUP(DA31,'IN RPS-2015'!$I$2:$J$5,1)),0,ROUND(IF(DQ31=2,IF(CY31&lt;$J$152,Main!$L$9,Main!$CI$3)/2,IF(CY31&lt;$J$152,Main!$L$9,Main!$CI$3))*(DAY(CZ31)-DAY(CY31)+1)/DAY(EOMONTH(CY31,0)),0)))))</f>
        <v/>
      </c>
      <c r="DL31" s="461"/>
      <c r="DM31" s="461" t="str">
        <f>IF(CY31="","",IF(AND($CA$3=$CA$1,CY31&lt;=$CT$1),0,IF(Main!$C$26="UGC",0,IF(OR(DQ31=3,DA31=VLOOKUP(DA31,'IN RPS-2015'!$I$2:$J$5,1)),0,ROUND(IF(DQ31=2,VLOOKUP(DB31,IF(CY31&lt;$J$152,$A$154:$E$159,$F$154:$J$159),IF($B$10=VLOOKUP(CX31,$B$2:$G$4,6,TRUE),2,IF($B$10=VLOOKUP(CX31,$B$2:$G$4,6,TRUE),3,IF($D$10=VLOOKUP(CX31,$B$2:$G$4,6,TRUE),4,5))))/2,VLOOKUP(DB31,IF(CY31&lt;$J$152,$A$154:$E$159,$F$154:$J$159),IF($B$10=VLOOKUP(CX31,$B$2:$G$4,6,TRUE),2,IF($B$10=VLOOKUP(CX31,$B$2:$G$4,6,TRUE),3,IF($D$10=VLOOKUP(CX31,$B$2:$G$4,6,TRUE),4,5)))))*(DAY(CZ31)-DAY(CY31)+1)/DAY(EOMONTH(CY31,0)),0)))))</f>
        <v/>
      </c>
      <c r="DN31" s="461">
        <f t="shared" si="76"/>
        <v>0</v>
      </c>
      <c r="DO31" s="464" t="str">
        <f>IF(CY31="","",IF(AND($CA$3=$CA$1,CY31&lt;=$CT$1),0,IF(AND(Main!$F$22=Main!$CA$24,CY31&gt;$CT$1),ROUND(SUM(DB31,DD31)*10%,0),"")))</f>
        <v/>
      </c>
      <c r="DP31" s="464" t="str">
        <f>IF(CX31="","",IF(AND($CA$3=$CA$1,CY31&lt;=$CT$1),0,IF(OR(Main!$H$10=Main!$BH$4,Main!$H$10=Main!$BH$5),0,LOOKUP(DN31*DAY(EOMONTH(CY31,0))/(DAY(CZ31)-DAY(CY31)+1),$H$184:$I$189))))</f>
        <v/>
      </c>
      <c r="DQ31" s="457">
        <f t="shared" si="60"/>
        <v>1</v>
      </c>
      <c r="DR31" s="457">
        <f t="shared" si="77"/>
        <v>0</v>
      </c>
      <c r="DS31" s="457"/>
      <c r="DT31" s="457"/>
      <c r="DU31" s="457"/>
      <c r="DV31" s="461"/>
      <c r="DW31" s="499" t="str">
        <f t="shared" si="61"/>
        <v/>
      </c>
      <c r="DX31" s="500" t="str">
        <f t="shared" si="88"/>
        <v/>
      </c>
      <c r="DY31" s="484" t="str">
        <f>IF(DX31="","",MIN(EOMONTH(DX31,0),VLOOKUP(DX31,'IN RPS-2015'!$O$164:$P$202,2,TRUE)-1,LOOKUP(DX31,$E$47:$F$53)-1,IF(DX31&lt;$B$2,$B$2-1,'IN RPS-2015'!$Q$9),IF(DX31&lt;$B$3,$B$3-1,'IN RPS-2015'!$Q$9),IF(DX31&lt;$B$4,$B$4-1,'IN RPS-2015'!$Q$9),LOOKUP(DX31,$H$47:$I$53)))</f>
        <v/>
      </c>
      <c r="DZ31" s="490" t="str">
        <f>IF(DX31="","",VLOOKUP(DX31,'IN RPS-2015'!$P$164:$AA$202,11))</f>
        <v/>
      </c>
      <c r="EA31" s="461" t="str">
        <f t="shared" si="78"/>
        <v/>
      </c>
      <c r="EB31" s="461" t="str">
        <f>IF(DX31="","",ROUND(IF(EP31=3,0,IF(EP31=2,IF(DZ31=VLOOKUP(DZ31,'IN RPS-2015'!$I$2:$J$5,1),0,Main!$H$9)/2,IF(DZ31=VLOOKUP(DZ31,'IN RPS-2015'!$I$2:$J$5,1),0,Main!$H$9)))*(DAY(DY31)-DAY(DX31)+1)/DAY(EOMONTH(DX31,0)),0))</f>
        <v/>
      </c>
      <c r="EC31" s="461" t="str">
        <f>IF(DX31="","",IF(DZ31=VLOOKUP(DZ31,'IN RPS-2015'!$I$2:$J$5,1),0,ROUND(EA31*VLOOKUP(DX31,$DT$4:$DU$7,2)%,0)))</f>
        <v/>
      </c>
      <c r="ED31" s="461" t="str">
        <f>IF(DX31="","",IF(OR(EP31=3,DZ31=VLOOKUP(DZ31,'IN RPS-2015'!$I$2:$J$5,1)),0,ROUND(MIN(ROUND(DZ31*VLOOKUP(DX31,$B$1:$G$4,2)%,0),VLOOKUP(DX31,$B$2:$I$4,IF($DU$3=$I$29,7,8),TRUE))*(DAY(DY31)-DAY(DX31)+1)/DAY(EOMONTH(DX31,0)),0)))</f>
        <v/>
      </c>
      <c r="EE31" s="491" t="str">
        <f>IF(DX31="","",IF(Main!$C$26="UGC",0,IF(OR(DX31&lt;DATE(2010,4,1),$I$6=VLOOKUP(DX31,$B$2:$G$4,5,TRUE),DZ31=VLOOKUP(DZ31,'IN RPS-2015'!$I$2:$J$5,1)),0,ROUND(IF(EP31=3,0,IF(EP31=2,MIN(ROUND(DZ31*$G$13%,0),IF(DX31&lt;$I$152,$G$14,$G$15))/2,MIN(ROUND(DZ31*$G$13%,0),IF(DX31&lt;$I$152,$G$14,$G$15))))*(DAY(DY31)-DAY(DX31)+1)/DAY(EOMONTH(DX31,0)),0))))</f>
        <v/>
      </c>
      <c r="EF31" s="461" t="str">
        <f>IF(DX31="","",IF(Main!$C$26="UGC",0,IF(DZ31=VLOOKUP(DZ31,'IN RPS-2015'!$I$2:$J$5,1),0,ROUND(EA31*VLOOKUP(DX31,$DT$11:$DU$12,2)%,0))))</f>
        <v/>
      </c>
      <c r="EG31" s="461" t="str">
        <f>IF(DX31="","",IF(Main!$C$26="UGC",0,IF(DX31&lt;DATE(2010,4,1),0,IF(OR(EP31=2,EP31=3,DZ31=VLOOKUP(DZ31,'IN RPS-2015'!$I$2:$J$5,1)),0,ROUND(IF(DX31&lt;$I$152,VLOOKUP(DX31,$B$1:$G$4,4),VLOOKUP(VLOOKUP(DX31,$B$1:$G$4,4),Main!$CE$2:$CF$5,2,FALSE))*(DAY(DY31)-DAY(DX31)+1)/DAY(EOMONTH(DX31,0)),0)))))</f>
        <v/>
      </c>
      <c r="EH31" s="461" t="str">
        <f>IF(DX31="","",IF(OR(EP31=2,EP31=3,$D$31=$D$28,DZ31=VLOOKUP(DZ31,'IN RPS-2015'!$I$2:$J$5,1)),0,ROUND(MIN(IF(DX31&lt;$I$152,900,1350),ROUND(DZ31*VLOOKUP(DW31,$A$27:$C$29,3,TRUE)%,0))*IF(DW31=$A$36,$C$36,IF(DW31=$A$37,$C$37,IF(DW31=$A$38,$C$38,IF(DW31=$A$39,$C$39,IF(DW31=$A$40,$C$40,IF(DW31=$A$41,$C$41,1))))))*(DAY(DY31)-DAY(DX31)+1)/DAY(EOMONTH(DX31,0)),0)))</f>
        <v/>
      </c>
      <c r="EI31" s="461" t="str">
        <f>IF(DX31="","",IF(Main!$C$26="UGC",0,IF(OR(EP31=3,DZ31=VLOOKUP(DZ31,'IN RPS-2015'!$I$2:$J$5,1)),0,ROUND(IF(EP31=2,VLOOKUP(DZ31,IF($DU$3=$I$29,$A$20:$E$23,$F$144:$J$147),IF($B$19=VLOOKUP(DX31,$B$2:$G$4,3,TRUE),2,IF($C$19=VLOOKUP(DX31,$B$2:$G$4,3,TRUE),3,IF($D$19=VLOOKUP(DX31,$B$2:$G$4,3,TRUE),4,5))),TRUE),VLOOKUP(DZ31,IF($DU$3=$I$29,$A$20:$E$23,$F$144:$J$147),IF($B$19=VLOOKUP(DX31,$B$2:$G$4,3,TRUE),2,IF($C$19=VLOOKUP(DX31,$B$2:$G$4,3,TRUE),3,IF($D$19=VLOOKUP(DX31,$B$2:$G$4,3,TRUE),4,5))),TRUE))*(DAY(DY31)-DAY(DX31)+1)/DAY(EOMONTH(DX31,0)),0))))</f>
        <v/>
      </c>
      <c r="EJ31" s="461" t="str">
        <f>IF(DX31="","",IF(Main!$C$26="UGC",0,IF(OR(DW31&lt;DATE(2010,4,1),EP31=3,DZ31=VLOOKUP(DZ31,'IN RPS-2015'!$I$2:$J$5,1)),0,ROUND(IF(EP31=2,IF(DX31&lt;$I$152,Main!$L$9,Main!$CI$3)/2,IF(DX31&lt;$I$152,Main!$L$9,Main!$CI$3))*(DAY(DY31)-DAY(DX31)+1)/DAY(EOMONTH(DX31,0)),0))))</f>
        <v/>
      </c>
      <c r="EK31" s="461"/>
      <c r="EL31" s="461" t="str">
        <f>IF(DX31="","",IF(Main!$C$26="UGC",0,IF(OR(EP31=3,DZ31=VLOOKUP(DZ31,'IN RPS-2015'!$I$2:$J$5,1)),0,ROUND(IF(EP31=2,VLOOKUP(EA31,IF(DX31&lt;$I$152,$A$154:$E$159,$F$154:$J$159),IF($B$10=VLOOKUP(DW31,$B$2:$G$4,6,TRUE),2,IF($B$10=VLOOKUP(DW31,$B$2:$G$4,6,TRUE),3,IF($D$10=VLOOKUP(DW31,$B$2:$G$4,6,TRUE),4,5))))/2,VLOOKUP(EA31,IF(DX31&lt;$I$152,$A$154:$E$159,$F$154:$J$159),IF($B$10=VLOOKUP(DW31,$B$2:$G$4,6,TRUE),2,IF($B$10=VLOOKUP(DW31,$B$2:$G$4,6,TRUE),3,IF($D$10=VLOOKUP(DW31,$B$2:$G$4,6,TRUE),4,5)))))*(DAY(DY31)-DAY(DX31)+1)/DAY(EOMONTH(DX31,0)),0))))</f>
        <v/>
      </c>
      <c r="EM31" s="461">
        <f t="shared" si="79"/>
        <v>0</v>
      </c>
      <c r="EN31" s="464" t="str">
        <f>IF(DX31="","",IF(AND(Main!$F$22=Main!$CA$24,DX31&gt;$EN$1),ROUND(SUM(EA31,EC31)*10%,0),""))</f>
        <v/>
      </c>
      <c r="EO31" s="464" t="str">
        <f>IF(DW31="","",IF(EA31=0,0,IF(OR(Main!$H$10=Main!$BH$4,Main!$H$10=Main!$BH$5),0,LOOKUP(EM31*DAY(EOMONTH(DX31,0))/(DAY(DY31)-DAY(DX31)+1),$H$184:$I$189))))</f>
        <v/>
      </c>
      <c r="EP31" s="457">
        <f t="shared" si="62"/>
        <v>1</v>
      </c>
      <c r="ET31" s="461"/>
      <c r="EU31" s="499" t="str">
        <f t="shared" si="63"/>
        <v/>
      </c>
      <c r="EV31" s="500" t="str">
        <f t="shared" si="89"/>
        <v/>
      </c>
      <c r="EW31" s="484" t="str">
        <f>IF(EV31="","",MIN(EOMONTH(EV31,0),VLOOKUP(EV31,'IN RPS-2015'!$O$164:$P$202,2,TRUE)-1,LOOKUP(EV31,$E$47:$F$53)-1,IF(EV31&lt;$B$2,$B$2-1,'IN RPS-2015'!$Q$9),IF(EV31&lt;$B$3,$B$3-1,'IN RPS-2015'!$Q$9),IF(EV31&lt;$B$4,$B$4-1,'IN RPS-2015'!$Q$9),LOOKUP(EV31,$H$47:$I$53)))</f>
        <v/>
      </c>
      <c r="EX31" s="490" t="str">
        <f>IF(EV31="","",VLOOKUP(EV31,'IN RPS-2015'!$P$164:$AA$202,12))</f>
        <v/>
      </c>
      <c r="EY31" s="461" t="str">
        <f t="shared" si="80"/>
        <v/>
      </c>
      <c r="EZ31" s="461" t="str">
        <f>IF(EV31="","",ROUND(IF(FN31=3,0,IF(FN31=2,IF(EX31=VLOOKUP(EX31,'IN RPS-2015'!$I$2:$J$5,1),0,Main!$H$9)/2,IF(EX31=VLOOKUP(EX31,'IN RPS-2015'!$I$2:$J$5,1),0,Main!$H$9)))*(DAY(EW31)-DAY(EV31)+1)/DAY(EOMONTH(EV31,0)),0))</f>
        <v/>
      </c>
      <c r="FA31" s="461" t="str">
        <f>IF(EV31="","",IF(EX31=VLOOKUP(EX31,'IN RPS-2015'!$I$2:$J$5,1),0,ROUND(EY31*VLOOKUP(EV31,$ER$4:$ES$7,2)%,0)))</f>
        <v/>
      </c>
      <c r="FB31" s="461" t="str">
        <f>IF(EV31="","",IF(OR(FN31=3,EX31=VLOOKUP(EX31,'IN RPS-2015'!$I$2:$J$5,1)),0,ROUND(MIN(ROUND(EX31*VLOOKUP(EV31,$B$1:$G$4,2)%,0),VLOOKUP(EV31,$B$2:$I$4,IF($ES$3=$I$29,7,8),TRUE))*(DAY(EW31)-DAY(EV31)+1)/DAY(EOMONTH(EV31,0)),0)))</f>
        <v/>
      </c>
      <c r="FC31" s="491" t="str">
        <f>IF(EV31="","",IF(Main!$C$26="UGC",0,IF(OR(EV31&lt;DATE(2010,4,1),$I$6=VLOOKUP(EV31,$B$2:$G$4,5,TRUE),EX31=VLOOKUP(EX31,'IN RPS-2015'!$I$2:$J$5,1)),0,ROUND(IF(FN31=3,0,IF(FN31=2,MIN(ROUND(EX31*$G$13%,0),IF(EV31&lt;$J$152,$G$14,$G$15))/2,MIN(ROUND(EX31*$G$13%,0),IF(EV31&lt;$J$152,$G$14,$G$15))))*(DAY(EW31)-DAY(EV31)+1)/DAY(EOMONTH(EV31,0)),0))))</f>
        <v/>
      </c>
      <c r="FD31" s="461" t="str">
        <f>IF(EV31="","",IF(Main!$C$26="UGC",0,IF(EX31=VLOOKUP(EX31,'IN RPS-2015'!$I$2:$J$5,1),0,ROUND(EY31*VLOOKUP(EV31,$ER$11:$ES$12,2)%,0))))</f>
        <v/>
      </c>
      <c r="FE31" s="461" t="str">
        <f>IF(EV31="","",IF(Main!$C$26="UGC",0,IF(EV31&lt;DATE(2010,4,1),0,IF(OR(FN31=2,FN31=3,EX31=VLOOKUP(EX31,'IN RPS-2015'!$I$2:$J$5,1)),0,ROUND(IF(EV31&lt;$J$152,VLOOKUP(EV31,$B$1:$G$4,4),VLOOKUP(VLOOKUP(EV31,$B$1:$G$4,4),Main!$CE$2:$CF$5,2,FALSE))*(DAY(EW31)-DAY(EV31)+1)/DAY(EOMONTH(EV31,0)),0)))))</f>
        <v/>
      </c>
      <c r="FF31" s="461" t="str">
        <f>IF(EV31="","",IF(OR(FN31=2,FN31=3,$D$31=$D$28,EX31=VLOOKUP(EX31,'IN RPS-2015'!$I$2:$J$5,1)),0,ROUND(MIN(VLOOKUP(EU31,$A$27:$C$29,2,TRUE),ROUND(EX31*VLOOKUP(EU31,$A$27:$C$29,3,TRUE)%,0))*IF(EU31=$A$36,$C$36,IF(EU31=$A$37,$C$37,IF(EU31=$A$38,$C$38,IF(EU31=$A$39,$C$39,IF(EU31=$A$40,$C$40,IF(EU31=$A$41,$C$41,1))))))*(DAY(EW31)-DAY(EV31)+1)/DAY(EOMONTH(EV31,0)),0)))</f>
        <v/>
      </c>
      <c r="FG31" s="461" t="str">
        <f>IF(EV31="","",IF(Main!$C$26="UGC",0,IF(OR(FN31=3,EX31=VLOOKUP(EX31,'IN RPS-2015'!$I$2:$J$5,1)),0,ROUND(IF(FN31=2,VLOOKUP(EX31,IF($ES$3=$I$29,$A$20:$E$23,$F$144:$J$147),IF($B$19=VLOOKUP(EV31,$B$2:$G$4,3,TRUE),2,IF($C$19=VLOOKUP(EV31,$B$2:$G$4,3,TRUE),3,IF($D$19=VLOOKUP(EV31,$B$2:$G$4,3,TRUE),4,5))),TRUE),VLOOKUP(EX31,IF($ES$3=$I$29,$A$20:$E$23,$F$144:$J$147),IF($B$19=VLOOKUP(EV31,$B$2:$G$4,3,TRUE),2,IF($C$19=VLOOKUP(EV31,$B$2:$G$4,3,TRUE),3,IF($D$19=VLOOKUP(EV31,$B$2:$G$4,3,TRUE),4,5))),TRUE))*(DAY(EW31)-DAY(EV31)+1)/DAY(EOMONTH(EV31,0)),0))))</f>
        <v/>
      </c>
      <c r="FH31" s="461" t="str">
        <f>IF(EV31="","",IF(Main!$C$26="UGC",0,IF(OR(EU31&lt;DATE(2010,4,1),FN31=3,EX31=VLOOKUP(EX31,'IN RPS-2015'!$I$2:$J$5,1)),0,ROUND(IF(FN31=2,IF(EV31&lt;$J$152,Main!$L$9,Main!$CI$3)/2,IF(EV31&lt;$J$152,Main!$L$9,Main!$CI$3))*(DAY(EW31)-DAY(EV31)+1)/DAY(EOMONTH(EV31,0)),0))))</f>
        <v/>
      </c>
      <c r="FI31" s="461"/>
      <c r="FJ31" s="461" t="str">
        <f>IF(EV31="","",IF(Main!$C$26="UGC",0,IF(OR(FN31=3,EX31=VLOOKUP(EX31,'IN RPS-2015'!$I$2:$J$5,1)),0,ROUND(IF(FN31=2,VLOOKUP(EY31,IF(EV31&lt;$J$152,$A$154:$E$159,$F$154:$J$159),IF($B$10=VLOOKUP(EU31,$B$2:$G$4,6,TRUE),2,IF($B$10=VLOOKUP(EU31,$B$2:$G$4,6,TRUE),3,IF($D$10=VLOOKUP(EU31,$B$2:$G$4,6,TRUE),4,5))))/2,VLOOKUP(EY31,IF(EV31&lt;$J$152,$A$154:$E$159,$F$154:$J$159),IF($B$10=VLOOKUP(EU31,$B$2:$G$4,6,TRUE),2,IF($B$10=VLOOKUP(EU31,$B$2:$G$4,6,TRUE),3,IF($D$10=VLOOKUP(EU31,$B$2:$G$4,6,TRUE),4,5)))))*(DAY(EW31)-DAY(EV31)+1)/DAY(EOMONTH(EV31,0)),0))))</f>
        <v/>
      </c>
      <c r="FK31" s="461">
        <f t="shared" si="81"/>
        <v>0</v>
      </c>
      <c r="FL31" s="464" t="str">
        <f>IF(EV31="","",IF(AND(Main!$F$22=Main!$CA$24,EV31&gt;$FL$1),ROUND(SUM(EY31,FA31)*10%,0),""))</f>
        <v/>
      </c>
      <c r="FM31" s="464" t="str">
        <f>IF(EU31="","",IF(EY31=0,0,IF(OR(Main!$H$10=Main!$BH$4,Main!$H$10=Main!$BH$5),0,LOOKUP(FK31*DAY(EOMONTH(EV31,0))/(DAY(EW31)-DAY(EV31)+1),$H$184:$I$189))))</f>
        <v/>
      </c>
      <c r="FN31" s="457">
        <f t="shared" si="64"/>
        <v>1</v>
      </c>
    </row>
    <row r="32" spans="1:170">
      <c r="A32" s="161"/>
      <c r="B32" s="162"/>
      <c r="C32" s="164"/>
      <c r="D32" s="164" t="str">
        <f>Main!L10</f>
        <v>Vacation Post</v>
      </c>
      <c r="AH32" s="461"/>
      <c r="AI32" s="499" t="str">
        <f t="shared" si="54"/>
        <v/>
      </c>
      <c r="AJ32" s="500" t="str">
        <f t="shared" si="84"/>
        <v/>
      </c>
      <c r="AK32" s="484" t="str">
        <f>IF(AJ32="","",MIN(EOMONTH(AJ32,0),VLOOKUP(AJ32,'IN RPS-2015'!$O$164:$P$202,2,TRUE)-1,LOOKUP(AJ32,$E$47:$F$53)-1,IF(AJ32&lt;$B$2,$B$2-1,'IN RPS-2015'!$Q$9),IF(AJ32&lt;$B$3,$B$3-1,'IN RPS-2015'!$Q$9),IF(AJ32&lt;$B$4,$B$4-1,'IN RPS-2015'!$Q$9),LOOKUP(AJ32,$H$47:$I$53)))</f>
        <v/>
      </c>
      <c r="AL32" s="490" t="str">
        <f>IF(AJ32="","",VLOOKUP(AJ32,'IN RPS-2015'!$P$164:$AA$202,9))</f>
        <v/>
      </c>
      <c r="AM32" s="461" t="str">
        <f t="shared" si="66"/>
        <v/>
      </c>
      <c r="AN32" s="461" t="str">
        <f>IF(AJ32="","",IF(AND($AG$3=$AG$1,AJ32&lt;=$AZ$1),0,ROUND(IF(BB32=3,0,IF(BB32=2,IF(AL32=VLOOKUP(AL32,'IN RPS-2015'!$I$2:$J$5,1),0,Main!$H$9)/2,IF(AL32=VLOOKUP(AL32,'IN RPS-2015'!$I$2:$J$5,1),0,Main!$H$9)))*(DAY(AK32)-DAY(AJ32)+1)/DAY(EOMONTH(AJ32,0)),0)))</f>
        <v/>
      </c>
      <c r="AO32" s="461" t="str">
        <f>IF(AJ32="","",IF(AND($AG$3=$AG$1,AJ32&lt;=$AZ$1),0,IF(AL32=VLOOKUP(AL32,'IN RPS-2015'!$I$2:$J$5,1),0,ROUND(AM32*VLOOKUP(AJ32,$AF$4:$AG$7,2)%,0))))</f>
        <v/>
      </c>
      <c r="AP32" s="461" t="str">
        <f>IF(AJ32="","",IF(AND($AG$3=$AG$1,AJ32&lt;=$AZ$1),0,IF(OR(BB32=3,AL32=VLOOKUP(AL32,'IN RPS-2015'!$I$2:$J$5,1)),0,ROUND(MIN(ROUND(AL32*VLOOKUP(AJ32,$B$1:$G$4,2)%,0),VLOOKUP(AJ32,$B$2:$I$4,IF($AG$3=$I$29,7,8),TRUE))*(DAY(AK32)-DAY(AJ32)+1)/DAY(EOMONTH(AJ32,0)),0))))</f>
        <v/>
      </c>
      <c r="AQ32" s="491" t="str">
        <f>IF(AJ32="","",IF(AND($AG$3=$AG$1,AJ32&lt;=$AZ$1),0,IF(Main!$C$26="UGC",0,IF(OR(AJ32&lt;DATE(2010,4,1),$I$6=VLOOKUP(AJ32,$B$2:$G$4,5,TRUE),AL32=VLOOKUP(AL32,'IN RPS-2015'!$I$2:$J$5,1)),0,ROUND(IF(BB32=3,0,IF(BB32=2,MIN(ROUND(AL32*$G$13%,0),IF(AJ32&lt;$J$152,$G$14,$G$15))/2,MIN(ROUND(AL32*$G$13%,0),IF(AJ32&lt;$J$152,$G$14,$G$15))))*(DAY(AK32)-DAY(AJ32)+1)/DAY(EOMONTH(AJ32,0)),0)))))</f>
        <v/>
      </c>
      <c r="AR32" s="461" t="str">
        <f>IF(AJ32="","",IF(AND($AG$3=$AG$1,AJ32&lt;=$AZ$1),0,IF(Main!$C$26="UGC",0,IF(AL32=VLOOKUP(AL32,'IN RPS-2015'!$I$2:$J$5,1),0,ROUND(AM32*VLOOKUP(AJ32,$AF$11:$AG$12,2)%,0)))))</f>
        <v/>
      </c>
      <c r="AS32" s="461" t="str">
        <f>IF(AJ32="","",IF(AND($AG$3=$AG$1,AJ32&lt;=$AZ$1),0,IF(Main!$C$26="UGC",0,IF(AJ32&lt;DATE(2010,4,1),0,IF(OR(BB32=2,BB32=3,AL32=VLOOKUP(AL32,'IN RPS-2015'!$I$2:$J$5,1)),0,ROUND(IF(AJ32&lt;$J$152,VLOOKUP(AJ32,$B$1:$G$4,4),VLOOKUP(VLOOKUP(AJ32,$B$1:$G$4,4),Main!$CE$2:$CF$5,2,FALSE))*(DAY(AK32)-DAY(AJ32)+1)/DAY(EOMONTH(AJ32,0)),0))))))</f>
        <v/>
      </c>
      <c r="AT32" s="461" t="str">
        <f>IF(AJ32="","",IF(AND($AG$3=$AG$1,AJ32&lt;=$AZ$1),0,IF(OR(BB32=2,BB32=3,$D$31=$D$28,AL32=VLOOKUP(AL32,'IN RPS-2015'!$I$2:$J$5,1)),0,ROUND(MIN(VLOOKUP(AI32,$A$27:$C$29,2,TRUE),ROUND(AL32*VLOOKUP(AI32,$A$27:$C$29,3,TRUE)%,0))*IF(AI32=$A$36,$C$36,IF(AI32=$A$37,$C$37,IF(AI32=$A$38,$C$38,IF(AI32=$A$39,$C$39,IF(AI32=$A$40,$C$40,IF(AI32=$A$41,$C$41,1))))))*(DAY(AK32)-DAY(AJ32)+1)/DAY(EOMONTH(AJ32,0)),0))))</f>
        <v/>
      </c>
      <c r="AU32" s="461" t="str">
        <f>IF(AJ32="","",IF(AND($AG$3=$AG$1,AJ32&lt;=$AZ$1),0,IF(Main!$C$26="UGC",0,IF(OR(BB32=3,AL32=VLOOKUP(AL32,'IN RPS-2015'!$I$2:$J$5,1)),0,ROUND(IF(BB32=2,VLOOKUP(AL32,IF($AG$3=$I$29,$A$20:$E$23,$F$144:$J$147),IF($B$19=VLOOKUP(AJ32,$B$2:$G$4,3,TRUE),2,IF($C$19=VLOOKUP(AJ32,$B$2:$G$4,3,TRUE),3,IF($D$19=VLOOKUP(AJ32,$B$2:$G$4,3,TRUE),4,5))),TRUE),VLOOKUP(AL32,IF($AG$3=$I$29,$A$20:$E$23,$F$144:$J$147),IF($B$19=VLOOKUP(AJ32,$B$2:$G$4,3,TRUE),2,IF($C$19=VLOOKUP(AJ32,$B$2:$G$4,3,TRUE),3,IF($D$19=VLOOKUP(AJ32,$B$2:$G$4,3,TRUE),4,5))),TRUE))*(DAY(AK32)-DAY(AJ32)+1)/DAY(EOMONTH(AJ32,0)),0)))))</f>
        <v/>
      </c>
      <c r="AV32" s="461" t="str">
        <f>IF(AJ32="","",IF(AND($AG$3=$AG$1,AJ32&lt;=$AZ$1),0,IF(Main!$C$26="UGC",0,IF(OR(AI32&lt;DATE(2010,4,1),BB32=3,AL32=VLOOKUP(AL32,'IN RPS-2015'!$I$2:$J$5,1)),0,ROUND(IF(BB32=2,IF(AJ32&lt;$J$152,Main!$L$9,Main!$CI$3)/2,IF(AJ32&lt;$J$152,Main!$L$9,Main!$CI$3))*(DAY(AK32)-DAY(AJ32)+1)/DAY(EOMONTH(AJ32,0)),0)))))</f>
        <v/>
      </c>
      <c r="AW32" s="461"/>
      <c r="AX32" s="461" t="str">
        <f>IF(AJ32="","",IF(AND($AG$3=$AG$1,AJ32&lt;=$AZ$1),0,IF(Main!$C$26="UGC",0,IF(OR(BB32=3,AL32=VLOOKUP(AL32,'IN RPS-2015'!$I$2:$J$5,1)),0,ROUND(IF(BB32=2,VLOOKUP(AM32,IF(AJ32&lt;$J$152,$A$154:$E$159,$F$154:$J$159),IF($B$10=VLOOKUP(AI32,$B$2:$G$4,6,TRUE),2,IF($B$10=VLOOKUP(AI32,$B$2:$G$4,6,TRUE),3,IF($D$10=VLOOKUP(AI32,$B$2:$G$4,6,TRUE),4,5))))/2,VLOOKUP(AM32,IF(AJ32&lt;$J$152,$A$154:$E$159,$F$154:$J$159),IF($B$10=VLOOKUP(AI32,$B$2:$G$4,6,TRUE),2,IF($B$10=VLOOKUP(AI32,$B$2:$G$4,6,TRUE),3,IF($D$10=VLOOKUP(AI32,$B$2:$G$4,6,TRUE),4,5)))))*(DAY(AK32)-DAY(AJ32)+1)/DAY(EOMONTH(AJ32,0)),0)))))</f>
        <v/>
      </c>
      <c r="AY32" s="461">
        <f t="shared" si="67"/>
        <v>0</v>
      </c>
      <c r="AZ32" s="464" t="str">
        <f>IF(AJ32="","",IF(AND($AG$3=$AG$1,AJ32&lt;=$AZ$1),0,IF(AND(Main!$F$22=Main!$CA$24,AJ32&gt;$AZ$1),ROUND(SUM(AM32,AO32)*10%,0),"")))</f>
        <v/>
      </c>
      <c r="BA32" s="464" t="str">
        <f>IF(AI32="","",IF(AND($AG$3=$AG$1,AJ32&lt;=$AZ$1),0,IF(OR(Main!$H$10=Main!$BH$4,Main!$H$10=Main!$BH$5),0,LOOKUP(AY32*DAY(EOMONTH(AJ32,0))/(DAY(AK32)-DAY(AJ32)+1),$H$184:$I$189))))</f>
        <v/>
      </c>
      <c r="BB32" s="497">
        <f t="shared" si="55"/>
        <v>1</v>
      </c>
      <c r="BC32" s="464"/>
      <c r="BD32" s="501" t="str">
        <f t="shared" si="56"/>
        <v/>
      </c>
      <c r="BE32" s="502" t="str">
        <f t="shared" si="85"/>
        <v/>
      </c>
      <c r="BF32" s="484" t="str">
        <f>IF(BE32="","",MIN(EOMONTH(BE32,0),VLOOKUP(BE32,'IN RPS-2015'!$O$164:$P$202,2,TRUE)-1,LOOKUP(BE32,$E$47:$F$53)-1,IF(BE32&lt;$B$2,$B$2-1,'IN RPS-2015'!$Q$9),IF(BE32&lt;$B$3,$B$3-1,'IN RPS-2015'!$Q$9),IF(BE32&lt;$B$4,$B$4-1,'IN RPS-2015'!$Q$9),LOOKUP(BE32,$H$47:$I$53)))</f>
        <v/>
      </c>
      <c r="BG32" s="493" t="str">
        <f>IF(BE32="","",VLOOKUP(BE32,'IN RPS-2015'!$P$164:$AA$202,10))</f>
        <v/>
      </c>
      <c r="BH32" s="461" t="str">
        <f t="shared" si="68"/>
        <v/>
      </c>
      <c r="BI32" s="461" t="str">
        <f>IF(BE32="","",IF(AND($AG$3=$AG$1,BE32&lt;=$AZ$1),0,ROUND(IF(BW32=3,0,IF(BW32=2,IF(BG32=VLOOKUP(BG32,'IN RPS-2015'!$I$2:$J$5,1),0,Main!$H$9)/2,IF(BG32=VLOOKUP(BG32,'IN RPS-2015'!$I$2:$J$5,1),0,Main!$H$9)))*(DAY(BF32)-DAY(BE32)+1)/DAY(EOMONTH(BE32,0)),0)))</f>
        <v/>
      </c>
      <c r="BJ32" s="461" t="str">
        <f>IF(BE32="","",IF(AND($AG$3=$AG$1,BE32&lt;=$AZ$1),0,IF(BG32=VLOOKUP(BG32,'IN RPS-2015'!$I$2:$J$5,1),0,ROUND(BH32*VLOOKUP(BE32,$AF$4:$AG$7,2)%,0))))</f>
        <v/>
      </c>
      <c r="BK32" s="461" t="str">
        <f>IF(BE32="","",IF(AND($AG$3=$AG$1,BE32&lt;=$AZ$1),0,IF(OR(BW32=3,BG32=VLOOKUP(BG32,'IN RPS-2015'!$I$2:$J$5,1)),0,ROUND(MIN(ROUND(BG32*VLOOKUP(BE32,$B$1:$G$4,2)%,0),VLOOKUP(BE32,$B$2:$I$4,IF($AG$3=$I$29,7,8),TRUE))*(DAY(BF32)-DAY(BE32)+1)/DAY(EOMONTH(BE32,0)),0))))</f>
        <v/>
      </c>
      <c r="BL32" s="491" t="str">
        <f>IF(BE32="","",IF(AND($AG$3=$AG$1,BE32&lt;=$AZ$1),0,IF(Main!$C$26="UGC",0,IF(OR(BE32&lt;DATE(2010,4,1),$I$6=VLOOKUP(BE32,$B$2:$G$4,5,TRUE),BG32=VLOOKUP(BG32,'IN RPS-2015'!$I$2:$J$5,1)),0,ROUND(IF(BW32=3,0,IF(BW32=2,MIN(ROUND(BG32*$G$13%,0),IF(BE32&lt;$J$152,$G$14,$G$15))/2,MIN(ROUND(BG32*$G$13%,0),IF(BE32&lt;$J$152,$G$14,$G$15))))*(DAY(BF32)-DAY(BE32)+1)/DAY(EOMONTH(BE32,0)),0)))))</f>
        <v/>
      </c>
      <c r="BM32" s="461" t="str">
        <f>IF(BE32="","",IF(AND($AG$3=$AG$1,BE32&lt;=$AZ$1),0,IF(Main!$C$26="UGC",0,IF(BG32=VLOOKUP(BG32,'IN RPS-2015'!$I$2:$J$5,1),0,ROUND(BH32*VLOOKUP(BE32,$AF$11:$AG$12,2)%,0)))))</f>
        <v/>
      </c>
      <c r="BN32" s="461" t="str">
        <f>IF(BE32="","",IF(AND($AG$3=$AG$1,BE32&lt;=$AZ$1),0,IF(Main!$C$26="UGC",0,IF(BE32&lt;DATE(2010,4,1),0,IF(OR(BW32=2,BW32=3,BG32=VLOOKUP(BG32,'IN RPS-2015'!$I$2:$J$5,1)),0,ROUND(IF(BE32&lt;$J$152,VLOOKUP(BE32,$B$1:$G$4,4),VLOOKUP(VLOOKUP(BE32,$B$1:$G$4,4),Main!$CE$2:$CF$5,2,FALSE))*(DAY(BF32)-DAY(BE32)+1)/DAY(EOMONTH(BE32,0)),0))))))</f>
        <v/>
      </c>
      <c r="BO32" s="461" t="str">
        <f>IF(BE32="","",IF(AND($AG$3=$AG$1,BE32&lt;=$AZ$1),0,IF(OR(BW32=2,BW32=3,$D$31=$D$28,BG32=VLOOKUP(BG32,'IN RPS-2015'!$I$2:$J$5,1)),0,ROUND(MIN(VLOOKUP(BD32,$A$27:$C$29,2,TRUE),ROUND(BG32*VLOOKUP(BD32,$A$27:$C$29,3,TRUE)%,0))*IF(BD32=$A$36,$C$36,IF(BD32=$A$37,$C$37,IF(BD32=$A$38,$C$38,IF(BD32=$A$39,$C$39,IF(BD32=$A$40,$C$40,IF(BD32=$A$41,$C$41,1))))))*(DAY(BF32)-DAY(BE32)+1)/DAY(EOMONTH(BE32,0)),0))))</f>
        <v/>
      </c>
      <c r="BP32" s="461" t="str">
        <f>IF(BE32="","",IF(AND($AG$3=$AG$1,BE32&lt;=$AZ$1),0,IF(Main!$C$26="UGC",0,IF(OR(BW32=3,BG32=VLOOKUP(BG32,'IN RPS-2015'!$I$2:$J$5,1)),0,ROUND(IF(BW32=2,VLOOKUP(BG32,IF($AG$3=$I$29,$A$20:$E$23,$F$144:$J$147),IF($B$19=VLOOKUP(BE32,$B$2:$G$4,3,TRUE),2,IF($C$19=VLOOKUP(BE32,$B$2:$G$4,3,TRUE),3,IF($D$19=VLOOKUP(BE32,$B$2:$G$4,3,TRUE),4,5))),TRUE),VLOOKUP(BG32,IF($AG$3=$I$29,$A$20:$E$23,$F$144:$J$147),IF($B$19=VLOOKUP(BE32,$B$2:$G$4,3,TRUE),2,IF($C$19=VLOOKUP(BE32,$B$2:$G$4,3,TRUE),3,IF($D$19=VLOOKUP(BE32,$B$2:$G$4,3,TRUE),4,5))),TRUE))*(DAY(BF32)-DAY(BE32)+1)/DAY(EOMONTH(BE32,0)),0)))))</f>
        <v/>
      </c>
      <c r="BQ32" s="461" t="str">
        <f>IF(BE32="","",IF(AND($AG$3=$AG$1,BE32&lt;=$AZ$1),0,IF(Main!$C$26="UGC",0,IF(OR(BD32&lt;DATE(2010,4,1),BW32=3,BG32=VLOOKUP(BG32,'IN RPS-2015'!$I$2:$J$5,1)),0,ROUND(IF(BW32=2,IF(BE32&lt;$J$152,Main!$L$9,Main!$CI$3)/2,IF(BE32&lt;$J$152,Main!$L$9,Main!$CI$3))*(DAY(BF32)-DAY(BE32)+1)/DAY(EOMONTH(BE32,0)),0)))))</f>
        <v/>
      </c>
      <c r="BR32" s="461"/>
      <c r="BS32" s="461" t="str">
        <f>IF(BE32="","",IF(AND($AG$3=$AG$1,BE32&lt;=$AZ$1),0,IF(Main!$C$26="UGC",0,IF(OR(BW32=3,BG32=VLOOKUP(BG32,'IN RPS-2015'!$I$2:$J$5,1)),0,ROUND(IF(BW32=2,VLOOKUP(BH32,IF(BE32&lt;$J$152,$A$154:$E$159,$F$154:$J$159),IF($B$10=VLOOKUP(BD32,$B$2:$G$4,6,TRUE),2,IF($B$10=VLOOKUP(BD32,$B$2:$G$4,6,TRUE),3,IF($D$10=VLOOKUP(BD32,$B$2:$G$4,6,TRUE),4,5))))/2,VLOOKUP(BH32,IF(BE32&lt;$J$152,$A$154:$E$159,$F$154:$J$159),IF($B$10=VLOOKUP(BD32,$B$2:$G$4,6,TRUE),2,IF($B$10=VLOOKUP(BD32,$B$2:$G$4,6,TRUE),3,IF($D$10=VLOOKUP(BD32,$B$2:$G$4,6,TRUE),4,5)))))*(DAY(BF32)-DAY(BE32)+1)/DAY(EOMONTH(BE32,0)),0)))))</f>
        <v/>
      </c>
      <c r="BT32" s="461">
        <f t="shared" si="69"/>
        <v>0</v>
      </c>
      <c r="BU32" s="464" t="str">
        <f>IF(BE32="","",IF(AND($AG$3=$AG$1,BE32&lt;=$AZ$1),0,IF(AND(Main!$F$22=Main!$CA$24,BE32&gt;$AZ$1),ROUND(SUM(BH32,BJ32)*10%,0),"")))</f>
        <v/>
      </c>
      <c r="BV32" s="464" t="str">
        <f>IF(BD32="","",IF(AND($AG$3=$AG$1,BE32&lt;=$AZ$1),0,IF(OR(Main!$H$10=Main!$BH$4,Main!$H$10=Main!$BH$5),0,LOOKUP(BT32*DAY(EOMONTH(BE32,0))/(DAY(BF32)-DAY(BE32)+1),$H$184:$I$189))))</f>
        <v/>
      </c>
      <c r="BW32" s="503">
        <f t="shared" si="70"/>
        <v>1</v>
      </c>
      <c r="BX32" s="457">
        <f t="shared" si="71"/>
        <v>0</v>
      </c>
      <c r="BY32" s="457"/>
      <c r="BZ32" s="457"/>
      <c r="CA32" s="457"/>
      <c r="CB32" s="461"/>
      <c r="CC32" s="499" t="str">
        <f t="shared" si="57"/>
        <v/>
      </c>
      <c r="CD32" s="500" t="str">
        <f t="shared" si="86"/>
        <v/>
      </c>
      <c r="CE32" s="484" t="str">
        <f>IF(CD32="","",MIN(EOMONTH(CD32,0),VLOOKUP(CD32,'IN RPS-2015'!$O$164:$P$202,2,TRUE)-1,LOOKUP(CD32,$E$47:$F$53)-1,IF(CD32&lt;$B$2,$B$2-1,'IN RPS-2015'!$Q$9),IF(CD32&lt;$B$3,$B$3-1,'IN RPS-2015'!$Q$9),IF(CD32&lt;$B$4,$B$4-1,'IN RPS-2015'!$Q$9),LOOKUP(CD32,$H$47:$I$53)))</f>
        <v/>
      </c>
      <c r="CF32" s="490" t="str">
        <f>IF(CD32="","",VLOOKUP(CD32,'IN RPS-2015'!$T$207:$Y$222,5))</f>
        <v/>
      </c>
      <c r="CG32" s="461" t="str">
        <f t="shared" si="72"/>
        <v/>
      </c>
      <c r="CH32" s="461" t="str">
        <f>IF(CD32="","",IF(AND($CA$3=$CA$1,CD32&lt;=$CT$1),0,ROUND(IF(CV32=3,0,IF(CV32=2,IF(CF32=VLOOKUP(CF32,'IN RPS-2015'!$I$2:$J$5,1),0,Main!$H$9)/2,IF(CF32=VLOOKUP(CF32,'IN RPS-2015'!$I$2:$J$5,1),0,Main!$H$9)))*(DAY(CE32)-DAY(CD32)+1)/DAY(EOMONTH(CD32,0)),0)))</f>
        <v/>
      </c>
      <c r="CI32" s="461" t="str">
        <f>IF(CD32="","",IF(AND($CA$3=$CA$1,CD32&lt;=$CT$1),0,IF(CF32=VLOOKUP(CF32,'IN RPS-2015'!$I$2:$J$5,1),0,ROUND(CG32*VLOOKUP(CD32,$BZ$4:$CA$7,2)%,0))))</f>
        <v/>
      </c>
      <c r="CJ32" s="461" t="str">
        <f>IF(CD32="","",IF(AND($CA$3=$CA$1,CD32&lt;=$CT$1),0,IF(OR(CV32=3,CF32=VLOOKUP(CF32,'IN RPS-2015'!$I$2:$J$5,1)),0,ROUND(MIN(ROUND(CF32*VLOOKUP(CD32,$B$1:$G$4,2)%,0),VLOOKUP(CD32,$B$2:$I$4,IF($CA$3=$I$29,7,8),TRUE))*(DAY(CE32)-DAY(CD32)+1)/DAY(EOMONTH(CD32,0)),0))))</f>
        <v/>
      </c>
      <c r="CK32" s="491" t="str">
        <f>IF(CD32="","",IF(AND($CA$3=$CA$1,CD32&lt;=$CT$1),0,IF(Main!$C$26="UGC",0,IF(OR(CD32&lt;DATE(2010,4,1),$I$6=VLOOKUP(CD32,$B$2:$G$4,5,TRUE),CF32=VLOOKUP(CF32,'IN RPS-2015'!$I$2:$J$5,1)),0,ROUND(IF(CV32=3,0,IF(CV32=2,MIN(ROUND(CF32*$G$13%,0),IF(CD32&lt;$J$152,$G$14,$G$15))/2,MIN(ROUND(CF32*$G$13%,0),IF(CD32&lt;$J$152,$G$14,$G$15))))*(DAY(CE32)-DAY(CD32)+1)/DAY(EOMONTH(CD32,0)),0)))))</f>
        <v/>
      </c>
      <c r="CL32" s="461" t="str">
        <f>IF(CD32="","",IF(AND($CA$3=$CA$1,CD32&lt;=$CT$1),0,IF(Main!$C$26="UGC",0,IF(CF32=VLOOKUP(CF32,'IN RPS-2015'!$I$2:$J$5,1),0,ROUND(CG32*VLOOKUP(CD32,$BZ$11:$CA$12,2)%,0)))))</f>
        <v/>
      </c>
      <c r="CM32" s="461" t="str">
        <f>IF(CD32="","",IF(AND($CA$3=$CA$1,CD32&lt;=$CT$1),0,IF(Main!$C$26="UGC",0,IF(CD32&lt;DATE(2010,4,1),0,IF(OR(CV32=2,CV32=3,CF32=VLOOKUP(CF32,'IN RPS-2015'!$I$2:$J$5,1)),0,ROUND(IF(CD32&lt;$J$152,VLOOKUP(CD32,$B$1:$G$4,4),VLOOKUP(VLOOKUP(CD32,$B$1:$G$4,4),Main!$CE$2:$CF$5,2,FALSE))*(DAY(CE32)-DAY(CD32)+1)/DAY(EOMONTH(CD32,0)),0))))))</f>
        <v/>
      </c>
      <c r="CN32" s="461" t="str">
        <f>IF(CD32="","",IF(AND($CA$3=$CA$1,CD32&lt;=$CT$1),0,IF(OR(CV32=2,CV32=3,$D$31=$D$28,CF32=VLOOKUP(CF32,'IN RPS-2015'!$I$2:$J$5,1)),0,ROUND(MIN(VLOOKUP(CC32,$A$27:$C$29,2,TRUE),ROUND(CF32*VLOOKUP(CC32,$A$27:$C$29,3,TRUE)%,0))*IF(CC32=$A$36,$C$36,IF(CC32=$A$37,$C$37,IF(CC32=$A$38,$C$38,IF(CC32=$A$39,$C$39,IF(CC32=$A$40,$C$40,IF(CC32=$A$41,$C$41,1))))))*(DAY(CE32)-DAY(CD32)+1)/DAY(EOMONTH(CD32,0)),0))))</f>
        <v/>
      </c>
      <c r="CO32" s="461" t="str">
        <f>IF(CD32="","",IF(AND($CA$3=$CA$1,CD32&lt;=$CT$1),0,IF(Main!$C$26="UGC",0,IF(OR(CV32=3,CF32=VLOOKUP(CF32,'IN RPS-2015'!$I$2:$J$5,1)),0,ROUND(IF(CV32=2,VLOOKUP(CF32,IF($CA$3=$I$29,$A$20:$E$23,$F$144:$J$147),IF($B$19=VLOOKUP(CD32,$B$2:$G$4,3,TRUE),2,IF($C$19=VLOOKUP(CD32,$B$2:$G$4,3,TRUE),3,IF($D$19=VLOOKUP(CD32,$B$2:$G$4,3,TRUE),4,5))),TRUE),VLOOKUP(CF32,IF($CA$3=$I$29,$A$20:$E$23,$F$144:$J$147),IF($B$19=VLOOKUP(CD32,$B$2:$G$4,3,TRUE),2,IF($C$19=VLOOKUP(CD32,$B$2:$G$4,3,TRUE),3,IF($D$19=VLOOKUP(CD32,$B$2:$G$4,3,TRUE),4,5))),TRUE))*(DAY(CE32)-DAY(CD32)+1)/DAY(EOMONTH(CD32,0)),0)))))</f>
        <v/>
      </c>
      <c r="CP32" s="461" t="str">
        <f>IF(CD32="","",IF(AND($CA$3=$CA$1,CD32&lt;=$CT$1),0,IF(Main!$C$26="UGC",0,IF(OR(CC32&lt;DATE(2010,4,1),CV32=3,CF32=VLOOKUP(CF32,'IN RPS-2015'!$I$2:$J$5,1)),0,ROUND(IF(CV32=2,IF(CD32&lt;$J$152,Main!$L$9,Main!$CI$3)/2,IF(CD32&lt;$J$152,Main!$L$9,Main!$CI$3))*(DAY(CE32)-DAY(CD32)+1)/DAY(EOMONTH(CD32,0)),0)))))</f>
        <v/>
      </c>
      <c r="CQ32" s="461"/>
      <c r="CR32" s="461" t="str">
        <f>IF(CD32="","",IF(AND($CA$3=$CA$1,CD32&lt;=$CT$1),0,IF(Main!$C$26="UGC",0,IF(OR(CV32=3,CF32=VLOOKUP(CF32,'IN RPS-2015'!$I$2:$J$5,1)),0,ROUND(IF(CV32=2,VLOOKUP(CG32,IF(CD32&lt;$J$152,$A$154:$E$159,$F$154:$J$159),IF($B$10=VLOOKUP(CC32,$B$2:$G$4,6,TRUE),2,IF($B$10=VLOOKUP(CC32,$B$2:$G$4,6,TRUE),3,IF($D$10=VLOOKUP(CC32,$B$2:$G$4,6,TRUE),4,5))))/2,VLOOKUP(CG32,IF(CD32&lt;$J$152,$A$154:$E$159,$F$154:$J$159),IF($B$10=VLOOKUP(CC32,$B$2:$G$4,6,TRUE),2,IF($B$10=VLOOKUP(CC32,$B$2:$G$4,6,TRUE),3,IF($D$10=VLOOKUP(CC32,$B$2:$G$4,6,TRUE),4,5)))))*(DAY(CE32)-DAY(CD32)+1)/DAY(EOMONTH(CD32,0)),0)))))</f>
        <v/>
      </c>
      <c r="CS32" s="461">
        <f t="shared" si="73"/>
        <v>0</v>
      </c>
      <c r="CT32" s="464" t="str">
        <f>IF(CD32="","",IF(AND($CA$3=$CA$1,CD32&lt;=$CT$1),0,IF(AND(Main!$F$22=Main!$CA$24,CD32&gt;$CT$1),ROUND(SUM(CG32,CI32)*10%,0),"")))</f>
        <v/>
      </c>
      <c r="CU32" s="464" t="str">
        <f>IF(CC32="","",IF(CG32=0,0,IF(OR(Main!$H$10=Main!$BH$4,Main!$H$10=Main!$BH$5),0,LOOKUP(CS32*DAY(EOMONTH(CD32,0))/(DAY(CE32)-DAY(CD32)+1),$H$184:$I$189))))</f>
        <v/>
      </c>
      <c r="CV32" s="457">
        <f t="shared" si="74"/>
        <v>1</v>
      </c>
      <c r="CW32" s="464"/>
      <c r="CX32" s="501" t="str">
        <f t="shared" si="59"/>
        <v/>
      </c>
      <c r="CY32" s="502" t="str">
        <f t="shared" si="87"/>
        <v/>
      </c>
      <c r="CZ32" s="484" t="str">
        <f>IF(CY32="","",MIN(EOMONTH(CY32,0),VLOOKUP(CY32,'IN RPS-2015'!$O$164:$P$202,2,TRUE)-1,LOOKUP(CY32,$E$47:$F$53)-1,IF(CY32&lt;$B$2,$B$2-1,'IN RPS-2015'!$Q$9),IF(CY32&lt;$B$3,$B$3-1,'IN RPS-2015'!$Q$9),IF(CY32&lt;$B$4,$B$4-1,'IN RPS-2015'!$Q$9),LOOKUP(CY32,$H$47:$I$53)))</f>
        <v/>
      </c>
      <c r="DA32" s="493" t="str">
        <f>IF(CY32="","",VLOOKUP(CY32,'IN RPS-2015'!$T$207:$Y$222,6))</f>
        <v/>
      </c>
      <c r="DB32" s="461" t="str">
        <f t="shared" si="75"/>
        <v/>
      </c>
      <c r="DC32" s="461" t="str">
        <f>IF(CY32="","",IF(AND($CA$3=$CA$1,CY32&lt;=$CT$1),0,ROUND(IF(DQ32=3,0,IF(DQ32=2,IF(DA32=VLOOKUP(DA32,'IN RPS-2015'!$I$2:$J$5,1),0,Main!$H$9)/2,IF(DA32=VLOOKUP(DA32,'IN RPS-2015'!$I$2:$J$5,1),0,Main!$H$9)))*(DAY(CZ32)-DAY(CY32)+1)/DAY(EOMONTH(CY32,0)),0)))</f>
        <v/>
      </c>
      <c r="DD32" s="461" t="str">
        <f>IF(CY32="","",IF(AND($CA$3=$CA$1,CY32&lt;=$CT$1),0,IF(DA32=VLOOKUP(DA32,'IN RPS-2015'!$I$2:$J$5,1),0,ROUND(DB32*VLOOKUP(CY32,$BZ$4:$CA$7,2)%,0))))</f>
        <v/>
      </c>
      <c r="DE32" s="461" t="str">
        <f>IF(CY32="","",IF(AND($CA$3=$CA$1,CY32&lt;=$CT$1),0,IF(OR(DQ32=3,DA32=VLOOKUP(DA32,'IN RPS-2015'!$I$2:$J$5,1)),0,ROUND(MIN(ROUND(DA32*VLOOKUP(CY32,$B$1:$G$4,2)%,0),VLOOKUP(CY32,$B$2:$I$4,IF($CA$3=$I$29,7,8),TRUE))*(DAY(CZ32)-DAY(CY32)+1)/DAY(EOMONTH(CY32,0)),0))))</f>
        <v/>
      </c>
      <c r="DF32" s="491" t="str">
        <f>IF(CY32="","",IF(AND($CA$3=$CA$1,CY32&lt;=$CT$1),0,IF(Main!$C$26="UGC",0,IF(OR(CY32&lt;DATE(2010,4,1),$I$6=VLOOKUP(CY32,$B$2:$G$4,5,TRUE),DA32=VLOOKUP(DA32,'IN RPS-2015'!$I$2:$J$5,1)),0,ROUND(IF(DQ32=3,0,IF(DQ32=2,MIN(ROUND(DA32*$G$13%,0),IF(CY32&lt;$J$152,$G$14,$G$15))/2,MIN(ROUND(DA32*$G$13%,0),IF(CY32&lt;$J$152,$G$14,$G$15))))*(DAY(CZ32)-DAY(CY32)+1)/DAY(EOMONTH(CY32,0)),0)))))</f>
        <v/>
      </c>
      <c r="DG32" s="461" t="str">
        <f>IF(CY32="","",IF(AND($CA$3=$CA$1,CY32&lt;=$CT$1),0,IF(Main!$C$26="UGC",0,IF(DA32=VLOOKUP(DA32,'IN RPS-2015'!$I$2:$J$5,1),0,ROUND(DB32*VLOOKUP(CY32,$BZ$11:$CA$12,2)%,0)))))</f>
        <v/>
      </c>
      <c r="DH32" s="461" t="str">
        <f>IF(CY32="","",IF(AND($CA$3=$CA$1,CY32&lt;=$CT$1),0,IF(Main!$C$26="UGC",0,IF(CY32&lt;DATE(2010,4,1),0,IF(OR(DQ32=2,DQ32=3,DA32=VLOOKUP(DA32,'IN RPS-2015'!$I$2:$J$5,1)),0,ROUND(IF(CY32&lt;$J$152,VLOOKUP(CY32,$B$1:$G$4,4),VLOOKUP(VLOOKUP(CY32,$B$1:$G$4,4),Main!$CE$2:$CF$5,2,FALSE))*(DAY(CZ32)-DAY(CY32)+1)/DAY(EOMONTH(CY32,0)),0))))))</f>
        <v/>
      </c>
      <c r="DI32" s="461" t="str">
        <f>IF(CY32="","",IF(AND($CA$3=$CA$1,CY32&lt;=$CT$1),0,IF(OR(DQ32=2,DQ32=3,$D$31=$D$28,DA32=VLOOKUP(DA32,'IN RPS-2015'!$I$2:$J$5,1)),0,ROUND(MIN(VLOOKUP(CX32,$A$27:$C$29,2,TRUE),ROUND(DA32*VLOOKUP(CX32,$A$27:$C$29,3,TRUE)%,0))*IF(CX32=$A$36,$C$36,IF(CX32=$A$37,$C$37,IF(CX32=$A$38,$C$38,IF(CX32=$A$39,$C$39,IF(CX32=$A$40,$C$40,IF(CX32=$A$41,$C$41,1))))))*(DAY(CZ32)-DAY(CY32)+1)/DAY(EOMONTH(CY32,0)),0))))</f>
        <v/>
      </c>
      <c r="DJ32" s="461" t="str">
        <f>IF(CY32="","",IF(AND($CA$3=$CA$1,CY32&lt;=$CT$1),0,IF(Main!$C$26="UGC",0,IF(OR(DQ32=3,DA32=VLOOKUP(DA32,'IN RPS-2015'!$I$2:$J$5,1)),0,ROUND(IF(DQ32=2,VLOOKUP(DA32,IF($CA$3=$I$29,$A$20:$E$23,$F$144:$J$147),IF($B$19=VLOOKUP(CY32,$B$2:$G$4,3,TRUE),2,IF($C$19=VLOOKUP(CY32,$B$2:$G$4,3,TRUE),3,IF($D$19=VLOOKUP(CY32,$B$2:$G$4,3,TRUE),4,5))),TRUE),VLOOKUP(DA32,IF($CA$3=$I$29,$A$20:$E$23,$F$144:$J$147),IF($B$19=VLOOKUP(CY32,$B$2:$G$4,3,TRUE),2,IF($C$19=VLOOKUP(CY32,$B$2:$G$4,3,TRUE),3,IF($D$19=VLOOKUP(CY32,$B$2:$G$4,3,TRUE),4,5))),TRUE))*(DAY(CZ32)-DAY(CY32)+1)/DAY(EOMONTH(CY32,0)),0)))))</f>
        <v/>
      </c>
      <c r="DK32" s="461" t="str">
        <f>IF(CY32="","",IF(AND($CA$3=$CA$1,CY32&lt;=$CT$1),0,IF(Main!$C$26="UGC",0,IF(OR(CX32&lt;DATE(2010,4,1),DQ32=3,DA32=VLOOKUP(DA32,'IN RPS-2015'!$I$2:$J$5,1)),0,ROUND(IF(DQ32=2,IF(CY32&lt;$J$152,Main!$L$9,Main!$CI$3)/2,IF(CY32&lt;$J$152,Main!$L$9,Main!$CI$3))*(DAY(CZ32)-DAY(CY32)+1)/DAY(EOMONTH(CY32,0)),0)))))</f>
        <v/>
      </c>
      <c r="DL32" s="461"/>
      <c r="DM32" s="461" t="str">
        <f>IF(CY32="","",IF(AND($CA$3=$CA$1,CY32&lt;=$CT$1),0,IF(Main!$C$26="UGC",0,IF(OR(DQ32=3,DA32=VLOOKUP(DA32,'IN RPS-2015'!$I$2:$J$5,1)),0,ROUND(IF(DQ32=2,VLOOKUP(DB32,IF(CY32&lt;$J$152,$A$154:$E$159,$F$154:$J$159),IF($B$10=VLOOKUP(CX32,$B$2:$G$4,6,TRUE),2,IF($B$10=VLOOKUP(CX32,$B$2:$G$4,6,TRUE),3,IF($D$10=VLOOKUP(CX32,$B$2:$G$4,6,TRUE),4,5))))/2,VLOOKUP(DB32,IF(CY32&lt;$J$152,$A$154:$E$159,$F$154:$J$159),IF($B$10=VLOOKUP(CX32,$B$2:$G$4,6,TRUE),2,IF($B$10=VLOOKUP(CX32,$B$2:$G$4,6,TRUE),3,IF($D$10=VLOOKUP(CX32,$B$2:$G$4,6,TRUE),4,5)))))*(DAY(CZ32)-DAY(CY32)+1)/DAY(EOMONTH(CY32,0)),0)))))</f>
        <v/>
      </c>
      <c r="DN32" s="461">
        <f t="shared" si="76"/>
        <v>0</v>
      </c>
      <c r="DO32" s="464" t="str">
        <f>IF(CY32="","",IF(AND($CA$3=$CA$1,CY32&lt;=$CT$1),0,IF(AND(Main!$F$22=Main!$CA$24,CY32&gt;$CT$1),ROUND(SUM(DB32,DD32)*10%,0),"")))</f>
        <v/>
      </c>
      <c r="DP32" s="464" t="str">
        <f>IF(CX32="","",IF(AND($CA$3=$CA$1,CY32&lt;=$CT$1),0,IF(OR(Main!$H$10=Main!$BH$4,Main!$H$10=Main!$BH$5),0,LOOKUP(DN32*DAY(EOMONTH(CY32,0))/(DAY(CZ32)-DAY(CY32)+1),$H$184:$I$189))))</f>
        <v/>
      </c>
      <c r="DQ32" s="457">
        <f t="shared" si="60"/>
        <v>1</v>
      </c>
      <c r="DR32" s="457">
        <f t="shared" si="77"/>
        <v>0</v>
      </c>
      <c r="DS32" s="457"/>
      <c r="DT32" s="457"/>
      <c r="DU32" s="457"/>
      <c r="DV32" s="461"/>
      <c r="DW32" s="499" t="str">
        <f t="shared" si="61"/>
        <v/>
      </c>
      <c r="DX32" s="500" t="str">
        <f t="shared" si="88"/>
        <v/>
      </c>
      <c r="DY32" s="484" t="str">
        <f>IF(DX32="","",MIN(EOMONTH(DX32,0),VLOOKUP(DX32,'IN RPS-2015'!$O$164:$P$202,2,TRUE)-1,LOOKUP(DX32,$E$47:$F$53)-1,IF(DX32&lt;$B$2,$B$2-1,'IN RPS-2015'!$Q$9),IF(DX32&lt;$B$3,$B$3-1,'IN RPS-2015'!$Q$9),IF(DX32&lt;$B$4,$B$4-1,'IN RPS-2015'!$Q$9),LOOKUP(DX32,$H$47:$I$53)))</f>
        <v/>
      </c>
      <c r="DZ32" s="490" t="str">
        <f>IF(DX32="","",VLOOKUP(DX32,'IN RPS-2015'!$P$164:$AA$202,11))</f>
        <v/>
      </c>
      <c r="EA32" s="461" t="str">
        <f t="shared" si="78"/>
        <v/>
      </c>
      <c r="EB32" s="461" t="str">
        <f>IF(DX32="","",ROUND(IF(EP32=3,0,IF(EP32=2,IF(DZ32=VLOOKUP(DZ32,'IN RPS-2015'!$I$2:$J$5,1),0,Main!$H$9)/2,IF(DZ32=VLOOKUP(DZ32,'IN RPS-2015'!$I$2:$J$5,1),0,Main!$H$9)))*(DAY(DY32)-DAY(DX32)+1)/DAY(EOMONTH(DX32,0)),0))</f>
        <v/>
      </c>
      <c r="EC32" s="461" t="str">
        <f>IF(DX32="","",IF(DZ32=VLOOKUP(DZ32,'IN RPS-2015'!$I$2:$J$5,1),0,ROUND(EA32*VLOOKUP(DX32,$DT$4:$DU$7,2)%,0)))</f>
        <v/>
      </c>
      <c r="ED32" s="461" t="str">
        <f>IF(DX32="","",IF(OR(EP32=3,DZ32=VLOOKUP(DZ32,'IN RPS-2015'!$I$2:$J$5,1)),0,ROUND(MIN(ROUND(DZ32*VLOOKUP(DX32,$B$1:$G$4,2)%,0),VLOOKUP(DX32,$B$2:$I$4,IF($DU$3=$I$29,7,8),TRUE))*(DAY(DY32)-DAY(DX32)+1)/DAY(EOMONTH(DX32,0)),0)))</f>
        <v/>
      </c>
      <c r="EE32" s="491" t="str">
        <f>IF(DX32="","",IF(Main!$C$26="UGC",0,IF(OR(DX32&lt;DATE(2010,4,1),$I$6=VLOOKUP(DX32,$B$2:$G$4,5,TRUE),DZ32=VLOOKUP(DZ32,'IN RPS-2015'!$I$2:$J$5,1)),0,ROUND(IF(EP32=3,0,IF(EP32=2,MIN(ROUND(DZ32*$G$13%,0),IF(DX32&lt;$I$152,$G$14,$G$15))/2,MIN(ROUND(DZ32*$G$13%,0),IF(DX32&lt;$I$152,$G$14,$G$15))))*(DAY(DY32)-DAY(DX32)+1)/DAY(EOMONTH(DX32,0)),0))))</f>
        <v/>
      </c>
      <c r="EF32" s="461" t="str">
        <f>IF(DX32="","",IF(Main!$C$26="UGC",0,IF(DZ32=VLOOKUP(DZ32,'IN RPS-2015'!$I$2:$J$5,1),0,ROUND(EA32*VLOOKUP(DX32,$DT$11:$DU$12,2)%,0))))</f>
        <v/>
      </c>
      <c r="EG32" s="461" t="str">
        <f>IF(DX32="","",IF(Main!$C$26="UGC",0,IF(DX32&lt;DATE(2010,4,1),0,IF(OR(EP32=2,EP32=3,DZ32=VLOOKUP(DZ32,'IN RPS-2015'!$I$2:$J$5,1)),0,ROUND(IF(DX32&lt;$I$152,VLOOKUP(DX32,$B$1:$G$4,4),VLOOKUP(VLOOKUP(DX32,$B$1:$G$4,4),Main!$CE$2:$CF$5,2,FALSE))*(DAY(DY32)-DAY(DX32)+1)/DAY(EOMONTH(DX32,0)),0)))))</f>
        <v/>
      </c>
      <c r="EH32" s="461" t="str">
        <f>IF(DX32="","",IF(OR(EP32=2,EP32=3,$D$31=$D$28,DZ32=VLOOKUP(DZ32,'IN RPS-2015'!$I$2:$J$5,1)),0,ROUND(MIN(IF(DX32&lt;$I$152,900,1350),ROUND(DZ32*VLOOKUP(DW32,$A$27:$C$29,3,TRUE)%,0))*IF(DW32=$A$36,$C$36,IF(DW32=$A$37,$C$37,IF(DW32=$A$38,$C$38,IF(DW32=$A$39,$C$39,IF(DW32=$A$40,$C$40,IF(DW32=$A$41,$C$41,1))))))*(DAY(DY32)-DAY(DX32)+1)/DAY(EOMONTH(DX32,0)),0)))</f>
        <v/>
      </c>
      <c r="EI32" s="461" t="str">
        <f>IF(DX32="","",IF(Main!$C$26="UGC",0,IF(OR(EP32=3,DZ32=VLOOKUP(DZ32,'IN RPS-2015'!$I$2:$J$5,1)),0,ROUND(IF(EP32=2,VLOOKUP(DZ32,IF($DU$3=$I$29,$A$20:$E$23,$F$144:$J$147),IF($B$19=VLOOKUP(DX32,$B$2:$G$4,3,TRUE),2,IF($C$19=VLOOKUP(DX32,$B$2:$G$4,3,TRUE),3,IF($D$19=VLOOKUP(DX32,$B$2:$G$4,3,TRUE),4,5))),TRUE),VLOOKUP(DZ32,IF($DU$3=$I$29,$A$20:$E$23,$F$144:$J$147),IF($B$19=VLOOKUP(DX32,$B$2:$G$4,3,TRUE),2,IF($C$19=VLOOKUP(DX32,$B$2:$G$4,3,TRUE),3,IF($D$19=VLOOKUP(DX32,$B$2:$G$4,3,TRUE),4,5))),TRUE))*(DAY(DY32)-DAY(DX32)+1)/DAY(EOMONTH(DX32,0)),0))))</f>
        <v/>
      </c>
      <c r="EJ32" s="461" t="str">
        <f>IF(DX32="","",IF(Main!$C$26="UGC",0,IF(OR(DW32&lt;DATE(2010,4,1),EP32=3,DZ32=VLOOKUP(DZ32,'IN RPS-2015'!$I$2:$J$5,1)),0,ROUND(IF(EP32=2,IF(DX32&lt;$I$152,Main!$L$9,Main!$CI$3)/2,IF(DX32&lt;$I$152,Main!$L$9,Main!$CI$3))*(DAY(DY32)-DAY(DX32)+1)/DAY(EOMONTH(DX32,0)),0))))</f>
        <v/>
      </c>
      <c r="EK32" s="461"/>
      <c r="EL32" s="461" t="str">
        <f>IF(DX32="","",IF(Main!$C$26="UGC",0,IF(OR(EP32=3,DZ32=VLOOKUP(DZ32,'IN RPS-2015'!$I$2:$J$5,1)),0,ROUND(IF(EP32=2,VLOOKUP(EA32,IF(DX32&lt;$I$152,$A$154:$E$159,$F$154:$J$159),IF($B$10=VLOOKUP(DW32,$B$2:$G$4,6,TRUE),2,IF($B$10=VLOOKUP(DW32,$B$2:$G$4,6,TRUE),3,IF($D$10=VLOOKUP(DW32,$B$2:$G$4,6,TRUE),4,5))))/2,VLOOKUP(EA32,IF(DX32&lt;$I$152,$A$154:$E$159,$F$154:$J$159),IF($B$10=VLOOKUP(DW32,$B$2:$G$4,6,TRUE),2,IF($B$10=VLOOKUP(DW32,$B$2:$G$4,6,TRUE),3,IF($D$10=VLOOKUP(DW32,$B$2:$G$4,6,TRUE),4,5)))))*(DAY(DY32)-DAY(DX32)+1)/DAY(EOMONTH(DX32,0)),0))))</f>
        <v/>
      </c>
      <c r="EM32" s="461">
        <f t="shared" si="79"/>
        <v>0</v>
      </c>
      <c r="EN32" s="464" t="str">
        <f>IF(DX32="","",IF(AND(Main!$F$22=Main!$CA$24,DX32&gt;$EN$1),ROUND(SUM(EA32,EC32)*10%,0),""))</f>
        <v/>
      </c>
      <c r="EO32" s="464" t="str">
        <f>IF(DW32="","",IF(EA32=0,0,IF(OR(Main!$H$10=Main!$BH$4,Main!$H$10=Main!$BH$5),0,LOOKUP(EM32*DAY(EOMONTH(DX32,0))/(DAY(DY32)-DAY(DX32)+1),$H$184:$I$189))))</f>
        <v/>
      </c>
      <c r="EP32" s="457">
        <f t="shared" si="62"/>
        <v>1</v>
      </c>
      <c r="ET32" s="461"/>
      <c r="EU32" s="499" t="str">
        <f t="shared" si="63"/>
        <v/>
      </c>
      <c r="EV32" s="500" t="str">
        <f t="shared" si="89"/>
        <v/>
      </c>
      <c r="EW32" s="484" t="str">
        <f>IF(EV32="","",MIN(EOMONTH(EV32,0),VLOOKUP(EV32,'IN RPS-2015'!$O$164:$P$202,2,TRUE)-1,LOOKUP(EV32,$E$47:$F$53)-1,IF(EV32&lt;$B$2,$B$2-1,'IN RPS-2015'!$Q$9),IF(EV32&lt;$B$3,$B$3-1,'IN RPS-2015'!$Q$9),IF(EV32&lt;$B$4,$B$4-1,'IN RPS-2015'!$Q$9),LOOKUP(EV32,$H$47:$I$53)))</f>
        <v/>
      </c>
      <c r="EX32" s="490" t="str">
        <f>IF(EV32="","",VLOOKUP(EV32,'IN RPS-2015'!$P$164:$AA$202,12))</f>
        <v/>
      </c>
      <c r="EY32" s="461" t="str">
        <f t="shared" si="80"/>
        <v/>
      </c>
      <c r="EZ32" s="461" t="str">
        <f>IF(EV32="","",ROUND(IF(FN32=3,0,IF(FN32=2,IF(EX32=VLOOKUP(EX32,'IN RPS-2015'!$I$2:$J$5,1),0,Main!$H$9)/2,IF(EX32=VLOOKUP(EX32,'IN RPS-2015'!$I$2:$J$5,1),0,Main!$H$9)))*(DAY(EW32)-DAY(EV32)+1)/DAY(EOMONTH(EV32,0)),0))</f>
        <v/>
      </c>
      <c r="FA32" s="461" t="str">
        <f>IF(EV32="","",IF(EX32=VLOOKUP(EX32,'IN RPS-2015'!$I$2:$J$5,1),0,ROUND(EY32*VLOOKUP(EV32,$ER$4:$ES$7,2)%,0)))</f>
        <v/>
      </c>
      <c r="FB32" s="461" t="str">
        <f>IF(EV32="","",IF(OR(FN32=3,EX32=VLOOKUP(EX32,'IN RPS-2015'!$I$2:$J$5,1)),0,ROUND(MIN(ROUND(EX32*VLOOKUP(EV32,$B$1:$G$4,2)%,0),VLOOKUP(EV32,$B$2:$I$4,IF($ES$3=$I$29,7,8),TRUE))*(DAY(EW32)-DAY(EV32)+1)/DAY(EOMONTH(EV32,0)),0)))</f>
        <v/>
      </c>
      <c r="FC32" s="491" t="str">
        <f>IF(EV32="","",IF(Main!$C$26="UGC",0,IF(OR(EV32&lt;DATE(2010,4,1),$I$6=VLOOKUP(EV32,$B$2:$G$4,5,TRUE),EX32=VLOOKUP(EX32,'IN RPS-2015'!$I$2:$J$5,1)),0,ROUND(IF(FN32=3,0,IF(FN32=2,MIN(ROUND(EX32*$G$13%,0),IF(EV32&lt;$J$152,$G$14,$G$15))/2,MIN(ROUND(EX32*$G$13%,0),IF(EV32&lt;$J$152,$G$14,$G$15))))*(DAY(EW32)-DAY(EV32)+1)/DAY(EOMONTH(EV32,0)),0))))</f>
        <v/>
      </c>
      <c r="FD32" s="461" t="str">
        <f>IF(EV32="","",IF(Main!$C$26="UGC",0,IF(EX32=VLOOKUP(EX32,'IN RPS-2015'!$I$2:$J$5,1),0,ROUND(EY32*VLOOKUP(EV32,$ER$11:$ES$12,2)%,0))))</f>
        <v/>
      </c>
      <c r="FE32" s="461" t="str">
        <f>IF(EV32="","",IF(Main!$C$26="UGC",0,IF(EV32&lt;DATE(2010,4,1),0,IF(OR(FN32=2,FN32=3,EX32=VLOOKUP(EX32,'IN RPS-2015'!$I$2:$J$5,1)),0,ROUND(IF(EV32&lt;$J$152,VLOOKUP(EV32,$B$1:$G$4,4),VLOOKUP(VLOOKUP(EV32,$B$1:$G$4,4),Main!$CE$2:$CF$5,2,FALSE))*(DAY(EW32)-DAY(EV32)+1)/DAY(EOMONTH(EV32,0)),0)))))</f>
        <v/>
      </c>
      <c r="FF32" s="461" t="str">
        <f>IF(EV32="","",IF(OR(FN32=2,FN32=3,$D$31=$D$28,EX32=VLOOKUP(EX32,'IN RPS-2015'!$I$2:$J$5,1)),0,ROUND(MIN(VLOOKUP(EU32,$A$27:$C$29,2,TRUE),ROUND(EX32*VLOOKUP(EU32,$A$27:$C$29,3,TRUE)%,0))*IF(EU32=$A$36,$C$36,IF(EU32=$A$37,$C$37,IF(EU32=$A$38,$C$38,IF(EU32=$A$39,$C$39,IF(EU32=$A$40,$C$40,IF(EU32=$A$41,$C$41,1))))))*(DAY(EW32)-DAY(EV32)+1)/DAY(EOMONTH(EV32,0)),0)))</f>
        <v/>
      </c>
      <c r="FG32" s="461" t="str">
        <f>IF(EV32="","",IF(Main!$C$26="UGC",0,IF(OR(FN32=3,EX32=VLOOKUP(EX32,'IN RPS-2015'!$I$2:$J$5,1)),0,ROUND(IF(FN32=2,VLOOKUP(EX32,IF($ES$3=$I$29,$A$20:$E$23,$F$144:$J$147),IF($B$19=VLOOKUP(EV32,$B$2:$G$4,3,TRUE),2,IF($C$19=VLOOKUP(EV32,$B$2:$G$4,3,TRUE),3,IF($D$19=VLOOKUP(EV32,$B$2:$G$4,3,TRUE),4,5))),TRUE),VLOOKUP(EX32,IF($ES$3=$I$29,$A$20:$E$23,$F$144:$J$147),IF($B$19=VLOOKUP(EV32,$B$2:$G$4,3,TRUE),2,IF($C$19=VLOOKUP(EV32,$B$2:$G$4,3,TRUE),3,IF($D$19=VLOOKUP(EV32,$B$2:$G$4,3,TRUE),4,5))),TRUE))*(DAY(EW32)-DAY(EV32)+1)/DAY(EOMONTH(EV32,0)),0))))</f>
        <v/>
      </c>
      <c r="FH32" s="461" t="str">
        <f>IF(EV32="","",IF(Main!$C$26="UGC",0,IF(OR(EU32&lt;DATE(2010,4,1),FN32=3,EX32=VLOOKUP(EX32,'IN RPS-2015'!$I$2:$J$5,1)),0,ROUND(IF(FN32=2,IF(EV32&lt;$J$152,Main!$L$9,Main!$CI$3)/2,IF(EV32&lt;$J$152,Main!$L$9,Main!$CI$3))*(DAY(EW32)-DAY(EV32)+1)/DAY(EOMONTH(EV32,0)),0))))</f>
        <v/>
      </c>
      <c r="FI32" s="461"/>
      <c r="FJ32" s="461" t="str">
        <f>IF(EV32="","",IF(Main!$C$26="UGC",0,IF(OR(FN32=3,EX32=VLOOKUP(EX32,'IN RPS-2015'!$I$2:$J$5,1)),0,ROUND(IF(FN32=2,VLOOKUP(EY32,IF(EV32&lt;$J$152,$A$154:$E$159,$F$154:$J$159),IF($B$10=VLOOKUP(EU32,$B$2:$G$4,6,TRUE),2,IF($B$10=VLOOKUP(EU32,$B$2:$G$4,6,TRUE),3,IF($D$10=VLOOKUP(EU32,$B$2:$G$4,6,TRUE),4,5))))/2,VLOOKUP(EY32,IF(EV32&lt;$J$152,$A$154:$E$159,$F$154:$J$159),IF($B$10=VLOOKUP(EU32,$B$2:$G$4,6,TRUE),2,IF($B$10=VLOOKUP(EU32,$B$2:$G$4,6,TRUE),3,IF($D$10=VLOOKUP(EU32,$B$2:$G$4,6,TRUE),4,5)))))*(DAY(EW32)-DAY(EV32)+1)/DAY(EOMONTH(EV32,0)),0))))</f>
        <v/>
      </c>
      <c r="FK32" s="461">
        <f t="shared" si="81"/>
        <v>0</v>
      </c>
      <c r="FL32" s="464" t="str">
        <f>IF(EV32="","",IF(AND(Main!$F$22=Main!$CA$24,EV32&gt;$FL$1),ROUND(SUM(EY32,FA32)*10%,0),""))</f>
        <v/>
      </c>
      <c r="FM32" s="464" t="str">
        <f>IF(EU32="","",IF(EY32=0,0,IF(OR(Main!$H$10=Main!$BH$4,Main!$H$10=Main!$BH$5),0,LOOKUP(FK32*DAY(EOMONTH(EV32,0))/(DAY(EW32)-DAY(EV32)+1),$H$184:$I$189))))</f>
        <v/>
      </c>
      <c r="FN32" s="457">
        <f t="shared" si="64"/>
        <v>1</v>
      </c>
    </row>
    <row r="33" spans="1:170">
      <c r="AH33" s="461"/>
      <c r="AI33" s="499" t="str">
        <f t="shared" si="54"/>
        <v/>
      </c>
      <c r="AJ33" s="500" t="str">
        <f t="shared" si="84"/>
        <v/>
      </c>
      <c r="AK33" s="484" t="str">
        <f>IF(AJ33="","",MIN(EOMONTH(AJ33,0),VLOOKUP(AJ33,'IN RPS-2015'!$O$164:$P$202,2,TRUE)-1,LOOKUP(AJ33,$E$47:$F$53)-1,IF(AJ33&lt;$B$2,$B$2-1,'IN RPS-2015'!$Q$9),IF(AJ33&lt;$B$3,$B$3-1,'IN RPS-2015'!$Q$9),IF(AJ33&lt;$B$4,$B$4-1,'IN RPS-2015'!$Q$9),LOOKUP(AJ33,$H$47:$I$53)))</f>
        <v/>
      </c>
      <c r="AL33" s="490" t="str">
        <f>IF(AJ33="","",VLOOKUP(AJ33,'IN RPS-2015'!$P$164:$AA$202,9))</f>
        <v/>
      </c>
      <c r="AM33" s="461" t="str">
        <f t="shared" si="66"/>
        <v/>
      </c>
      <c r="AN33" s="461" t="str">
        <f>IF(AJ33="","",IF(AND($AG$3=$AG$1,AJ33&lt;=$AZ$1),0,ROUND(IF(BB33=3,0,IF(BB33=2,IF(AL33=VLOOKUP(AL33,'IN RPS-2015'!$I$2:$J$5,1),0,Main!$H$9)/2,IF(AL33=VLOOKUP(AL33,'IN RPS-2015'!$I$2:$J$5,1),0,Main!$H$9)))*(DAY(AK33)-DAY(AJ33)+1)/DAY(EOMONTH(AJ33,0)),0)))</f>
        <v/>
      </c>
      <c r="AO33" s="461" t="str">
        <f>IF(AJ33="","",IF(AND($AG$3=$AG$1,AJ33&lt;=$AZ$1),0,IF(AL33=VLOOKUP(AL33,'IN RPS-2015'!$I$2:$J$5,1),0,ROUND(AM33*VLOOKUP(AJ33,$AF$4:$AG$7,2)%,0))))</f>
        <v/>
      </c>
      <c r="AP33" s="461" t="str">
        <f>IF(AJ33="","",IF(AND($AG$3=$AG$1,AJ33&lt;=$AZ$1),0,IF(OR(BB33=3,AL33=VLOOKUP(AL33,'IN RPS-2015'!$I$2:$J$5,1)),0,ROUND(MIN(ROUND(AL33*VLOOKUP(AJ33,$B$1:$G$4,2)%,0),VLOOKUP(AJ33,$B$2:$I$4,IF($AG$3=$I$29,7,8),TRUE))*(DAY(AK33)-DAY(AJ33)+1)/DAY(EOMONTH(AJ33,0)),0))))</f>
        <v/>
      </c>
      <c r="AQ33" s="491" t="str">
        <f>IF(AJ33="","",IF(AND($AG$3=$AG$1,AJ33&lt;=$AZ$1),0,IF(Main!$C$26="UGC",0,IF(OR(AJ33&lt;DATE(2010,4,1),$I$6=VLOOKUP(AJ33,$B$2:$G$4,5,TRUE),AL33=VLOOKUP(AL33,'IN RPS-2015'!$I$2:$J$5,1)),0,ROUND(IF(BB33=3,0,IF(BB33=2,MIN(ROUND(AL33*$G$13%,0),IF(AJ33&lt;$J$152,$G$14,$G$15))/2,MIN(ROUND(AL33*$G$13%,0),IF(AJ33&lt;$J$152,$G$14,$G$15))))*(DAY(AK33)-DAY(AJ33)+1)/DAY(EOMONTH(AJ33,0)),0)))))</f>
        <v/>
      </c>
      <c r="AR33" s="461" t="str">
        <f>IF(AJ33="","",IF(AND($AG$3=$AG$1,AJ33&lt;=$AZ$1),0,IF(Main!$C$26="UGC",0,IF(AL33=VLOOKUP(AL33,'IN RPS-2015'!$I$2:$J$5,1),0,ROUND(AM33*VLOOKUP(AJ33,$AF$11:$AG$12,2)%,0)))))</f>
        <v/>
      </c>
      <c r="AS33" s="461" t="str">
        <f>IF(AJ33="","",IF(AND($AG$3=$AG$1,AJ33&lt;=$AZ$1),0,IF(Main!$C$26="UGC",0,IF(AJ33&lt;DATE(2010,4,1),0,IF(OR(BB33=2,BB33=3,AL33=VLOOKUP(AL33,'IN RPS-2015'!$I$2:$J$5,1)),0,ROUND(IF(AJ33&lt;$J$152,VLOOKUP(AJ33,$B$1:$G$4,4),VLOOKUP(VLOOKUP(AJ33,$B$1:$G$4,4),Main!$CE$2:$CF$5,2,FALSE))*(DAY(AK33)-DAY(AJ33)+1)/DAY(EOMONTH(AJ33,0)),0))))))</f>
        <v/>
      </c>
      <c r="AT33" s="461" t="str">
        <f>IF(AJ33="","",IF(AND($AG$3=$AG$1,AJ33&lt;=$AZ$1),0,IF(OR(BB33=2,BB33=3,$D$31=$D$28,AL33=VLOOKUP(AL33,'IN RPS-2015'!$I$2:$J$5,1)),0,ROUND(MIN(VLOOKUP(AI33,$A$27:$C$29,2,TRUE),ROUND(AL33*VLOOKUP(AI33,$A$27:$C$29,3,TRUE)%,0))*IF(AI33=$A$36,$C$36,IF(AI33=$A$37,$C$37,IF(AI33=$A$38,$C$38,IF(AI33=$A$39,$C$39,IF(AI33=$A$40,$C$40,IF(AI33=$A$41,$C$41,1))))))*(DAY(AK33)-DAY(AJ33)+1)/DAY(EOMONTH(AJ33,0)),0))))</f>
        <v/>
      </c>
      <c r="AU33" s="461" t="str">
        <f>IF(AJ33="","",IF(AND($AG$3=$AG$1,AJ33&lt;=$AZ$1),0,IF(Main!$C$26="UGC",0,IF(OR(BB33=3,AL33=VLOOKUP(AL33,'IN RPS-2015'!$I$2:$J$5,1)),0,ROUND(IF(BB33=2,VLOOKUP(AL33,IF($AG$3=$I$29,$A$20:$E$23,$F$144:$J$147),IF($B$19=VLOOKUP(AJ33,$B$2:$G$4,3,TRUE),2,IF($C$19=VLOOKUP(AJ33,$B$2:$G$4,3,TRUE),3,IF($D$19=VLOOKUP(AJ33,$B$2:$G$4,3,TRUE),4,5))),TRUE),VLOOKUP(AL33,IF($AG$3=$I$29,$A$20:$E$23,$F$144:$J$147),IF($B$19=VLOOKUP(AJ33,$B$2:$G$4,3,TRUE),2,IF($C$19=VLOOKUP(AJ33,$B$2:$G$4,3,TRUE),3,IF($D$19=VLOOKUP(AJ33,$B$2:$G$4,3,TRUE),4,5))),TRUE))*(DAY(AK33)-DAY(AJ33)+1)/DAY(EOMONTH(AJ33,0)),0)))))</f>
        <v/>
      </c>
      <c r="AV33" s="461" t="str">
        <f>IF(AJ33="","",IF(AND($AG$3=$AG$1,AJ33&lt;=$AZ$1),0,IF(Main!$C$26="UGC",0,IF(OR(AI33&lt;DATE(2010,4,1),BB33=3,AL33=VLOOKUP(AL33,'IN RPS-2015'!$I$2:$J$5,1)),0,ROUND(IF(BB33=2,IF(AJ33&lt;$J$152,Main!$L$9,Main!$CI$3)/2,IF(AJ33&lt;$J$152,Main!$L$9,Main!$CI$3))*(DAY(AK33)-DAY(AJ33)+1)/DAY(EOMONTH(AJ33,0)),0)))))</f>
        <v/>
      </c>
      <c r="AW33" s="461"/>
      <c r="AX33" s="461" t="str">
        <f>IF(AJ33="","",IF(AND($AG$3=$AG$1,AJ33&lt;=$AZ$1),0,IF(Main!$C$26="UGC",0,IF(OR(BB33=3,AL33=VLOOKUP(AL33,'IN RPS-2015'!$I$2:$J$5,1)),0,ROUND(IF(BB33=2,VLOOKUP(AM33,IF(AJ33&lt;$J$152,$A$154:$E$159,$F$154:$J$159),IF($B$10=VLOOKUP(AI33,$B$2:$G$4,6,TRUE),2,IF($B$10=VLOOKUP(AI33,$B$2:$G$4,6,TRUE),3,IF($D$10=VLOOKUP(AI33,$B$2:$G$4,6,TRUE),4,5))))/2,VLOOKUP(AM33,IF(AJ33&lt;$J$152,$A$154:$E$159,$F$154:$J$159),IF($B$10=VLOOKUP(AI33,$B$2:$G$4,6,TRUE),2,IF($B$10=VLOOKUP(AI33,$B$2:$G$4,6,TRUE),3,IF($D$10=VLOOKUP(AI33,$B$2:$G$4,6,TRUE),4,5)))))*(DAY(AK33)-DAY(AJ33)+1)/DAY(EOMONTH(AJ33,0)),0)))))</f>
        <v/>
      </c>
      <c r="AY33" s="461">
        <f t="shared" si="67"/>
        <v>0</v>
      </c>
      <c r="AZ33" s="464" t="str">
        <f>IF(AJ33="","",IF(AND($AG$3=$AG$1,AJ33&lt;=$AZ$1),0,IF(AND(Main!$F$22=Main!$CA$24,AJ33&gt;$AZ$1),ROUND(SUM(AM33,AO33)*10%,0),"")))</f>
        <v/>
      </c>
      <c r="BA33" s="464" t="str">
        <f>IF(AI33="","",IF(AND($AG$3=$AG$1,AJ33&lt;=$AZ$1),0,IF(OR(Main!$H$10=Main!$BH$4,Main!$H$10=Main!$BH$5),0,LOOKUP(AY33*DAY(EOMONTH(AJ33,0))/(DAY(AK33)-DAY(AJ33)+1),$H$184:$I$189))))</f>
        <v/>
      </c>
      <c r="BB33" s="497">
        <f t="shared" si="55"/>
        <v>1</v>
      </c>
      <c r="BC33" s="464"/>
      <c r="BD33" s="501" t="str">
        <f t="shared" si="56"/>
        <v/>
      </c>
      <c r="BE33" s="502" t="str">
        <f t="shared" si="85"/>
        <v/>
      </c>
      <c r="BF33" s="484" t="str">
        <f>IF(BE33="","",MIN(EOMONTH(BE33,0),VLOOKUP(BE33,'IN RPS-2015'!$O$164:$P$202,2,TRUE)-1,LOOKUP(BE33,$E$47:$F$53)-1,IF(BE33&lt;$B$2,$B$2-1,'IN RPS-2015'!$Q$9),IF(BE33&lt;$B$3,$B$3-1,'IN RPS-2015'!$Q$9),IF(BE33&lt;$B$4,$B$4-1,'IN RPS-2015'!$Q$9),LOOKUP(BE33,$H$47:$I$53)))</f>
        <v/>
      </c>
      <c r="BG33" s="493" t="str">
        <f>IF(BE33="","",VLOOKUP(BE33,'IN RPS-2015'!$P$164:$AA$202,10))</f>
        <v/>
      </c>
      <c r="BH33" s="461" t="str">
        <f t="shared" si="68"/>
        <v/>
      </c>
      <c r="BI33" s="461" t="str">
        <f>IF(BE33="","",IF(AND($AG$3=$AG$1,BE33&lt;=$AZ$1),0,ROUND(IF(BW33=3,0,IF(BW33=2,IF(BG33=VLOOKUP(BG33,'IN RPS-2015'!$I$2:$J$5,1),0,Main!$H$9)/2,IF(BG33=VLOOKUP(BG33,'IN RPS-2015'!$I$2:$J$5,1),0,Main!$H$9)))*(DAY(BF33)-DAY(BE33)+1)/DAY(EOMONTH(BE33,0)),0)))</f>
        <v/>
      </c>
      <c r="BJ33" s="461" t="str">
        <f>IF(BE33="","",IF(AND($AG$3=$AG$1,BE33&lt;=$AZ$1),0,IF(BG33=VLOOKUP(BG33,'IN RPS-2015'!$I$2:$J$5,1),0,ROUND(BH33*VLOOKUP(BE33,$AF$4:$AG$7,2)%,0))))</f>
        <v/>
      </c>
      <c r="BK33" s="461" t="str">
        <f>IF(BE33="","",IF(AND($AG$3=$AG$1,BE33&lt;=$AZ$1),0,IF(OR(BW33=3,BG33=VLOOKUP(BG33,'IN RPS-2015'!$I$2:$J$5,1)),0,ROUND(MIN(ROUND(BG33*VLOOKUP(BE33,$B$1:$G$4,2)%,0),VLOOKUP(BE33,$B$2:$I$4,IF($AG$3=$I$29,7,8),TRUE))*(DAY(BF33)-DAY(BE33)+1)/DAY(EOMONTH(BE33,0)),0))))</f>
        <v/>
      </c>
      <c r="BL33" s="491" t="str">
        <f>IF(BE33="","",IF(AND($AG$3=$AG$1,BE33&lt;=$AZ$1),0,IF(Main!$C$26="UGC",0,IF(OR(BE33&lt;DATE(2010,4,1),$I$6=VLOOKUP(BE33,$B$2:$G$4,5,TRUE),BG33=VLOOKUP(BG33,'IN RPS-2015'!$I$2:$J$5,1)),0,ROUND(IF(BW33=3,0,IF(BW33=2,MIN(ROUND(BG33*$G$13%,0),IF(BE33&lt;$J$152,$G$14,$G$15))/2,MIN(ROUND(BG33*$G$13%,0),IF(BE33&lt;$J$152,$G$14,$G$15))))*(DAY(BF33)-DAY(BE33)+1)/DAY(EOMONTH(BE33,0)),0)))))</f>
        <v/>
      </c>
      <c r="BM33" s="461" t="str">
        <f>IF(BE33="","",IF(AND($AG$3=$AG$1,BE33&lt;=$AZ$1),0,IF(Main!$C$26="UGC",0,IF(BG33=VLOOKUP(BG33,'IN RPS-2015'!$I$2:$J$5,1),0,ROUND(BH33*VLOOKUP(BE33,$AF$11:$AG$12,2)%,0)))))</f>
        <v/>
      </c>
      <c r="BN33" s="461" t="str">
        <f>IF(BE33="","",IF(AND($AG$3=$AG$1,BE33&lt;=$AZ$1),0,IF(Main!$C$26="UGC",0,IF(BE33&lt;DATE(2010,4,1),0,IF(OR(BW33=2,BW33=3,BG33=VLOOKUP(BG33,'IN RPS-2015'!$I$2:$J$5,1)),0,ROUND(IF(BE33&lt;$J$152,VLOOKUP(BE33,$B$1:$G$4,4),VLOOKUP(VLOOKUP(BE33,$B$1:$G$4,4),Main!$CE$2:$CF$5,2,FALSE))*(DAY(BF33)-DAY(BE33)+1)/DAY(EOMONTH(BE33,0)),0))))))</f>
        <v/>
      </c>
      <c r="BO33" s="461" t="str">
        <f>IF(BE33="","",IF(AND($AG$3=$AG$1,BE33&lt;=$AZ$1),0,IF(OR(BW33=2,BW33=3,$D$31=$D$28,BG33=VLOOKUP(BG33,'IN RPS-2015'!$I$2:$J$5,1)),0,ROUND(MIN(VLOOKUP(BD33,$A$27:$C$29,2,TRUE),ROUND(BG33*VLOOKUP(BD33,$A$27:$C$29,3,TRUE)%,0))*IF(BD33=$A$36,$C$36,IF(BD33=$A$37,$C$37,IF(BD33=$A$38,$C$38,IF(BD33=$A$39,$C$39,IF(BD33=$A$40,$C$40,IF(BD33=$A$41,$C$41,1))))))*(DAY(BF33)-DAY(BE33)+1)/DAY(EOMONTH(BE33,0)),0))))</f>
        <v/>
      </c>
      <c r="BP33" s="461" t="str">
        <f>IF(BE33="","",IF(AND($AG$3=$AG$1,BE33&lt;=$AZ$1),0,IF(Main!$C$26="UGC",0,IF(OR(BW33=3,BG33=VLOOKUP(BG33,'IN RPS-2015'!$I$2:$J$5,1)),0,ROUND(IF(BW33=2,VLOOKUP(BG33,IF($AG$3=$I$29,$A$20:$E$23,$F$144:$J$147),IF($B$19=VLOOKUP(BE33,$B$2:$G$4,3,TRUE),2,IF($C$19=VLOOKUP(BE33,$B$2:$G$4,3,TRUE),3,IF($D$19=VLOOKUP(BE33,$B$2:$G$4,3,TRUE),4,5))),TRUE),VLOOKUP(BG33,IF($AG$3=$I$29,$A$20:$E$23,$F$144:$J$147),IF($B$19=VLOOKUP(BE33,$B$2:$G$4,3,TRUE),2,IF($C$19=VLOOKUP(BE33,$B$2:$G$4,3,TRUE),3,IF($D$19=VLOOKUP(BE33,$B$2:$G$4,3,TRUE),4,5))),TRUE))*(DAY(BF33)-DAY(BE33)+1)/DAY(EOMONTH(BE33,0)),0)))))</f>
        <v/>
      </c>
      <c r="BQ33" s="461" t="str">
        <f>IF(BE33="","",IF(AND($AG$3=$AG$1,BE33&lt;=$AZ$1),0,IF(Main!$C$26="UGC",0,IF(OR(BD33&lt;DATE(2010,4,1),BW33=3,BG33=VLOOKUP(BG33,'IN RPS-2015'!$I$2:$J$5,1)),0,ROUND(IF(BW33=2,IF(BE33&lt;$J$152,Main!$L$9,Main!$CI$3)/2,IF(BE33&lt;$J$152,Main!$L$9,Main!$CI$3))*(DAY(BF33)-DAY(BE33)+1)/DAY(EOMONTH(BE33,0)),0)))))</f>
        <v/>
      </c>
      <c r="BR33" s="461"/>
      <c r="BS33" s="461" t="str">
        <f>IF(BE33="","",IF(AND($AG$3=$AG$1,BE33&lt;=$AZ$1),0,IF(Main!$C$26="UGC",0,IF(OR(BW33=3,BG33=VLOOKUP(BG33,'IN RPS-2015'!$I$2:$J$5,1)),0,ROUND(IF(BW33=2,VLOOKUP(BH33,IF(BE33&lt;$J$152,$A$154:$E$159,$F$154:$J$159),IF($B$10=VLOOKUP(BD33,$B$2:$G$4,6,TRUE),2,IF($B$10=VLOOKUP(BD33,$B$2:$G$4,6,TRUE),3,IF($D$10=VLOOKUP(BD33,$B$2:$G$4,6,TRUE),4,5))))/2,VLOOKUP(BH33,IF(BE33&lt;$J$152,$A$154:$E$159,$F$154:$J$159),IF($B$10=VLOOKUP(BD33,$B$2:$G$4,6,TRUE),2,IF($B$10=VLOOKUP(BD33,$B$2:$G$4,6,TRUE),3,IF($D$10=VLOOKUP(BD33,$B$2:$G$4,6,TRUE),4,5)))))*(DAY(BF33)-DAY(BE33)+1)/DAY(EOMONTH(BE33,0)),0)))))</f>
        <v/>
      </c>
      <c r="BT33" s="461">
        <f t="shared" si="69"/>
        <v>0</v>
      </c>
      <c r="BU33" s="464" t="str">
        <f>IF(BE33="","",IF(AND($AG$3=$AG$1,BE33&lt;=$AZ$1),0,IF(AND(Main!$F$22=Main!$CA$24,BE33&gt;$AZ$1),ROUND(SUM(BH33,BJ33)*10%,0),"")))</f>
        <v/>
      </c>
      <c r="BV33" s="464" t="str">
        <f>IF(BD33="","",IF(AND($AG$3=$AG$1,BE33&lt;=$AZ$1),0,IF(OR(Main!$H$10=Main!$BH$4,Main!$H$10=Main!$BH$5),0,LOOKUP(BT33*DAY(EOMONTH(BE33,0))/(DAY(BF33)-DAY(BE33)+1),$H$184:$I$189))))</f>
        <v/>
      </c>
      <c r="BW33" s="503">
        <f t="shared" si="70"/>
        <v>1</v>
      </c>
      <c r="BX33" s="457">
        <f t="shared" si="71"/>
        <v>0</v>
      </c>
      <c r="BY33" s="457"/>
      <c r="BZ33" s="457"/>
      <c r="CA33" s="457"/>
      <c r="CB33" s="461"/>
      <c r="CC33" s="499" t="str">
        <f t="shared" si="57"/>
        <v/>
      </c>
      <c r="CD33" s="500" t="str">
        <f t="shared" si="86"/>
        <v/>
      </c>
      <c r="CE33" s="484" t="str">
        <f>IF(CD33="","",MIN(EOMONTH(CD33,0),VLOOKUP(CD33,'IN RPS-2015'!$O$164:$P$202,2,TRUE)-1,LOOKUP(CD33,$E$47:$F$53)-1,IF(CD33&lt;$B$2,$B$2-1,'IN RPS-2015'!$Q$9),IF(CD33&lt;$B$3,$B$3-1,'IN RPS-2015'!$Q$9),IF(CD33&lt;$B$4,$B$4-1,'IN RPS-2015'!$Q$9),LOOKUP(CD33,$H$47:$I$53)))</f>
        <v/>
      </c>
      <c r="CF33" s="490" t="str">
        <f>IF(CD33="","",VLOOKUP(CD33,'IN RPS-2015'!$T$207:$Y$222,5))</f>
        <v/>
      </c>
      <c r="CG33" s="461" t="str">
        <f t="shared" si="72"/>
        <v/>
      </c>
      <c r="CH33" s="461" t="str">
        <f>IF(CD33="","",IF(AND($CA$3=$CA$1,CD33&lt;=$CT$1),0,ROUND(IF(CV33=3,0,IF(CV33=2,IF(CF33=VLOOKUP(CF33,'IN RPS-2015'!$I$2:$J$5,1),0,Main!$H$9)/2,IF(CF33=VLOOKUP(CF33,'IN RPS-2015'!$I$2:$J$5,1),0,Main!$H$9)))*(DAY(CE33)-DAY(CD33)+1)/DAY(EOMONTH(CD33,0)),0)))</f>
        <v/>
      </c>
      <c r="CI33" s="461" t="str">
        <f>IF(CD33="","",IF(AND($CA$3=$CA$1,CD33&lt;=$CT$1),0,IF(CF33=VLOOKUP(CF33,'IN RPS-2015'!$I$2:$J$5,1),0,ROUND(CG33*VLOOKUP(CD33,$BZ$4:$CA$7,2)%,0))))</f>
        <v/>
      </c>
      <c r="CJ33" s="461" t="str">
        <f>IF(CD33="","",IF(AND($CA$3=$CA$1,CD33&lt;=$CT$1),0,IF(OR(CV33=3,CF33=VLOOKUP(CF33,'IN RPS-2015'!$I$2:$J$5,1)),0,ROUND(MIN(ROUND(CF33*VLOOKUP(CD33,$B$1:$G$4,2)%,0),VLOOKUP(CD33,$B$2:$I$4,IF($CA$3=$I$29,7,8),TRUE))*(DAY(CE33)-DAY(CD33)+1)/DAY(EOMONTH(CD33,0)),0))))</f>
        <v/>
      </c>
      <c r="CK33" s="491" t="str">
        <f>IF(CD33="","",IF(AND($CA$3=$CA$1,CD33&lt;=$CT$1),0,IF(Main!$C$26="UGC",0,IF(OR(CD33&lt;DATE(2010,4,1),$I$6=VLOOKUP(CD33,$B$2:$G$4,5,TRUE),CF33=VLOOKUP(CF33,'IN RPS-2015'!$I$2:$J$5,1)),0,ROUND(IF(CV33=3,0,IF(CV33=2,MIN(ROUND(CF33*$G$13%,0),IF(CD33&lt;$J$152,$G$14,$G$15))/2,MIN(ROUND(CF33*$G$13%,0),IF(CD33&lt;$J$152,$G$14,$G$15))))*(DAY(CE33)-DAY(CD33)+1)/DAY(EOMONTH(CD33,0)),0)))))</f>
        <v/>
      </c>
      <c r="CL33" s="461" t="str">
        <f>IF(CD33="","",IF(AND($CA$3=$CA$1,CD33&lt;=$CT$1),0,IF(Main!$C$26="UGC",0,IF(CF33=VLOOKUP(CF33,'IN RPS-2015'!$I$2:$J$5,1),0,ROUND(CG33*VLOOKUP(CD33,$BZ$11:$CA$12,2)%,0)))))</f>
        <v/>
      </c>
      <c r="CM33" s="461" t="str">
        <f>IF(CD33="","",IF(AND($CA$3=$CA$1,CD33&lt;=$CT$1),0,IF(Main!$C$26="UGC",0,IF(CD33&lt;DATE(2010,4,1),0,IF(OR(CV33=2,CV33=3,CF33=VLOOKUP(CF33,'IN RPS-2015'!$I$2:$J$5,1)),0,ROUND(IF(CD33&lt;$J$152,VLOOKUP(CD33,$B$1:$G$4,4),VLOOKUP(VLOOKUP(CD33,$B$1:$G$4,4),Main!$CE$2:$CF$5,2,FALSE))*(DAY(CE33)-DAY(CD33)+1)/DAY(EOMONTH(CD33,0)),0))))))</f>
        <v/>
      </c>
      <c r="CN33" s="461" t="str">
        <f>IF(CD33="","",IF(AND($CA$3=$CA$1,CD33&lt;=$CT$1),0,IF(OR(CV33=2,CV33=3,$D$31=$D$28,CF33=VLOOKUP(CF33,'IN RPS-2015'!$I$2:$J$5,1)),0,ROUND(MIN(VLOOKUP(CC33,$A$27:$C$29,2,TRUE),ROUND(CF33*VLOOKUP(CC33,$A$27:$C$29,3,TRUE)%,0))*IF(CC33=$A$36,$C$36,IF(CC33=$A$37,$C$37,IF(CC33=$A$38,$C$38,IF(CC33=$A$39,$C$39,IF(CC33=$A$40,$C$40,IF(CC33=$A$41,$C$41,1))))))*(DAY(CE33)-DAY(CD33)+1)/DAY(EOMONTH(CD33,0)),0))))</f>
        <v/>
      </c>
      <c r="CO33" s="461" t="str">
        <f>IF(CD33="","",IF(AND($CA$3=$CA$1,CD33&lt;=$CT$1),0,IF(Main!$C$26="UGC",0,IF(OR(CV33=3,CF33=VLOOKUP(CF33,'IN RPS-2015'!$I$2:$J$5,1)),0,ROUND(IF(CV33=2,VLOOKUP(CF33,IF($CA$3=$I$29,$A$20:$E$23,$F$144:$J$147),IF($B$19=VLOOKUP(CD33,$B$2:$G$4,3,TRUE),2,IF($C$19=VLOOKUP(CD33,$B$2:$G$4,3,TRUE),3,IF($D$19=VLOOKUP(CD33,$B$2:$G$4,3,TRUE),4,5))),TRUE),VLOOKUP(CF33,IF($CA$3=$I$29,$A$20:$E$23,$F$144:$J$147),IF($B$19=VLOOKUP(CD33,$B$2:$G$4,3,TRUE),2,IF($C$19=VLOOKUP(CD33,$B$2:$G$4,3,TRUE),3,IF($D$19=VLOOKUP(CD33,$B$2:$G$4,3,TRUE),4,5))),TRUE))*(DAY(CE33)-DAY(CD33)+1)/DAY(EOMONTH(CD33,0)),0)))))</f>
        <v/>
      </c>
      <c r="CP33" s="461" t="str">
        <f>IF(CD33="","",IF(AND($CA$3=$CA$1,CD33&lt;=$CT$1),0,IF(Main!$C$26="UGC",0,IF(OR(CC33&lt;DATE(2010,4,1),CV33=3,CF33=VLOOKUP(CF33,'IN RPS-2015'!$I$2:$J$5,1)),0,ROUND(IF(CV33=2,IF(CD33&lt;$J$152,Main!$L$9,Main!$CI$3)/2,IF(CD33&lt;$J$152,Main!$L$9,Main!$CI$3))*(DAY(CE33)-DAY(CD33)+1)/DAY(EOMONTH(CD33,0)),0)))))</f>
        <v/>
      </c>
      <c r="CQ33" s="461"/>
      <c r="CR33" s="461" t="str">
        <f>IF(CD33="","",IF(AND($CA$3=$CA$1,CD33&lt;=$CT$1),0,IF(Main!$C$26="UGC",0,IF(OR(CV33=3,CF33=VLOOKUP(CF33,'IN RPS-2015'!$I$2:$J$5,1)),0,ROUND(IF(CV33=2,VLOOKUP(CG33,IF(CD33&lt;$J$152,$A$154:$E$159,$F$154:$J$159),IF($B$10=VLOOKUP(CC33,$B$2:$G$4,6,TRUE),2,IF($B$10=VLOOKUP(CC33,$B$2:$G$4,6,TRUE),3,IF($D$10=VLOOKUP(CC33,$B$2:$G$4,6,TRUE),4,5))))/2,VLOOKUP(CG33,IF(CD33&lt;$J$152,$A$154:$E$159,$F$154:$J$159),IF($B$10=VLOOKUP(CC33,$B$2:$G$4,6,TRUE),2,IF($B$10=VLOOKUP(CC33,$B$2:$G$4,6,TRUE),3,IF($D$10=VLOOKUP(CC33,$B$2:$G$4,6,TRUE),4,5)))))*(DAY(CE33)-DAY(CD33)+1)/DAY(EOMONTH(CD33,0)),0)))))</f>
        <v/>
      </c>
      <c r="CS33" s="461">
        <f t="shared" si="73"/>
        <v>0</v>
      </c>
      <c r="CT33" s="464" t="str">
        <f>IF(CD33="","",IF(AND($CA$3=$CA$1,CD33&lt;=$CT$1),0,IF(AND(Main!$F$22=Main!$CA$24,CD33&gt;$CT$1),ROUND(SUM(CG33,CI33)*10%,0),"")))</f>
        <v/>
      </c>
      <c r="CU33" s="464" t="str">
        <f>IF(CC33="","",IF(CG33=0,0,IF(OR(Main!$H$10=Main!$BH$4,Main!$H$10=Main!$BH$5),0,LOOKUP(CS33*DAY(EOMONTH(CD33,0))/(DAY(CE33)-DAY(CD33)+1),$H$184:$I$189))))</f>
        <v/>
      </c>
      <c r="CV33" s="457">
        <f t="shared" si="74"/>
        <v>1</v>
      </c>
      <c r="CW33" s="464"/>
      <c r="CX33" s="501" t="str">
        <f t="shared" si="59"/>
        <v/>
      </c>
      <c r="CY33" s="502" t="str">
        <f t="shared" si="87"/>
        <v/>
      </c>
      <c r="CZ33" s="484" t="str">
        <f>IF(CY33="","",MIN(EOMONTH(CY33,0),VLOOKUP(CY33,'IN RPS-2015'!$O$164:$P$202,2,TRUE)-1,LOOKUP(CY33,$E$47:$F$53)-1,IF(CY33&lt;$B$2,$B$2-1,'IN RPS-2015'!$Q$9),IF(CY33&lt;$B$3,$B$3-1,'IN RPS-2015'!$Q$9),IF(CY33&lt;$B$4,$B$4-1,'IN RPS-2015'!$Q$9),LOOKUP(CY33,$H$47:$I$53)))</f>
        <v/>
      </c>
      <c r="DA33" s="493" t="str">
        <f>IF(CY33="","",VLOOKUP(CY33,'IN RPS-2015'!$T$207:$Y$222,6))</f>
        <v/>
      </c>
      <c r="DB33" s="461" t="str">
        <f t="shared" si="75"/>
        <v/>
      </c>
      <c r="DC33" s="461" t="str">
        <f>IF(CY33="","",IF(AND($CA$3=$CA$1,CY33&lt;=$CT$1),0,ROUND(IF(DQ33=3,0,IF(DQ33=2,IF(DA33=VLOOKUP(DA33,'IN RPS-2015'!$I$2:$J$5,1),0,Main!$H$9)/2,IF(DA33=VLOOKUP(DA33,'IN RPS-2015'!$I$2:$J$5,1),0,Main!$H$9)))*(DAY(CZ33)-DAY(CY33)+1)/DAY(EOMONTH(CY33,0)),0)))</f>
        <v/>
      </c>
      <c r="DD33" s="461" t="str">
        <f>IF(CY33="","",IF(AND($CA$3=$CA$1,CY33&lt;=$CT$1),0,IF(DA33=VLOOKUP(DA33,'IN RPS-2015'!$I$2:$J$5,1),0,ROUND(DB33*VLOOKUP(CY33,$BZ$4:$CA$7,2)%,0))))</f>
        <v/>
      </c>
      <c r="DE33" s="461" t="str">
        <f>IF(CY33="","",IF(AND($CA$3=$CA$1,CY33&lt;=$CT$1),0,IF(OR(DQ33=3,DA33=VLOOKUP(DA33,'IN RPS-2015'!$I$2:$J$5,1)),0,ROUND(MIN(ROUND(DA33*VLOOKUP(CY33,$B$1:$G$4,2)%,0),VLOOKUP(CY33,$B$2:$I$4,IF($CA$3=$I$29,7,8),TRUE))*(DAY(CZ33)-DAY(CY33)+1)/DAY(EOMONTH(CY33,0)),0))))</f>
        <v/>
      </c>
      <c r="DF33" s="491" t="str">
        <f>IF(CY33="","",IF(AND($CA$3=$CA$1,CY33&lt;=$CT$1),0,IF(Main!$C$26="UGC",0,IF(OR(CY33&lt;DATE(2010,4,1),$I$6=VLOOKUP(CY33,$B$2:$G$4,5,TRUE),DA33=VLOOKUP(DA33,'IN RPS-2015'!$I$2:$J$5,1)),0,ROUND(IF(DQ33=3,0,IF(DQ33=2,MIN(ROUND(DA33*$G$13%,0),IF(CY33&lt;$J$152,$G$14,$G$15))/2,MIN(ROUND(DA33*$G$13%,0),IF(CY33&lt;$J$152,$G$14,$G$15))))*(DAY(CZ33)-DAY(CY33)+1)/DAY(EOMONTH(CY33,0)),0)))))</f>
        <v/>
      </c>
      <c r="DG33" s="461" t="str">
        <f>IF(CY33="","",IF(AND($CA$3=$CA$1,CY33&lt;=$CT$1),0,IF(Main!$C$26="UGC",0,IF(DA33=VLOOKUP(DA33,'IN RPS-2015'!$I$2:$J$5,1),0,ROUND(DB33*VLOOKUP(CY33,$BZ$11:$CA$12,2)%,0)))))</f>
        <v/>
      </c>
      <c r="DH33" s="461" t="str">
        <f>IF(CY33="","",IF(AND($CA$3=$CA$1,CY33&lt;=$CT$1),0,IF(Main!$C$26="UGC",0,IF(CY33&lt;DATE(2010,4,1),0,IF(OR(DQ33=2,DQ33=3,DA33=VLOOKUP(DA33,'IN RPS-2015'!$I$2:$J$5,1)),0,ROUND(IF(CY33&lt;$J$152,VLOOKUP(CY33,$B$1:$G$4,4),VLOOKUP(VLOOKUP(CY33,$B$1:$G$4,4),Main!$CE$2:$CF$5,2,FALSE))*(DAY(CZ33)-DAY(CY33)+1)/DAY(EOMONTH(CY33,0)),0))))))</f>
        <v/>
      </c>
      <c r="DI33" s="461" t="str">
        <f>IF(CY33="","",IF(AND($CA$3=$CA$1,CY33&lt;=$CT$1),0,IF(OR(DQ33=2,DQ33=3,$D$31=$D$28,DA33=VLOOKUP(DA33,'IN RPS-2015'!$I$2:$J$5,1)),0,ROUND(MIN(VLOOKUP(CX33,$A$27:$C$29,2,TRUE),ROUND(DA33*VLOOKUP(CX33,$A$27:$C$29,3,TRUE)%,0))*IF(CX33=$A$36,$C$36,IF(CX33=$A$37,$C$37,IF(CX33=$A$38,$C$38,IF(CX33=$A$39,$C$39,IF(CX33=$A$40,$C$40,IF(CX33=$A$41,$C$41,1))))))*(DAY(CZ33)-DAY(CY33)+1)/DAY(EOMONTH(CY33,0)),0))))</f>
        <v/>
      </c>
      <c r="DJ33" s="461" t="str">
        <f>IF(CY33="","",IF(AND($CA$3=$CA$1,CY33&lt;=$CT$1),0,IF(Main!$C$26="UGC",0,IF(OR(DQ33=3,DA33=VLOOKUP(DA33,'IN RPS-2015'!$I$2:$J$5,1)),0,ROUND(IF(DQ33=2,VLOOKUP(DA33,IF($CA$3=$I$29,$A$20:$E$23,$F$144:$J$147),IF($B$19=VLOOKUP(CY33,$B$2:$G$4,3,TRUE),2,IF($C$19=VLOOKUP(CY33,$B$2:$G$4,3,TRUE),3,IF($D$19=VLOOKUP(CY33,$B$2:$G$4,3,TRUE),4,5))),TRUE),VLOOKUP(DA33,IF($CA$3=$I$29,$A$20:$E$23,$F$144:$J$147),IF($B$19=VLOOKUP(CY33,$B$2:$G$4,3,TRUE),2,IF($C$19=VLOOKUP(CY33,$B$2:$G$4,3,TRUE),3,IF($D$19=VLOOKUP(CY33,$B$2:$G$4,3,TRUE),4,5))),TRUE))*(DAY(CZ33)-DAY(CY33)+1)/DAY(EOMONTH(CY33,0)),0)))))</f>
        <v/>
      </c>
      <c r="DK33" s="461" t="str">
        <f>IF(CY33="","",IF(AND($CA$3=$CA$1,CY33&lt;=$CT$1),0,IF(Main!$C$26="UGC",0,IF(OR(CX33&lt;DATE(2010,4,1),DQ33=3,DA33=VLOOKUP(DA33,'IN RPS-2015'!$I$2:$J$5,1)),0,ROUND(IF(DQ33=2,IF(CY33&lt;$J$152,Main!$L$9,Main!$CI$3)/2,IF(CY33&lt;$J$152,Main!$L$9,Main!$CI$3))*(DAY(CZ33)-DAY(CY33)+1)/DAY(EOMONTH(CY33,0)),0)))))</f>
        <v/>
      </c>
      <c r="DL33" s="461"/>
      <c r="DM33" s="461" t="str">
        <f>IF(CY33="","",IF(AND($CA$3=$CA$1,CY33&lt;=$CT$1),0,IF(Main!$C$26="UGC",0,IF(OR(DQ33=3,DA33=VLOOKUP(DA33,'IN RPS-2015'!$I$2:$J$5,1)),0,ROUND(IF(DQ33=2,VLOOKUP(DB33,IF(CY33&lt;$J$152,$A$154:$E$159,$F$154:$J$159),IF($B$10=VLOOKUP(CX33,$B$2:$G$4,6,TRUE),2,IF($B$10=VLOOKUP(CX33,$B$2:$G$4,6,TRUE),3,IF($D$10=VLOOKUP(CX33,$B$2:$G$4,6,TRUE),4,5))))/2,VLOOKUP(DB33,IF(CY33&lt;$J$152,$A$154:$E$159,$F$154:$J$159),IF($B$10=VLOOKUP(CX33,$B$2:$G$4,6,TRUE),2,IF($B$10=VLOOKUP(CX33,$B$2:$G$4,6,TRUE),3,IF($D$10=VLOOKUP(CX33,$B$2:$G$4,6,TRUE),4,5)))))*(DAY(CZ33)-DAY(CY33)+1)/DAY(EOMONTH(CY33,0)),0)))))</f>
        <v/>
      </c>
      <c r="DN33" s="461">
        <f t="shared" si="76"/>
        <v>0</v>
      </c>
      <c r="DO33" s="464" t="str">
        <f>IF(CY33="","",IF(AND($CA$3=$CA$1,CY33&lt;=$CT$1),0,IF(AND(Main!$F$22=Main!$CA$24,CY33&gt;$CT$1),ROUND(SUM(DB33,DD33)*10%,0),"")))</f>
        <v/>
      </c>
      <c r="DP33" s="464" t="str">
        <f>IF(CX33="","",IF(AND($CA$3=$CA$1,CY33&lt;=$CT$1),0,IF(OR(Main!$H$10=Main!$BH$4,Main!$H$10=Main!$BH$5),0,LOOKUP(DN33*DAY(EOMONTH(CY33,0))/(DAY(CZ33)-DAY(CY33)+1),$H$184:$I$189))))</f>
        <v/>
      </c>
      <c r="DQ33" s="457">
        <f t="shared" si="60"/>
        <v>1</v>
      </c>
      <c r="DR33" s="457">
        <f t="shared" si="77"/>
        <v>0</v>
      </c>
      <c r="DS33" s="457"/>
      <c r="DT33" s="457"/>
      <c r="DU33" s="457"/>
      <c r="DV33" s="461"/>
      <c r="DW33" s="499" t="str">
        <f t="shared" si="61"/>
        <v/>
      </c>
      <c r="DX33" s="500" t="str">
        <f t="shared" si="88"/>
        <v/>
      </c>
      <c r="DY33" s="484" t="str">
        <f>IF(DX33="","",MIN(EOMONTH(DX33,0),VLOOKUP(DX33,'IN RPS-2015'!$O$164:$P$202,2,TRUE)-1,LOOKUP(DX33,$E$47:$F$53)-1,IF(DX33&lt;$B$2,$B$2-1,'IN RPS-2015'!$Q$9),IF(DX33&lt;$B$3,$B$3-1,'IN RPS-2015'!$Q$9),IF(DX33&lt;$B$4,$B$4-1,'IN RPS-2015'!$Q$9),LOOKUP(DX33,$H$47:$I$53)))</f>
        <v/>
      </c>
      <c r="DZ33" s="490" t="str">
        <f>IF(DX33="","",VLOOKUP(DX33,'IN RPS-2015'!$P$164:$AA$202,11))</f>
        <v/>
      </c>
      <c r="EA33" s="461" t="str">
        <f t="shared" si="78"/>
        <v/>
      </c>
      <c r="EB33" s="461" t="str">
        <f>IF(DX33="","",ROUND(IF(EP33=3,0,IF(EP33=2,IF(DZ33=VLOOKUP(DZ33,'IN RPS-2015'!$I$2:$J$5,1),0,Main!$H$9)/2,IF(DZ33=VLOOKUP(DZ33,'IN RPS-2015'!$I$2:$J$5,1),0,Main!$H$9)))*(DAY(DY33)-DAY(DX33)+1)/DAY(EOMONTH(DX33,0)),0))</f>
        <v/>
      </c>
      <c r="EC33" s="461" t="str">
        <f>IF(DX33="","",IF(DZ33=VLOOKUP(DZ33,'IN RPS-2015'!$I$2:$J$5,1),0,ROUND(EA33*VLOOKUP(DX33,$DT$4:$DU$7,2)%,0)))</f>
        <v/>
      </c>
      <c r="ED33" s="461" t="str">
        <f>IF(DX33="","",IF(OR(EP33=3,DZ33=VLOOKUP(DZ33,'IN RPS-2015'!$I$2:$J$5,1)),0,ROUND(MIN(ROUND(DZ33*VLOOKUP(DX33,$B$1:$G$4,2)%,0),VLOOKUP(DX33,$B$2:$I$4,IF($DU$3=$I$29,7,8),TRUE))*(DAY(DY33)-DAY(DX33)+1)/DAY(EOMONTH(DX33,0)),0)))</f>
        <v/>
      </c>
      <c r="EE33" s="491" t="str">
        <f>IF(DX33="","",IF(Main!$C$26="UGC",0,IF(OR(DX33&lt;DATE(2010,4,1),$I$6=VLOOKUP(DX33,$B$2:$G$4,5,TRUE),DZ33=VLOOKUP(DZ33,'IN RPS-2015'!$I$2:$J$5,1)),0,ROUND(IF(EP33=3,0,IF(EP33=2,MIN(ROUND(DZ33*$G$13%,0),IF(DX33&lt;$I$152,$G$14,$G$15))/2,MIN(ROUND(DZ33*$G$13%,0),IF(DX33&lt;$I$152,$G$14,$G$15))))*(DAY(DY33)-DAY(DX33)+1)/DAY(EOMONTH(DX33,0)),0))))</f>
        <v/>
      </c>
      <c r="EF33" s="461" t="str">
        <f>IF(DX33="","",IF(Main!$C$26="UGC",0,IF(DZ33=VLOOKUP(DZ33,'IN RPS-2015'!$I$2:$J$5,1),0,ROUND(EA33*VLOOKUP(DX33,$DT$11:$DU$12,2)%,0))))</f>
        <v/>
      </c>
      <c r="EG33" s="461" t="str">
        <f>IF(DX33="","",IF(Main!$C$26="UGC",0,IF(DX33&lt;DATE(2010,4,1),0,IF(OR(EP33=2,EP33=3,DZ33=VLOOKUP(DZ33,'IN RPS-2015'!$I$2:$J$5,1)),0,ROUND(IF(DX33&lt;$I$152,VLOOKUP(DX33,$B$1:$G$4,4),VLOOKUP(VLOOKUP(DX33,$B$1:$G$4,4),Main!$CE$2:$CF$5,2,FALSE))*(DAY(DY33)-DAY(DX33)+1)/DAY(EOMONTH(DX33,0)),0)))))</f>
        <v/>
      </c>
      <c r="EH33" s="461" t="str">
        <f>IF(DX33="","",IF(OR(EP33=2,EP33=3,$D$31=$D$28,DZ33=VLOOKUP(DZ33,'IN RPS-2015'!$I$2:$J$5,1)),0,ROUND(MIN(IF(DX33&lt;$I$152,900,1350),ROUND(DZ33*VLOOKUP(DW33,$A$27:$C$29,3,TRUE)%,0))*IF(DW33=$A$36,$C$36,IF(DW33=$A$37,$C$37,IF(DW33=$A$38,$C$38,IF(DW33=$A$39,$C$39,IF(DW33=$A$40,$C$40,IF(DW33=$A$41,$C$41,1))))))*(DAY(DY33)-DAY(DX33)+1)/DAY(EOMONTH(DX33,0)),0)))</f>
        <v/>
      </c>
      <c r="EI33" s="461" t="str">
        <f>IF(DX33="","",IF(Main!$C$26="UGC",0,IF(OR(EP33=3,DZ33=VLOOKUP(DZ33,'IN RPS-2015'!$I$2:$J$5,1)),0,ROUND(IF(EP33=2,VLOOKUP(DZ33,IF($DU$3=$I$29,$A$20:$E$23,$F$144:$J$147),IF($B$19=VLOOKUP(DX33,$B$2:$G$4,3,TRUE),2,IF($C$19=VLOOKUP(DX33,$B$2:$G$4,3,TRUE),3,IF($D$19=VLOOKUP(DX33,$B$2:$G$4,3,TRUE),4,5))),TRUE),VLOOKUP(DZ33,IF($DU$3=$I$29,$A$20:$E$23,$F$144:$J$147),IF($B$19=VLOOKUP(DX33,$B$2:$G$4,3,TRUE),2,IF($C$19=VLOOKUP(DX33,$B$2:$G$4,3,TRUE),3,IF($D$19=VLOOKUP(DX33,$B$2:$G$4,3,TRUE),4,5))),TRUE))*(DAY(DY33)-DAY(DX33)+1)/DAY(EOMONTH(DX33,0)),0))))</f>
        <v/>
      </c>
      <c r="EJ33" s="461" t="str">
        <f>IF(DX33="","",IF(Main!$C$26="UGC",0,IF(OR(DW33&lt;DATE(2010,4,1),EP33=3,DZ33=VLOOKUP(DZ33,'IN RPS-2015'!$I$2:$J$5,1)),0,ROUND(IF(EP33=2,IF(DX33&lt;$I$152,Main!$L$9,Main!$CI$3)/2,IF(DX33&lt;$I$152,Main!$L$9,Main!$CI$3))*(DAY(DY33)-DAY(DX33)+1)/DAY(EOMONTH(DX33,0)),0))))</f>
        <v/>
      </c>
      <c r="EK33" s="461"/>
      <c r="EL33" s="461" t="str">
        <f>IF(DX33="","",IF(Main!$C$26="UGC",0,IF(OR(EP33=3,DZ33=VLOOKUP(DZ33,'IN RPS-2015'!$I$2:$J$5,1)),0,ROUND(IF(EP33=2,VLOOKUP(EA33,IF(DX33&lt;$I$152,$A$154:$E$159,$F$154:$J$159),IF($B$10=VLOOKUP(DW33,$B$2:$G$4,6,TRUE),2,IF($B$10=VLOOKUP(DW33,$B$2:$G$4,6,TRUE),3,IF($D$10=VLOOKUP(DW33,$B$2:$G$4,6,TRUE),4,5))))/2,VLOOKUP(EA33,IF(DX33&lt;$I$152,$A$154:$E$159,$F$154:$J$159),IF($B$10=VLOOKUP(DW33,$B$2:$G$4,6,TRUE),2,IF($B$10=VLOOKUP(DW33,$B$2:$G$4,6,TRUE),3,IF($D$10=VLOOKUP(DW33,$B$2:$G$4,6,TRUE),4,5)))))*(DAY(DY33)-DAY(DX33)+1)/DAY(EOMONTH(DX33,0)),0))))</f>
        <v/>
      </c>
      <c r="EM33" s="461">
        <f t="shared" si="79"/>
        <v>0</v>
      </c>
      <c r="EN33" s="464" t="str">
        <f>IF(DX33="","",IF(AND(Main!$F$22=Main!$CA$24,DX33&gt;$EN$1),ROUND(SUM(EA33,EC33)*10%,0),""))</f>
        <v/>
      </c>
      <c r="EO33" s="464" t="str">
        <f>IF(DW33="","",IF(EA33=0,0,IF(OR(Main!$H$10=Main!$BH$4,Main!$H$10=Main!$BH$5),0,LOOKUP(EM33*DAY(EOMONTH(DX33,0))/(DAY(DY33)-DAY(DX33)+1),$H$184:$I$189))))</f>
        <v/>
      </c>
      <c r="EP33" s="457">
        <f t="shared" si="62"/>
        <v>1</v>
      </c>
      <c r="ET33" s="461"/>
      <c r="EU33" s="499" t="str">
        <f t="shared" si="63"/>
        <v/>
      </c>
      <c r="EV33" s="500" t="str">
        <f t="shared" si="89"/>
        <v/>
      </c>
      <c r="EW33" s="484" t="str">
        <f>IF(EV33="","",MIN(EOMONTH(EV33,0),VLOOKUP(EV33,'IN RPS-2015'!$O$164:$P$202,2,TRUE)-1,LOOKUP(EV33,$E$47:$F$53)-1,IF(EV33&lt;$B$2,$B$2-1,'IN RPS-2015'!$Q$9),IF(EV33&lt;$B$3,$B$3-1,'IN RPS-2015'!$Q$9),IF(EV33&lt;$B$4,$B$4-1,'IN RPS-2015'!$Q$9),LOOKUP(EV33,$H$47:$I$53)))</f>
        <v/>
      </c>
      <c r="EX33" s="490" t="str">
        <f>IF(EV33="","",VLOOKUP(EV33,'IN RPS-2015'!$P$164:$AA$202,12))</f>
        <v/>
      </c>
      <c r="EY33" s="461" t="str">
        <f t="shared" si="80"/>
        <v/>
      </c>
      <c r="EZ33" s="461" t="str">
        <f>IF(EV33="","",ROUND(IF(FN33=3,0,IF(FN33=2,IF(EX33=VLOOKUP(EX33,'IN RPS-2015'!$I$2:$J$5,1),0,Main!$H$9)/2,IF(EX33=VLOOKUP(EX33,'IN RPS-2015'!$I$2:$J$5,1),0,Main!$H$9)))*(DAY(EW33)-DAY(EV33)+1)/DAY(EOMONTH(EV33,0)),0))</f>
        <v/>
      </c>
      <c r="FA33" s="461" t="str">
        <f>IF(EV33="","",IF(EX33=VLOOKUP(EX33,'IN RPS-2015'!$I$2:$J$5,1),0,ROUND(EY33*VLOOKUP(EV33,$ER$4:$ES$7,2)%,0)))</f>
        <v/>
      </c>
      <c r="FB33" s="461" t="str">
        <f>IF(EV33="","",IF(OR(FN33=3,EX33=VLOOKUP(EX33,'IN RPS-2015'!$I$2:$J$5,1)),0,ROUND(MIN(ROUND(EX33*VLOOKUP(EV33,$B$1:$G$4,2)%,0),VLOOKUP(EV33,$B$2:$I$4,IF($ES$3=$I$29,7,8),TRUE))*(DAY(EW33)-DAY(EV33)+1)/DAY(EOMONTH(EV33,0)),0)))</f>
        <v/>
      </c>
      <c r="FC33" s="491" t="str">
        <f>IF(EV33="","",IF(Main!$C$26="UGC",0,IF(OR(EV33&lt;DATE(2010,4,1),$I$6=VLOOKUP(EV33,$B$2:$G$4,5,TRUE),EX33=VLOOKUP(EX33,'IN RPS-2015'!$I$2:$J$5,1)),0,ROUND(IF(FN33=3,0,IF(FN33=2,MIN(ROUND(EX33*$G$13%,0),IF(EV33&lt;$J$152,$G$14,$G$15))/2,MIN(ROUND(EX33*$G$13%,0),IF(EV33&lt;$J$152,$G$14,$G$15))))*(DAY(EW33)-DAY(EV33)+1)/DAY(EOMONTH(EV33,0)),0))))</f>
        <v/>
      </c>
      <c r="FD33" s="461" t="str">
        <f>IF(EV33="","",IF(Main!$C$26="UGC",0,IF(EX33=VLOOKUP(EX33,'IN RPS-2015'!$I$2:$J$5,1),0,ROUND(EY33*VLOOKUP(EV33,$ER$11:$ES$12,2)%,0))))</f>
        <v/>
      </c>
      <c r="FE33" s="461" t="str">
        <f>IF(EV33="","",IF(Main!$C$26="UGC",0,IF(EV33&lt;DATE(2010,4,1),0,IF(OR(FN33=2,FN33=3,EX33=VLOOKUP(EX33,'IN RPS-2015'!$I$2:$J$5,1)),0,ROUND(IF(EV33&lt;$J$152,VLOOKUP(EV33,$B$1:$G$4,4),VLOOKUP(VLOOKUP(EV33,$B$1:$G$4,4),Main!$CE$2:$CF$5,2,FALSE))*(DAY(EW33)-DAY(EV33)+1)/DAY(EOMONTH(EV33,0)),0)))))</f>
        <v/>
      </c>
      <c r="FF33" s="461" t="str">
        <f>IF(EV33="","",IF(OR(FN33=2,FN33=3,$D$31=$D$28,EX33=VLOOKUP(EX33,'IN RPS-2015'!$I$2:$J$5,1)),0,ROUND(MIN(VLOOKUP(EU33,$A$27:$C$29,2,TRUE),ROUND(EX33*VLOOKUP(EU33,$A$27:$C$29,3,TRUE)%,0))*IF(EU33=$A$36,$C$36,IF(EU33=$A$37,$C$37,IF(EU33=$A$38,$C$38,IF(EU33=$A$39,$C$39,IF(EU33=$A$40,$C$40,IF(EU33=$A$41,$C$41,1))))))*(DAY(EW33)-DAY(EV33)+1)/DAY(EOMONTH(EV33,0)),0)))</f>
        <v/>
      </c>
      <c r="FG33" s="461" t="str">
        <f>IF(EV33="","",IF(Main!$C$26="UGC",0,IF(OR(FN33=3,EX33=VLOOKUP(EX33,'IN RPS-2015'!$I$2:$J$5,1)),0,ROUND(IF(FN33=2,VLOOKUP(EX33,IF($ES$3=$I$29,$A$20:$E$23,$F$144:$J$147),IF($B$19=VLOOKUP(EV33,$B$2:$G$4,3,TRUE),2,IF($C$19=VLOOKUP(EV33,$B$2:$G$4,3,TRUE),3,IF($D$19=VLOOKUP(EV33,$B$2:$G$4,3,TRUE),4,5))),TRUE),VLOOKUP(EX33,IF($ES$3=$I$29,$A$20:$E$23,$F$144:$J$147),IF($B$19=VLOOKUP(EV33,$B$2:$G$4,3,TRUE),2,IF($C$19=VLOOKUP(EV33,$B$2:$G$4,3,TRUE),3,IF($D$19=VLOOKUP(EV33,$B$2:$G$4,3,TRUE),4,5))),TRUE))*(DAY(EW33)-DAY(EV33)+1)/DAY(EOMONTH(EV33,0)),0))))</f>
        <v/>
      </c>
      <c r="FH33" s="461" t="str">
        <f>IF(EV33="","",IF(Main!$C$26="UGC",0,IF(OR(EU33&lt;DATE(2010,4,1),FN33=3,EX33=VLOOKUP(EX33,'IN RPS-2015'!$I$2:$J$5,1)),0,ROUND(IF(FN33=2,IF(EV33&lt;$J$152,Main!$L$9,Main!$CI$3)/2,IF(EV33&lt;$J$152,Main!$L$9,Main!$CI$3))*(DAY(EW33)-DAY(EV33)+1)/DAY(EOMONTH(EV33,0)),0))))</f>
        <v/>
      </c>
      <c r="FI33" s="461"/>
      <c r="FJ33" s="461" t="str">
        <f>IF(EV33="","",IF(Main!$C$26="UGC",0,IF(OR(FN33=3,EX33=VLOOKUP(EX33,'IN RPS-2015'!$I$2:$J$5,1)),0,ROUND(IF(FN33=2,VLOOKUP(EY33,IF(EV33&lt;$J$152,$A$154:$E$159,$F$154:$J$159),IF($B$10=VLOOKUP(EU33,$B$2:$G$4,6,TRUE),2,IF($B$10=VLOOKUP(EU33,$B$2:$G$4,6,TRUE),3,IF($D$10=VLOOKUP(EU33,$B$2:$G$4,6,TRUE),4,5))))/2,VLOOKUP(EY33,IF(EV33&lt;$J$152,$A$154:$E$159,$F$154:$J$159),IF($B$10=VLOOKUP(EU33,$B$2:$G$4,6,TRUE),2,IF($B$10=VLOOKUP(EU33,$B$2:$G$4,6,TRUE),3,IF($D$10=VLOOKUP(EU33,$B$2:$G$4,6,TRUE),4,5)))))*(DAY(EW33)-DAY(EV33)+1)/DAY(EOMONTH(EV33,0)),0))))</f>
        <v/>
      </c>
      <c r="FK33" s="461">
        <f t="shared" si="81"/>
        <v>0</v>
      </c>
      <c r="FL33" s="464" t="str">
        <f>IF(EV33="","",IF(AND(Main!$F$22=Main!$CA$24,EV33&gt;$FL$1),ROUND(SUM(EY33,FA33)*10%,0),""))</f>
        <v/>
      </c>
      <c r="FM33" s="464" t="str">
        <f>IF(EU33="","",IF(EY33=0,0,IF(OR(Main!$H$10=Main!$BH$4,Main!$H$10=Main!$BH$5),0,LOOKUP(FK33*DAY(EOMONTH(EV33,0))/(DAY(EW33)-DAY(EV33)+1),$H$184:$I$189))))</f>
        <v/>
      </c>
      <c r="FN33" s="457">
        <f t="shared" si="64"/>
        <v>1</v>
      </c>
    </row>
    <row r="34" spans="1:170">
      <c r="M34" s="459">
        <f>VLOOKUP(L4,'IN RPS-2015'!$O$164:$P$202,2,TRUE)-1</f>
        <v>42124</v>
      </c>
      <c r="AH34" s="461"/>
      <c r="AI34" s="499" t="str">
        <f t="shared" si="54"/>
        <v/>
      </c>
      <c r="AJ34" s="500" t="str">
        <f t="shared" si="84"/>
        <v/>
      </c>
      <c r="AK34" s="484" t="str">
        <f>IF(AJ34="","",MIN(EOMONTH(AJ34,0),VLOOKUP(AJ34,'IN RPS-2015'!$O$164:$P$202,2,TRUE)-1,LOOKUP(AJ34,$E$47:$F$53)-1,IF(AJ34&lt;$B$2,$B$2-1,'IN RPS-2015'!$Q$9),IF(AJ34&lt;$B$3,$B$3-1,'IN RPS-2015'!$Q$9),IF(AJ34&lt;$B$4,$B$4-1,'IN RPS-2015'!$Q$9),LOOKUP(AJ34,$H$47:$I$53)))</f>
        <v/>
      </c>
      <c r="AL34" s="490" t="str">
        <f>IF(AJ34="","",VLOOKUP(AJ34,'IN RPS-2015'!$P$164:$AA$202,9))</f>
        <v/>
      </c>
      <c r="AM34" s="461" t="str">
        <f t="shared" si="66"/>
        <v/>
      </c>
      <c r="AN34" s="461" t="str">
        <f>IF(AJ34="","",IF(AND($AG$3=$AG$1,AJ34&lt;=$AZ$1),0,ROUND(IF(BB34=3,0,IF(BB34=2,IF(AL34=VLOOKUP(AL34,'IN RPS-2015'!$I$2:$J$5,1),0,Main!$H$9)/2,IF(AL34=VLOOKUP(AL34,'IN RPS-2015'!$I$2:$J$5,1),0,Main!$H$9)))*(DAY(AK34)-DAY(AJ34)+1)/DAY(EOMONTH(AJ34,0)),0)))</f>
        <v/>
      </c>
      <c r="AO34" s="461" t="str">
        <f>IF(AJ34="","",IF(AND($AG$3=$AG$1,AJ34&lt;=$AZ$1),0,IF(AL34=VLOOKUP(AL34,'IN RPS-2015'!$I$2:$J$5,1),0,ROUND(AM34*VLOOKUP(AJ34,$AF$4:$AG$7,2)%,0))))</f>
        <v/>
      </c>
      <c r="AP34" s="461" t="str">
        <f>IF(AJ34="","",IF(AND($AG$3=$AG$1,AJ34&lt;=$AZ$1),0,IF(OR(BB34=3,AL34=VLOOKUP(AL34,'IN RPS-2015'!$I$2:$J$5,1)),0,ROUND(MIN(ROUND(AL34*VLOOKUP(AJ34,$B$1:$G$4,2)%,0),VLOOKUP(AJ34,$B$2:$I$4,IF($AG$3=$I$29,7,8),TRUE))*(DAY(AK34)-DAY(AJ34)+1)/DAY(EOMONTH(AJ34,0)),0))))</f>
        <v/>
      </c>
      <c r="AQ34" s="491" t="str">
        <f>IF(AJ34="","",IF(AND($AG$3=$AG$1,AJ34&lt;=$AZ$1),0,IF(Main!$C$26="UGC",0,IF(OR(AJ34&lt;DATE(2010,4,1),$I$6=VLOOKUP(AJ34,$B$2:$G$4,5,TRUE),AL34=VLOOKUP(AL34,'IN RPS-2015'!$I$2:$J$5,1)),0,ROUND(IF(BB34=3,0,IF(BB34=2,MIN(ROUND(AL34*$G$13%,0),IF(AJ34&lt;$J$152,$G$14,$G$15))/2,MIN(ROUND(AL34*$G$13%,0),IF(AJ34&lt;$J$152,$G$14,$G$15))))*(DAY(AK34)-DAY(AJ34)+1)/DAY(EOMONTH(AJ34,0)),0)))))</f>
        <v/>
      </c>
      <c r="AR34" s="461" t="str">
        <f>IF(AJ34="","",IF(AND($AG$3=$AG$1,AJ34&lt;=$AZ$1),0,IF(Main!$C$26="UGC",0,IF(AL34=VLOOKUP(AL34,'IN RPS-2015'!$I$2:$J$5,1),0,ROUND(AM34*VLOOKUP(AJ34,$AF$11:$AG$12,2)%,0)))))</f>
        <v/>
      </c>
      <c r="AS34" s="461" t="str">
        <f>IF(AJ34="","",IF(AND($AG$3=$AG$1,AJ34&lt;=$AZ$1),0,IF(Main!$C$26="UGC",0,IF(AJ34&lt;DATE(2010,4,1),0,IF(OR(BB34=2,BB34=3,AL34=VLOOKUP(AL34,'IN RPS-2015'!$I$2:$J$5,1)),0,ROUND(IF(AJ34&lt;$J$152,VLOOKUP(AJ34,$B$1:$G$4,4),VLOOKUP(VLOOKUP(AJ34,$B$1:$G$4,4),Main!$CE$2:$CF$5,2,FALSE))*(DAY(AK34)-DAY(AJ34)+1)/DAY(EOMONTH(AJ34,0)),0))))))</f>
        <v/>
      </c>
      <c r="AT34" s="461" t="str">
        <f>IF(AJ34="","",IF(AND($AG$3=$AG$1,AJ34&lt;=$AZ$1),0,IF(OR(BB34=2,BB34=3,$D$31=$D$28,AL34=VLOOKUP(AL34,'IN RPS-2015'!$I$2:$J$5,1)),0,ROUND(MIN(VLOOKUP(AI34,$A$27:$C$29,2,TRUE),ROUND(AL34*VLOOKUP(AI34,$A$27:$C$29,3,TRUE)%,0))*IF(AI34=$A$36,$C$36,IF(AI34=$A$37,$C$37,IF(AI34=$A$38,$C$38,IF(AI34=$A$39,$C$39,IF(AI34=$A$40,$C$40,IF(AI34=$A$41,$C$41,1))))))*(DAY(AK34)-DAY(AJ34)+1)/DAY(EOMONTH(AJ34,0)),0))))</f>
        <v/>
      </c>
      <c r="AU34" s="461" t="str">
        <f>IF(AJ34="","",IF(AND($AG$3=$AG$1,AJ34&lt;=$AZ$1),0,IF(Main!$C$26="UGC",0,IF(OR(BB34=3,AL34=VLOOKUP(AL34,'IN RPS-2015'!$I$2:$J$5,1)),0,ROUND(IF(BB34=2,VLOOKUP(AL34,IF($AG$3=$I$29,$A$20:$E$23,$F$144:$J$147),IF($B$19=VLOOKUP(AJ34,$B$2:$G$4,3,TRUE),2,IF($C$19=VLOOKUP(AJ34,$B$2:$G$4,3,TRUE),3,IF($D$19=VLOOKUP(AJ34,$B$2:$G$4,3,TRUE),4,5))),TRUE),VLOOKUP(AL34,IF($AG$3=$I$29,$A$20:$E$23,$F$144:$J$147),IF($B$19=VLOOKUP(AJ34,$B$2:$G$4,3,TRUE),2,IF($C$19=VLOOKUP(AJ34,$B$2:$G$4,3,TRUE),3,IF($D$19=VLOOKUP(AJ34,$B$2:$G$4,3,TRUE),4,5))),TRUE))*(DAY(AK34)-DAY(AJ34)+1)/DAY(EOMONTH(AJ34,0)),0)))))</f>
        <v/>
      </c>
      <c r="AV34" s="461" t="str">
        <f>IF(AJ34="","",IF(AND($AG$3=$AG$1,AJ34&lt;=$AZ$1),0,IF(Main!$C$26="UGC",0,IF(OR(AI34&lt;DATE(2010,4,1),BB34=3,AL34=VLOOKUP(AL34,'IN RPS-2015'!$I$2:$J$5,1)),0,ROUND(IF(BB34=2,IF(AJ34&lt;$J$152,Main!$L$9,Main!$CI$3)/2,IF(AJ34&lt;$J$152,Main!$L$9,Main!$CI$3))*(DAY(AK34)-DAY(AJ34)+1)/DAY(EOMONTH(AJ34,0)),0)))))</f>
        <v/>
      </c>
      <c r="AW34" s="461"/>
      <c r="AX34" s="461" t="str">
        <f>IF(AJ34="","",IF(AND($AG$3=$AG$1,AJ34&lt;=$AZ$1),0,IF(Main!$C$26="UGC",0,IF(OR(BB34=3,AL34=VLOOKUP(AL34,'IN RPS-2015'!$I$2:$J$5,1)),0,ROUND(IF(BB34=2,VLOOKUP(AM34,IF(AJ34&lt;$J$152,$A$154:$E$159,$F$154:$J$159),IF($B$10=VLOOKUP(AI34,$B$2:$G$4,6,TRUE),2,IF($B$10=VLOOKUP(AI34,$B$2:$G$4,6,TRUE),3,IF($D$10=VLOOKUP(AI34,$B$2:$G$4,6,TRUE),4,5))))/2,VLOOKUP(AM34,IF(AJ34&lt;$J$152,$A$154:$E$159,$F$154:$J$159),IF($B$10=VLOOKUP(AI34,$B$2:$G$4,6,TRUE),2,IF($B$10=VLOOKUP(AI34,$B$2:$G$4,6,TRUE),3,IF($D$10=VLOOKUP(AI34,$B$2:$G$4,6,TRUE),4,5)))))*(DAY(AK34)-DAY(AJ34)+1)/DAY(EOMONTH(AJ34,0)),0)))))</f>
        <v/>
      </c>
      <c r="AY34" s="461">
        <f t="shared" si="67"/>
        <v>0</v>
      </c>
      <c r="AZ34" s="464" t="str">
        <f>IF(AJ34="","",IF(AND($AG$3=$AG$1,AJ34&lt;=$AZ$1),0,IF(AND(Main!$F$22=Main!$CA$24,AJ34&gt;$AZ$1),ROUND(SUM(AM34,AO34)*10%,0),"")))</f>
        <v/>
      </c>
      <c r="BA34" s="464" t="str">
        <f>IF(AI34="","",IF(AND($AG$3=$AG$1,AJ34&lt;=$AZ$1),0,IF(OR(Main!$H$10=Main!$BH$4,Main!$H$10=Main!$BH$5),0,LOOKUP(AY34*DAY(EOMONTH(AJ34,0))/(DAY(AK34)-DAY(AJ34)+1),$H$184:$I$189))))</f>
        <v/>
      </c>
      <c r="BB34" s="497">
        <f t="shared" si="55"/>
        <v>1</v>
      </c>
      <c r="BC34" s="464"/>
      <c r="BD34" s="501" t="str">
        <f t="shared" si="56"/>
        <v/>
      </c>
      <c r="BE34" s="502" t="str">
        <f t="shared" si="85"/>
        <v/>
      </c>
      <c r="BF34" s="484" t="str">
        <f>IF(BE34="","",MIN(EOMONTH(BE34,0),VLOOKUP(BE34,'IN RPS-2015'!$O$164:$P$202,2,TRUE)-1,LOOKUP(BE34,$E$47:$F$53)-1,IF(BE34&lt;$B$2,$B$2-1,'IN RPS-2015'!$Q$9),IF(BE34&lt;$B$3,$B$3-1,'IN RPS-2015'!$Q$9),IF(BE34&lt;$B$4,$B$4-1,'IN RPS-2015'!$Q$9),LOOKUP(BE34,$H$47:$I$53)))</f>
        <v/>
      </c>
      <c r="BG34" s="493" t="str">
        <f>IF(BE34="","",VLOOKUP(BE34,'IN RPS-2015'!$P$164:$AA$202,10))</f>
        <v/>
      </c>
      <c r="BH34" s="461" t="str">
        <f t="shared" si="68"/>
        <v/>
      </c>
      <c r="BI34" s="461" t="str">
        <f>IF(BE34="","",IF(AND($AG$3=$AG$1,BE34&lt;=$AZ$1),0,ROUND(IF(BW34=3,0,IF(BW34=2,IF(BG34=VLOOKUP(BG34,'IN RPS-2015'!$I$2:$J$5,1),0,Main!$H$9)/2,IF(BG34=VLOOKUP(BG34,'IN RPS-2015'!$I$2:$J$5,1),0,Main!$H$9)))*(DAY(BF34)-DAY(BE34)+1)/DAY(EOMONTH(BE34,0)),0)))</f>
        <v/>
      </c>
      <c r="BJ34" s="461" t="str">
        <f>IF(BE34="","",IF(AND($AG$3=$AG$1,BE34&lt;=$AZ$1),0,IF(BG34=VLOOKUP(BG34,'IN RPS-2015'!$I$2:$J$5,1),0,ROUND(BH34*VLOOKUP(BE34,$AF$4:$AG$7,2)%,0))))</f>
        <v/>
      </c>
      <c r="BK34" s="461" t="str">
        <f>IF(BE34="","",IF(AND($AG$3=$AG$1,BE34&lt;=$AZ$1),0,IF(OR(BW34=3,BG34=VLOOKUP(BG34,'IN RPS-2015'!$I$2:$J$5,1)),0,ROUND(MIN(ROUND(BG34*VLOOKUP(BE34,$B$1:$G$4,2)%,0),VLOOKUP(BE34,$B$2:$I$4,IF($AG$3=$I$29,7,8),TRUE))*(DAY(BF34)-DAY(BE34)+1)/DAY(EOMONTH(BE34,0)),0))))</f>
        <v/>
      </c>
      <c r="BL34" s="491" t="str">
        <f>IF(BE34="","",IF(AND($AG$3=$AG$1,BE34&lt;=$AZ$1),0,IF(Main!$C$26="UGC",0,IF(OR(BE34&lt;DATE(2010,4,1),$I$6=VLOOKUP(BE34,$B$2:$G$4,5,TRUE),BG34=VLOOKUP(BG34,'IN RPS-2015'!$I$2:$J$5,1)),0,ROUND(IF(BW34=3,0,IF(BW34=2,MIN(ROUND(BG34*$G$13%,0),IF(BE34&lt;$J$152,$G$14,$G$15))/2,MIN(ROUND(BG34*$G$13%,0),IF(BE34&lt;$J$152,$G$14,$G$15))))*(DAY(BF34)-DAY(BE34)+1)/DAY(EOMONTH(BE34,0)),0)))))</f>
        <v/>
      </c>
      <c r="BM34" s="461" t="str">
        <f>IF(BE34="","",IF(AND($AG$3=$AG$1,BE34&lt;=$AZ$1),0,IF(Main!$C$26="UGC",0,IF(BG34=VLOOKUP(BG34,'IN RPS-2015'!$I$2:$J$5,1),0,ROUND(BH34*VLOOKUP(BE34,$AF$11:$AG$12,2)%,0)))))</f>
        <v/>
      </c>
      <c r="BN34" s="461" t="str">
        <f>IF(BE34="","",IF(AND($AG$3=$AG$1,BE34&lt;=$AZ$1),0,IF(Main!$C$26="UGC",0,IF(BE34&lt;DATE(2010,4,1),0,IF(OR(BW34=2,BW34=3,BG34=VLOOKUP(BG34,'IN RPS-2015'!$I$2:$J$5,1)),0,ROUND(IF(BE34&lt;$J$152,VLOOKUP(BE34,$B$1:$G$4,4),VLOOKUP(VLOOKUP(BE34,$B$1:$G$4,4),Main!$CE$2:$CF$5,2,FALSE))*(DAY(BF34)-DAY(BE34)+1)/DAY(EOMONTH(BE34,0)),0))))))</f>
        <v/>
      </c>
      <c r="BO34" s="461" t="str">
        <f>IF(BE34="","",IF(AND($AG$3=$AG$1,BE34&lt;=$AZ$1),0,IF(OR(BW34=2,BW34=3,$D$31=$D$28,BG34=VLOOKUP(BG34,'IN RPS-2015'!$I$2:$J$5,1)),0,ROUND(MIN(VLOOKUP(BD34,$A$27:$C$29,2,TRUE),ROUND(BG34*VLOOKUP(BD34,$A$27:$C$29,3,TRUE)%,0))*IF(BD34=$A$36,$C$36,IF(BD34=$A$37,$C$37,IF(BD34=$A$38,$C$38,IF(BD34=$A$39,$C$39,IF(BD34=$A$40,$C$40,IF(BD34=$A$41,$C$41,1))))))*(DAY(BF34)-DAY(BE34)+1)/DAY(EOMONTH(BE34,0)),0))))</f>
        <v/>
      </c>
      <c r="BP34" s="461" t="str">
        <f>IF(BE34="","",IF(AND($AG$3=$AG$1,BE34&lt;=$AZ$1),0,IF(Main!$C$26="UGC",0,IF(OR(BW34=3,BG34=VLOOKUP(BG34,'IN RPS-2015'!$I$2:$J$5,1)),0,ROUND(IF(BW34=2,VLOOKUP(BG34,IF($AG$3=$I$29,$A$20:$E$23,$F$144:$J$147),IF($B$19=VLOOKUP(BE34,$B$2:$G$4,3,TRUE),2,IF($C$19=VLOOKUP(BE34,$B$2:$G$4,3,TRUE),3,IF($D$19=VLOOKUP(BE34,$B$2:$G$4,3,TRUE),4,5))),TRUE),VLOOKUP(BG34,IF($AG$3=$I$29,$A$20:$E$23,$F$144:$J$147),IF($B$19=VLOOKUP(BE34,$B$2:$G$4,3,TRUE),2,IF($C$19=VLOOKUP(BE34,$B$2:$G$4,3,TRUE),3,IF($D$19=VLOOKUP(BE34,$B$2:$G$4,3,TRUE),4,5))),TRUE))*(DAY(BF34)-DAY(BE34)+1)/DAY(EOMONTH(BE34,0)),0)))))</f>
        <v/>
      </c>
      <c r="BQ34" s="461" t="str">
        <f>IF(BE34="","",IF(AND($AG$3=$AG$1,BE34&lt;=$AZ$1),0,IF(Main!$C$26="UGC",0,IF(OR(BD34&lt;DATE(2010,4,1),BW34=3,BG34=VLOOKUP(BG34,'IN RPS-2015'!$I$2:$J$5,1)),0,ROUND(IF(BW34=2,IF(BE34&lt;$J$152,Main!$L$9,Main!$CI$3)/2,IF(BE34&lt;$J$152,Main!$L$9,Main!$CI$3))*(DAY(BF34)-DAY(BE34)+1)/DAY(EOMONTH(BE34,0)),0)))))</f>
        <v/>
      </c>
      <c r="BR34" s="461"/>
      <c r="BS34" s="461" t="str">
        <f>IF(BE34="","",IF(AND($AG$3=$AG$1,BE34&lt;=$AZ$1),0,IF(Main!$C$26="UGC",0,IF(OR(BW34=3,BG34=VLOOKUP(BG34,'IN RPS-2015'!$I$2:$J$5,1)),0,ROUND(IF(BW34=2,VLOOKUP(BH34,IF(BE34&lt;$J$152,$A$154:$E$159,$F$154:$J$159),IF($B$10=VLOOKUP(BD34,$B$2:$G$4,6,TRUE),2,IF($B$10=VLOOKUP(BD34,$B$2:$G$4,6,TRUE),3,IF($D$10=VLOOKUP(BD34,$B$2:$G$4,6,TRUE),4,5))))/2,VLOOKUP(BH34,IF(BE34&lt;$J$152,$A$154:$E$159,$F$154:$J$159),IF($B$10=VLOOKUP(BD34,$B$2:$G$4,6,TRUE),2,IF($B$10=VLOOKUP(BD34,$B$2:$G$4,6,TRUE),3,IF($D$10=VLOOKUP(BD34,$B$2:$G$4,6,TRUE),4,5)))))*(DAY(BF34)-DAY(BE34)+1)/DAY(EOMONTH(BE34,0)),0)))))</f>
        <v/>
      </c>
      <c r="BT34" s="461">
        <f t="shared" si="69"/>
        <v>0</v>
      </c>
      <c r="BU34" s="464" t="str">
        <f>IF(BE34="","",IF(AND($AG$3=$AG$1,BE34&lt;=$AZ$1),0,IF(AND(Main!$F$22=Main!$CA$24,BE34&gt;$AZ$1),ROUND(SUM(BH34,BJ34)*10%,0),"")))</f>
        <v/>
      </c>
      <c r="BV34" s="464" t="str">
        <f>IF(BD34="","",IF(AND($AG$3=$AG$1,BE34&lt;=$AZ$1),0,IF(OR(Main!$H$10=Main!$BH$4,Main!$H$10=Main!$BH$5),0,LOOKUP(BT34*DAY(EOMONTH(BE34,0))/(DAY(BF34)-DAY(BE34)+1),$H$184:$I$189))))</f>
        <v/>
      </c>
      <c r="BW34" s="503">
        <f t="shared" si="70"/>
        <v>1</v>
      </c>
      <c r="BX34" s="457">
        <f t="shared" si="71"/>
        <v>0</v>
      </c>
      <c r="BY34" s="457"/>
      <c r="BZ34" s="457"/>
      <c r="CA34" s="457"/>
      <c r="CB34" s="461"/>
      <c r="CC34" s="499" t="str">
        <f t="shared" si="57"/>
        <v/>
      </c>
      <c r="CD34" s="500" t="str">
        <f t="shared" si="86"/>
        <v/>
      </c>
      <c r="CE34" s="484" t="str">
        <f>IF(CD34="","",MIN(EOMONTH(CD34,0),VLOOKUP(CD34,'IN RPS-2015'!$O$164:$P$202,2,TRUE)-1,LOOKUP(CD34,$E$47:$F$53)-1,IF(CD34&lt;$B$2,$B$2-1,'IN RPS-2015'!$Q$9),IF(CD34&lt;$B$3,$B$3-1,'IN RPS-2015'!$Q$9),IF(CD34&lt;$B$4,$B$4-1,'IN RPS-2015'!$Q$9),LOOKUP(CD34,$H$47:$I$53)))</f>
        <v/>
      </c>
      <c r="CF34" s="490" t="str">
        <f>IF(CD34="","",VLOOKUP(CD34,'IN RPS-2015'!$T$207:$Y$222,5))</f>
        <v/>
      </c>
      <c r="CG34" s="461" t="str">
        <f t="shared" si="72"/>
        <v/>
      </c>
      <c r="CH34" s="461" t="str">
        <f>IF(CD34="","",IF(AND($CA$3=$CA$1,CD34&lt;=$CT$1),0,ROUND(IF(CV34=3,0,IF(CV34=2,IF(CF34=VLOOKUP(CF34,'IN RPS-2015'!$I$2:$J$5,1),0,Main!$H$9)/2,IF(CF34=VLOOKUP(CF34,'IN RPS-2015'!$I$2:$J$5,1),0,Main!$H$9)))*(DAY(CE34)-DAY(CD34)+1)/DAY(EOMONTH(CD34,0)),0)))</f>
        <v/>
      </c>
      <c r="CI34" s="461" t="str">
        <f>IF(CD34="","",IF(AND($CA$3=$CA$1,CD34&lt;=$CT$1),0,IF(CF34=VLOOKUP(CF34,'IN RPS-2015'!$I$2:$J$5,1),0,ROUND(CG34*VLOOKUP(CD34,$BZ$4:$CA$7,2)%,0))))</f>
        <v/>
      </c>
      <c r="CJ34" s="461" t="str">
        <f>IF(CD34="","",IF(AND($CA$3=$CA$1,CD34&lt;=$CT$1),0,IF(OR(CV34=3,CF34=VLOOKUP(CF34,'IN RPS-2015'!$I$2:$J$5,1)),0,ROUND(MIN(ROUND(CF34*VLOOKUP(CD34,$B$1:$G$4,2)%,0),VLOOKUP(CD34,$B$2:$I$4,IF($CA$3=$I$29,7,8),TRUE))*(DAY(CE34)-DAY(CD34)+1)/DAY(EOMONTH(CD34,0)),0))))</f>
        <v/>
      </c>
      <c r="CK34" s="491" t="str">
        <f>IF(CD34="","",IF(AND($CA$3=$CA$1,CD34&lt;=$CT$1),0,IF(Main!$C$26="UGC",0,IF(OR(CD34&lt;DATE(2010,4,1),$I$6=VLOOKUP(CD34,$B$2:$G$4,5,TRUE),CF34=VLOOKUP(CF34,'IN RPS-2015'!$I$2:$J$5,1)),0,ROUND(IF(CV34=3,0,IF(CV34=2,MIN(ROUND(CF34*$G$13%,0),IF(CD34&lt;$J$152,$G$14,$G$15))/2,MIN(ROUND(CF34*$G$13%,0),IF(CD34&lt;$J$152,$G$14,$G$15))))*(DAY(CE34)-DAY(CD34)+1)/DAY(EOMONTH(CD34,0)),0)))))</f>
        <v/>
      </c>
      <c r="CL34" s="461" t="str">
        <f>IF(CD34="","",IF(AND($CA$3=$CA$1,CD34&lt;=$CT$1),0,IF(Main!$C$26="UGC",0,IF(CF34=VLOOKUP(CF34,'IN RPS-2015'!$I$2:$J$5,1),0,ROUND(CG34*VLOOKUP(CD34,$BZ$11:$CA$12,2)%,0)))))</f>
        <v/>
      </c>
      <c r="CM34" s="461" t="str">
        <f>IF(CD34="","",IF(AND($CA$3=$CA$1,CD34&lt;=$CT$1),0,IF(Main!$C$26="UGC",0,IF(CD34&lt;DATE(2010,4,1),0,IF(OR(CV34=2,CV34=3,CF34=VLOOKUP(CF34,'IN RPS-2015'!$I$2:$J$5,1)),0,ROUND(IF(CD34&lt;$J$152,VLOOKUP(CD34,$B$1:$G$4,4),VLOOKUP(VLOOKUP(CD34,$B$1:$G$4,4),Main!$CE$2:$CF$5,2,FALSE))*(DAY(CE34)-DAY(CD34)+1)/DAY(EOMONTH(CD34,0)),0))))))</f>
        <v/>
      </c>
      <c r="CN34" s="461" t="str">
        <f>IF(CD34="","",IF(AND($CA$3=$CA$1,CD34&lt;=$CT$1),0,IF(OR(CV34=2,CV34=3,$D$31=$D$28,CF34=VLOOKUP(CF34,'IN RPS-2015'!$I$2:$J$5,1)),0,ROUND(MIN(VLOOKUP(CC34,$A$27:$C$29,2,TRUE),ROUND(CF34*VLOOKUP(CC34,$A$27:$C$29,3,TRUE)%,0))*IF(CC34=$A$36,$C$36,IF(CC34=$A$37,$C$37,IF(CC34=$A$38,$C$38,IF(CC34=$A$39,$C$39,IF(CC34=$A$40,$C$40,IF(CC34=$A$41,$C$41,1))))))*(DAY(CE34)-DAY(CD34)+1)/DAY(EOMONTH(CD34,0)),0))))</f>
        <v/>
      </c>
      <c r="CO34" s="461" t="str">
        <f>IF(CD34="","",IF(AND($CA$3=$CA$1,CD34&lt;=$CT$1),0,IF(Main!$C$26="UGC",0,IF(OR(CV34=3,CF34=VLOOKUP(CF34,'IN RPS-2015'!$I$2:$J$5,1)),0,ROUND(IF(CV34=2,VLOOKUP(CF34,IF($CA$3=$I$29,$A$20:$E$23,$F$144:$J$147),IF($B$19=VLOOKUP(CD34,$B$2:$G$4,3,TRUE),2,IF($C$19=VLOOKUP(CD34,$B$2:$G$4,3,TRUE),3,IF($D$19=VLOOKUP(CD34,$B$2:$G$4,3,TRUE),4,5))),TRUE),VLOOKUP(CF34,IF($CA$3=$I$29,$A$20:$E$23,$F$144:$J$147),IF($B$19=VLOOKUP(CD34,$B$2:$G$4,3,TRUE),2,IF($C$19=VLOOKUP(CD34,$B$2:$G$4,3,TRUE),3,IF($D$19=VLOOKUP(CD34,$B$2:$G$4,3,TRUE),4,5))),TRUE))*(DAY(CE34)-DAY(CD34)+1)/DAY(EOMONTH(CD34,0)),0)))))</f>
        <v/>
      </c>
      <c r="CP34" s="461" t="str">
        <f>IF(CD34="","",IF(AND($CA$3=$CA$1,CD34&lt;=$CT$1),0,IF(Main!$C$26="UGC",0,IF(OR(CC34&lt;DATE(2010,4,1),CV34=3,CF34=VLOOKUP(CF34,'IN RPS-2015'!$I$2:$J$5,1)),0,ROUND(IF(CV34=2,IF(CD34&lt;$J$152,Main!$L$9,Main!$CI$3)/2,IF(CD34&lt;$J$152,Main!$L$9,Main!$CI$3))*(DAY(CE34)-DAY(CD34)+1)/DAY(EOMONTH(CD34,0)),0)))))</f>
        <v/>
      </c>
      <c r="CQ34" s="461"/>
      <c r="CR34" s="461" t="str">
        <f>IF(CD34="","",IF(AND($CA$3=$CA$1,CD34&lt;=$CT$1),0,IF(Main!$C$26="UGC",0,IF(OR(CV34=3,CF34=VLOOKUP(CF34,'IN RPS-2015'!$I$2:$J$5,1)),0,ROUND(IF(CV34=2,VLOOKUP(CG34,IF(CD34&lt;$J$152,$A$154:$E$159,$F$154:$J$159),IF($B$10=VLOOKUP(CC34,$B$2:$G$4,6,TRUE),2,IF($B$10=VLOOKUP(CC34,$B$2:$G$4,6,TRUE),3,IF($D$10=VLOOKUP(CC34,$B$2:$G$4,6,TRUE),4,5))))/2,VLOOKUP(CG34,IF(CD34&lt;$J$152,$A$154:$E$159,$F$154:$J$159),IF($B$10=VLOOKUP(CC34,$B$2:$G$4,6,TRUE),2,IF($B$10=VLOOKUP(CC34,$B$2:$G$4,6,TRUE),3,IF($D$10=VLOOKUP(CC34,$B$2:$G$4,6,TRUE),4,5)))))*(DAY(CE34)-DAY(CD34)+1)/DAY(EOMONTH(CD34,0)),0)))))</f>
        <v/>
      </c>
      <c r="CS34" s="461">
        <f t="shared" si="73"/>
        <v>0</v>
      </c>
      <c r="CT34" s="464" t="str">
        <f>IF(CD34="","",IF(AND($CA$3=$CA$1,CD34&lt;=$CT$1),0,IF(AND(Main!$F$22=Main!$CA$24,CD34&gt;$CT$1),ROUND(SUM(CG34,CI34)*10%,0),"")))</f>
        <v/>
      </c>
      <c r="CU34" s="464" t="str">
        <f>IF(CC34="","",IF(CG34=0,0,IF(OR(Main!$H$10=Main!$BH$4,Main!$H$10=Main!$BH$5),0,LOOKUP(CS34*DAY(EOMONTH(CD34,0))/(DAY(CE34)-DAY(CD34)+1),$H$184:$I$189))))</f>
        <v/>
      </c>
      <c r="CV34" s="457">
        <f t="shared" si="74"/>
        <v>1</v>
      </c>
      <c r="CW34" s="464"/>
      <c r="CX34" s="501" t="str">
        <f t="shared" si="59"/>
        <v/>
      </c>
      <c r="CY34" s="502" t="str">
        <f t="shared" si="87"/>
        <v/>
      </c>
      <c r="CZ34" s="484" t="str">
        <f>IF(CY34="","",MIN(EOMONTH(CY34,0),VLOOKUP(CY34,'IN RPS-2015'!$O$164:$P$202,2,TRUE)-1,LOOKUP(CY34,$E$47:$F$53)-1,IF(CY34&lt;$B$2,$B$2-1,'IN RPS-2015'!$Q$9),IF(CY34&lt;$B$3,$B$3-1,'IN RPS-2015'!$Q$9),IF(CY34&lt;$B$4,$B$4-1,'IN RPS-2015'!$Q$9),LOOKUP(CY34,$H$47:$I$53)))</f>
        <v/>
      </c>
      <c r="DA34" s="493" t="str">
        <f>IF(CY34="","",VLOOKUP(CY34,'IN RPS-2015'!$T$207:$Y$222,6))</f>
        <v/>
      </c>
      <c r="DB34" s="461" t="str">
        <f t="shared" si="75"/>
        <v/>
      </c>
      <c r="DC34" s="461" t="str">
        <f>IF(CY34="","",IF(AND($CA$3=$CA$1,CY34&lt;=$CT$1),0,ROUND(IF(DQ34=3,0,IF(DQ34=2,IF(DA34=VLOOKUP(DA34,'IN RPS-2015'!$I$2:$J$5,1),0,Main!$H$9)/2,IF(DA34=VLOOKUP(DA34,'IN RPS-2015'!$I$2:$J$5,1),0,Main!$H$9)))*(DAY(CZ34)-DAY(CY34)+1)/DAY(EOMONTH(CY34,0)),0)))</f>
        <v/>
      </c>
      <c r="DD34" s="461" t="str">
        <f>IF(CY34="","",IF(AND($CA$3=$CA$1,CY34&lt;=$CT$1),0,IF(DA34=VLOOKUP(DA34,'IN RPS-2015'!$I$2:$J$5,1),0,ROUND(DB34*VLOOKUP(CY34,$BZ$4:$CA$7,2)%,0))))</f>
        <v/>
      </c>
      <c r="DE34" s="461" t="str">
        <f>IF(CY34="","",IF(AND($CA$3=$CA$1,CY34&lt;=$CT$1),0,IF(OR(DQ34=3,DA34=VLOOKUP(DA34,'IN RPS-2015'!$I$2:$J$5,1)),0,ROUND(MIN(ROUND(DA34*VLOOKUP(CY34,$B$1:$G$4,2)%,0),VLOOKUP(CY34,$B$2:$I$4,IF($CA$3=$I$29,7,8),TRUE))*(DAY(CZ34)-DAY(CY34)+1)/DAY(EOMONTH(CY34,0)),0))))</f>
        <v/>
      </c>
      <c r="DF34" s="491" t="str">
        <f>IF(CY34="","",IF(AND($CA$3=$CA$1,CY34&lt;=$CT$1),0,IF(Main!$C$26="UGC",0,IF(OR(CY34&lt;DATE(2010,4,1),$I$6=VLOOKUP(CY34,$B$2:$G$4,5,TRUE),DA34=VLOOKUP(DA34,'IN RPS-2015'!$I$2:$J$5,1)),0,ROUND(IF(DQ34=3,0,IF(DQ34=2,MIN(ROUND(DA34*$G$13%,0),IF(CY34&lt;$J$152,$G$14,$G$15))/2,MIN(ROUND(DA34*$G$13%,0),IF(CY34&lt;$J$152,$G$14,$G$15))))*(DAY(CZ34)-DAY(CY34)+1)/DAY(EOMONTH(CY34,0)),0)))))</f>
        <v/>
      </c>
      <c r="DG34" s="461" t="str">
        <f>IF(CY34="","",IF(AND($CA$3=$CA$1,CY34&lt;=$CT$1),0,IF(Main!$C$26="UGC",0,IF(DA34=VLOOKUP(DA34,'IN RPS-2015'!$I$2:$J$5,1),0,ROUND(DB34*VLOOKUP(CY34,$BZ$11:$CA$12,2)%,0)))))</f>
        <v/>
      </c>
      <c r="DH34" s="461" t="str">
        <f>IF(CY34="","",IF(AND($CA$3=$CA$1,CY34&lt;=$CT$1),0,IF(Main!$C$26="UGC",0,IF(CY34&lt;DATE(2010,4,1),0,IF(OR(DQ34=2,DQ34=3,DA34=VLOOKUP(DA34,'IN RPS-2015'!$I$2:$J$5,1)),0,ROUND(IF(CY34&lt;$J$152,VLOOKUP(CY34,$B$1:$G$4,4),VLOOKUP(VLOOKUP(CY34,$B$1:$G$4,4),Main!$CE$2:$CF$5,2,FALSE))*(DAY(CZ34)-DAY(CY34)+1)/DAY(EOMONTH(CY34,0)),0))))))</f>
        <v/>
      </c>
      <c r="DI34" s="461" t="str">
        <f>IF(CY34="","",IF(AND($CA$3=$CA$1,CY34&lt;=$CT$1),0,IF(OR(DQ34=2,DQ34=3,$D$31=$D$28,DA34=VLOOKUP(DA34,'IN RPS-2015'!$I$2:$J$5,1)),0,ROUND(MIN(VLOOKUP(CX34,$A$27:$C$29,2,TRUE),ROUND(DA34*VLOOKUP(CX34,$A$27:$C$29,3,TRUE)%,0))*IF(CX34=$A$36,$C$36,IF(CX34=$A$37,$C$37,IF(CX34=$A$38,$C$38,IF(CX34=$A$39,$C$39,IF(CX34=$A$40,$C$40,IF(CX34=$A$41,$C$41,1))))))*(DAY(CZ34)-DAY(CY34)+1)/DAY(EOMONTH(CY34,0)),0))))</f>
        <v/>
      </c>
      <c r="DJ34" s="461" t="str">
        <f>IF(CY34="","",IF(AND($CA$3=$CA$1,CY34&lt;=$CT$1),0,IF(Main!$C$26="UGC",0,IF(OR(DQ34=3,DA34=VLOOKUP(DA34,'IN RPS-2015'!$I$2:$J$5,1)),0,ROUND(IF(DQ34=2,VLOOKUP(DA34,IF($CA$3=$I$29,$A$20:$E$23,$F$144:$J$147),IF($B$19=VLOOKUP(CY34,$B$2:$G$4,3,TRUE),2,IF($C$19=VLOOKUP(CY34,$B$2:$G$4,3,TRUE),3,IF($D$19=VLOOKUP(CY34,$B$2:$G$4,3,TRUE),4,5))),TRUE),VLOOKUP(DA34,IF($CA$3=$I$29,$A$20:$E$23,$F$144:$J$147),IF($B$19=VLOOKUP(CY34,$B$2:$G$4,3,TRUE),2,IF($C$19=VLOOKUP(CY34,$B$2:$G$4,3,TRUE),3,IF($D$19=VLOOKUP(CY34,$B$2:$G$4,3,TRUE),4,5))),TRUE))*(DAY(CZ34)-DAY(CY34)+1)/DAY(EOMONTH(CY34,0)),0)))))</f>
        <v/>
      </c>
      <c r="DK34" s="461" t="str">
        <f>IF(CY34="","",IF(AND($CA$3=$CA$1,CY34&lt;=$CT$1),0,IF(Main!$C$26="UGC",0,IF(OR(CX34&lt;DATE(2010,4,1),DQ34=3,DA34=VLOOKUP(DA34,'IN RPS-2015'!$I$2:$J$5,1)),0,ROUND(IF(DQ34=2,IF(CY34&lt;$J$152,Main!$L$9,Main!$CI$3)/2,IF(CY34&lt;$J$152,Main!$L$9,Main!$CI$3))*(DAY(CZ34)-DAY(CY34)+1)/DAY(EOMONTH(CY34,0)),0)))))</f>
        <v/>
      </c>
      <c r="DL34" s="461"/>
      <c r="DM34" s="461" t="str">
        <f>IF(CY34="","",IF(AND($CA$3=$CA$1,CY34&lt;=$CT$1),0,IF(Main!$C$26="UGC",0,IF(OR(DQ34=3,DA34=VLOOKUP(DA34,'IN RPS-2015'!$I$2:$J$5,1)),0,ROUND(IF(DQ34=2,VLOOKUP(DB34,IF(CY34&lt;$J$152,$A$154:$E$159,$F$154:$J$159),IF($B$10=VLOOKUP(CX34,$B$2:$G$4,6,TRUE),2,IF($B$10=VLOOKUP(CX34,$B$2:$G$4,6,TRUE),3,IF($D$10=VLOOKUP(CX34,$B$2:$G$4,6,TRUE),4,5))))/2,VLOOKUP(DB34,IF(CY34&lt;$J$152,$A$154:$E$159,$F$154:$J$159),IF($B$10=VLOOKUP(CX34,$B$2:$G$4,6,TRUE),2,IF($B$10=VLOOKUP(CX34,$B$2:$G$4,6,TRUE),3,IF($D$10=VLOOKUP(CX34,$B$2:$G$4,6,TRUE),4,5)))))*(DAY(CZ34)-DAY(CY34)+1)/DAY(EOMONTH(CY34,0)),0)))))</f>
        <v/>
      </c>
      <c r="DN34" s="461">
        <f t="shared" si="76"/>
        <v>0</v>
      </c>
      <c r="DO34" s="464" t="str">
        <f>IF(CY34="","",IF(AND($CA$3=$CA$1,CY34&lt;=$CT$1),0,IF(AND(Main!$F$22=Main!$CA$24,CY34&gt;$CT$1),ROUND(SUM(DB34,DD34)*10%,0),"")))</f>
        <v/>
      </c>
      <c r="DP34" s="464" t="str">
        <f>IF(CX34="","",IF(AND($CA$3=$CA$1,CY34&lt;=$CT$1),0,IF(OR(Main!$H$10=Main!$BH$4,Main!$H$10=Main!$BH$5),0,LOOKUP(DN34*DAY(EOMONTH(CY34,0))/(DAY(CZ34)-DAY(CY34)+1),$H$184:$I$189))))</f>
        <v/>
      </c>
      <c r="DQ34" s="457">
        <f t="shared" si="60"/>
        <v>1</v>
      </c>
      <c r="DR34" s="457">
        <f t="shared" si="77"/>
        <v>0</v>
      </c>
      <c r="DS34" s="457"/>
      <c r="DT34" s="457"/>
      <c r="DU34" s="457"/>
      <c r="DV34" s="461"/>
      <c r="DW34" s="499" t="str">
        <f t="shared" si="61"/>
        <v/>
      </c>
      <c r="DX34" s="500" t="str">
        <f t="shared" si="88"/>
        <v/>
      </c>
      <c r="DY34" s="484" t="str">
        <f>IF(DX34="","",MIN(EOMONTH(DX34,0),VLOOKUP(DX34,'IN RPS-2015'!$O$164:$P$202,2,TRUE)-1,LOOKUP(DX34,$E$47:$F$53)-1,IF(DX34&lt;$B$2,$B$2-1,'IN RPS-2015'!$Q$9),IF(DX34&lt;$B$3,$B$3-1,'IN RPS-2015'!$Q$9),IF(DX34&lt;$B$4,$B$4-1,'IN RPS-2015'!$Q$9),LOOKUP(DX34,$H$47:$I$53)))</f>
        <v/>
      </c>
      <c r="DZ34" s="490" t="str">
        <f>IF(DX34="","",VLOOKUP(DX34,'IN RPS-2015'!$P$164:$AA$202,11))</f>
        <v/>
      </c>
      <c r="EA34" s="461" t="str">
        <f t="shared" si="78"/>
        <v/>
      </c>
      <c r="EB34" s="461" t="str">
        <f>IF(DX34="","",ROUND(IF(EP34=3,0,IF(EP34=2,IF(DZ34=VLOOKUP(DZ34,'IN RPS-2015'!$I$2:$J$5,1),0,Main!$H$9)/2,IF(DZ34=VLOOKUP(DZ34,'IN RPS-2015'!$I$2:$J$5,1),0,Main!$H$9)))*(DAY(DY34)-DAY(DX34)+1)/DAY(EOMONTH(DX34,0)),0))</f>
        <v/>
      </c>
      <c r="EC34" s="461" t="str">
        <f>IF(DX34="","",IF(DZ34=VLOOKUP(DZ34,'IN RPS-2015'!$I$2:$J$5,1),0,ROUND(EA34*VLOOKUP(DX34,$DT$4:$DU$7,2)%,0)))</f>
        <v/>
      </c>
      <c r="ED34" s="461" t="str">
        <f>IF(DX34="","",IF(OR(EP34=3,DZ34=VLOOKUP(DZ34,'IN RPS-2015'!$I$2:$J$5,1)),0,ROUND(MIN(ROUND(DZ34*VLOOKUP(DX34,$B$1:$G$4,2)%,0),VLOOKUP(DX34,$B$2:$I$4,IF($DU$3=$I$29,7,8),TRUE))*(DAY(DY34)-DAY(DX34)+1)/DAY(EOMONTH(DX34,0)),0)))</f>
        <v/>
      </c>
      <c r="EE34" s="491" t="str">
        <f>IF(DX34="","",IF(Main!$C$26="UGC",0,IF(OR(DX34&lt;DATE(2010,4,1),$I$6=VLOOKUP(DX34,$B$2:$G$4,5,TRUE),DZ34=VLOOKUP(DZ34,'IN RPS-2015'!$I$2:$J$5,1)),0,ROUND(IF(EP34=3,0,IF(EP34=2,MIN(ROUND(DZ34*$G$13%,0),IF(DX34&lt;$I$152,$G$14,$G$15))/2,MIN(ROUND(DZ34*$G$13%,0),IF(DX34&lt;$I$152,$G$14,$G$15))))*(DAY(DY34)-DAY(DX34)+1)/DAY(EOMONTH(DX34,0)),0))))</f>
        <v/>
      </c>
      <c r="EF34" s="461" t="str">
        <f>IF(DX34="","",IF(Main!$C$26="UGC",0,IF(DZ34=VLOOKUP(DZ34,'IN RPS-2015'!$I$2:$J$5,1),0,ROUND(EA34*VLOOKUP(DX34,$DT$11:$DU$12,2)%,0))))</f>
        <v/>
      </c>
      <c r="EG34" s="461" t="str">
        <f>IF(DX34="","",IF(Main!$C$26="UGC",0,IF(DX34&lt;DATE(2010,4,1),0,IF(OR(EP34=2,EP34=3,DZ34=VLOOKUP(DZ34,'IN RPS-2015'!$I$2:$J$5,1)),0,ROUND(IF(DX34&lt;$I$152,VLOOKUP(DX34,$B$1:$G$4,4),VLOOKUP(VLOOKUP(DX34,$B$1:$G$4,4),Main!$CE$2:$CF$5,2,FALSE))*(DAY(DY34)-DAY(DX34)+1)/DAY(EOMONTH(DX34,0)),0)))))</f>
        <v/>
      </c>
      <c r="EH34" s="461" t="str">
        <f>IF(DX34="","",IF(OR(EP34=2,EP34=3,$D$31=$D$28,DZ34=VLOOKUP(DZ34,'IN RPS-2015'!$I$2:$J$5,1)),0,ROUND(MIN(IF(DX34&lt;$I$152,900,1350),ROUND(DZ34*VLOOKUP(DW34,$A$27:$C$29,3,TRUE)%,0))*IF(DW34=$A$36,$C$36,IF(DW34=$A$37,$C$37,IF(DW34=$A$38,$C$38,IF(DW34=$A$39,$C$39,IF(DW34=$A$40,$C$40,IF(DW34=$A$41,$C$41,1))))))*(DAY(DY34)-DAY(DX34)+1)/DAY(EOMONTH(DX34,0)),0)))</f>
        <v/>
      </c>
      <c r="EI34" s="461" t="str">
        <f>IF(DX34="","",IF(Main!$C$26="UGC",0,IF(OR(EP34=3,DZ34=VLOOKUP(DZ34,'IN RPS-2015'!$I$2:$J$5,1)),0,ROUND(IF(EP34=2,VLOOKUP(DZ34,IF($DU$3=$I$29,$A$20:$E$23,$F$144:$J$147),IF($B$19=VLOOKUP(DX34,$B$2:$G$4,3,TRUE),2,IF($C$19=VLOOKUP(DX34,$B$2:$G$4,3,TRUE),3,IF($D$19=VLOOKUP(DX34,$B$2:$G$4,3,TRUE),4,5))),TRUE),VLOOKUP(DZ34,IF($DU$3=$I$29,$A$20:$E$23,$F$144:$J$147),IF($B$19=VLOOKUP(DX34,$B$2:$G$4,3,TRUE),2,IF($C$19=VLOOKUP(DX34,$B$2:$G$4,3,TRUE),3,IF($D$19=VLOOKUP(DX34,$B$2:$G$4,3,TRUE),4,5))),TRUE))*(DAY(DY34)-DAY(DX34)+1)/DAY(EOMONTH(DX34,0)),0))))</f>
        <v/>
      </c>
      <c r="EJ34" s="461" t="str">
        <f>IF(DX34="","",IF(Main!$C$26="UGC",0,IF(OR(DW34&lt;DATE(2010,4,1),EP34=3,DZ34=VLOOKUP(DZ34,'IN RPS-2015'!$I$2:$J$5,1)),0,ROUND(IF(EP34=2,IF(DX34&lt;$I$152,Main!$L$9,Main!$CI$3)/2,IF(DX34&lt;$I$152,Main!$L$9,Main!$CI$3))*(DAY(DY34)-DAY(DX34)+1)/DAY(EOMONTH(DX34,0)),0))))</f>
        <v/>
      </c>
      <c r="EK34" s="461"/>
      <c r="EL34" s="461" t="str">
        <f>IF(DX34="","",IF(Main!$C$26="UGC",0,IF(OR(EP34=3,DZ34=VLOOKUP(DZ34,'IN RPS-2015'!$I$2:$J$5,1)),0,ROUND(IF(EP34=2,VLOOKUP(EA34,IF(DX34&lt;$I$152,$A$154:$E$159,$F$154:$J$159),IF($B$10=VLOOKUP(DW34,$B$2:$G$4,6,TRUE),2,IF($B$10=VLOOKUP(DW34,$B$2:$G$4,6,TRUE),3,IF($D$10=VLOOKUP(DW34,$B$2:$G$4,6,TRUE),4,5))))/2,VLOOKUP(EA34,IF(DX34&lt;$I$152,$A$154:$E$159,$F$154:$J$159),IF($B$10=VLOOKUP(DW34,$B$2:$G$4,6,TRUE),2,IF($B$10=VLOOKUP(DW34,$B$2:$G$4,6,TRUE),3,IF($D$10=VLOOKUP(DW34,$B$2:$G$4,6,TRUE),4,5)))))*(DAY(DY34)-DAY(DX34)+1)/DAY(EOMONTH(DX34,0)),0))))</f>
        <v/>
      </c>
      <c r="EM34" s="461">
        <f t="shared" si="79"/>
        <v>0</v>
      </c>
      <c r="EN34" s="464" t="str">
        <f>IF(DX34="","",IF(AND(Main!$F$22=Main!$CA$24,DX34&gt;$EN$1),ROUND(SUM(EA34,EC34)*10%,0),""))</f>
        <v/>
      </c>
      <c r="EO34" s="464" t="str">
        <f>IF(DW34="","",IF(EA34=0,0,IF(OR(Main!$H$10=Main!$BH$4,Main!$H$10=Main!$BH$5),0,LOOKUP(EM34*DAY(EOMONTH(DX34,0))/(DAY(DY34)-DAY(DX34)+1),$H$184:$I$189))))</f>
        <v/>
      </c>
      <c r="EP34" s="457">
        <f t="shared" si="62"/>
        <v>1</v>
      </c>
      <c r="ET34" s="461"/>
      <c r="EU34" s="499" t="str">
        <f t="shared" si="63"/>
        <v/>
      </c>
      <c r="EV34" s="500" t="str">
        <f t="shared" si="89"/>
        <v/>
      </c>
      <c r="EW34" s="484" t="str">
        <f>IF(EV34="","",MIN(EOMONTH(EV34,0),VLOOKUP(EV34,'IN RPS-2015'!$O$164:$P$202,2,TRUE)-1,LOOKUP(EV34,$E$47:$F$53)-1,IF(EV34&lt;$B$2,$B$2-1,'IN RPS-2015'!$Q$9),IF(EV34&lt;$B$3,$B$3-1,'IN RPS-2015'!$Q$9),IF(EV34&lt;$B$4,$B$4-1,'IN RPS-2015'!$Q$9),LOOKUP(EV34,$H$47:$I$53)))</f>
        <v/>
      </c>
      <c r="EX34" s="490" t="str">
        <f>IF(EV34="","",VLOOKUP(EV34,'IN RPS-2015'!$P$164:$AA$202,12))</f>
        <v/>
      </c>
      <c r="EY34" s="461" t="str">
        <f t="shared" si="80"/>
        <v/>
      </c>
      <c r="EZ34" s="461" t="str">
        <f>IF(EV34="","",ROUND(IF(FN34=3,0,IF(FN34=2,IF(EX34=VLOOKUP(EX34,'IN RPS-2015'!$I$2:$J$5,1),0,Main!$H$9)/2,IF(EX34=VLOOKUP(EX34,'IN RPS-2015'!$I$2:$J$5,1),0,Main!$H$9)))*(DAY(EW34)-DAY(EV34)+1)/DAY(EOMONTH(EV34,0)),0))</f>
        <v/>
      </c>
      <c r="FA34" s="461" t="str">
        <f>IF(EV34="","",IF(EX34=VLOOKUP(EX34,'IN RPS-2015'!$I$2:$J$5,1),0,ROUND(EY34*VLOOKUP(EV34,$ER$4:$ES$7,2)%,0)))</f>
        <v/>
      </c>
      <c r="FB34" s="461" t="str">
        <f>IF(EV34="","",IF(OR(FN34=3,EX34=VLOOKUP(EX34,'IN RPS-2015'!$I$2:$J$5,1)),0,ROUND(MIN(ROUND(EX34*VLOOKUP(EV34,$B$1:$G$4,2)%,0),VLOOKUP(EV34,$B$2:$I$4,IF($ES$3=$I$29,7,8),TRUE))*(DAY(EW34)-DAY(EV34)+1)/DAY(EOMONTH(EV34,0)),0)))</f>
        <v/>
      </c>
      <c r="FC34" s="491" t="str">
        <f>IF(EV34="","",IF(Main!$C$26="UGC",0,IF(OR(EV34&lt;DATE(2010,4,1),$I$6=VLOOKUP(EV34,$B$2:$G$4,5,TRUE),EX34=VLOOKUP(EX34,'IN RPS-2015'!$I$2:$J$5,1)),0,ROUND(IF(FN34=3,0,IF(FN34=2,MIN(ROUND(EX34*$G$13%,0),IF(EV34&lt;$J$152,$G$14,$G$15))/2,MIN(ROUND(EX34*$G$13%,0),IF(EV34&lt;$J$152,$G$14,$G$15))))*(DAY(EW34)-DAY(EV34)+1)/DAY(EOMONTH(EV34,0)),0))))</f>
        <v/>
      </c>
      <c r="FD34" s="461" t="str">
        <f>IF(EV34="","",IF(Main!$C$26="UGC",0,IF(EX34=VLOOKUP(EX34,'IN RPS-2015'!$I$2:$J$5,1),0,ROUND(EY34*VLOOKUP(EV34,$ER$11:$ES$12,2)%,0))))</f>
        <v/>
      </c>
      <c r="FE34" s="461" t="str">
        <f>IF(EV34="","",IF(Main!$C$26="UGC",0,IF(EV34&lt;DATE(2010,4,1),0,IF(OR(FN34=2,FN34=3,EX34=VLOOKUP(EX34,'IN RPS-2015'!$I$2:$J$5,1)),0,ROUND(IF(EV34&lt;$J$152,VLOOKUP(EV34,$B$1:$G$4,4),VLOOKUP(VLOOKUP(EV34,$B$1:$G$4,4),Main!$CE$2:$CF$5,2,FALSE))*(DAY(EW34)-DAY(EV34)+1)/DAY(EOMONTH(EV34,0)),0)))))</f>
        <v/>
      </c>
      <c r="FF34" s="461" t="str">
        <f>IF(EV34="","",IF(OR(FN34=2,FN34=3,$D$31=$D$28,EX34=VLOOKUP(EX34,'IN RPS-2015'!$I$2:$J$5,1)),0,ROUND(MIN(VLOOKUP(EU34,$A$27:$C$29,2,TRUE),ROUND(EX34*VLOOKUP(EU34,$A$27:$C$29,3,TRUE)%,0))*IF(EU34=$A$36,$C$36,IF(EU34=$A$37,$C$37,IF(EU34=$A$38,$C$38,IF(EU34=$A$39,$C$39,IF(EU34=$A$40,$C$40,IF(EU34=$A$41,$C$41,1))))))*(DAY(EW34)-DAY(EV34)+1)/DAY(EOMONTH(EV34,0)),0)))</f>
        <v/>
      </c>
      <c r="FG34" s="461" t="str">
        <f>IF(EV34="","",IF(Main!$C$26="UGC",0,IF(OR(FN34=3,EX34=VLOOKUP(EX34,'IN RPS-2015'!$I$2:$J$5,1)),0,ROUND(IF(FN34=2,VLOOKUP(EX34,IF($ES$3=$I$29,$A$20:$E$23,$F$144:$J$147),IF($B$19=VLOOKUP(EV34,$B$2:$G$4,3,TRUE),2,IF($C$19=VLOOKUP(EV34,$B$2:$G$4,3,TRUE),3,IF($D$19=VLOOKUP(EV34,$B$2:$G$4,3,TRUE),4,5))),TRUE),VLOOKUP(EX34,IF($ES$3=$I$29,$A$20:$E$23,$F$144:$J$147),IF($B$19=VLOOKUP(EV34,$B$2:$G$4,3,TRUE),2,IF($C$19=VLOOKUP(EV34,$B$2:$G$4,3,TRUE),3,IF($D$19=VLOOKUP(EV34,$B$2:$G$4,3,TRUE),4,5))),TRUE))*(DAY(EW34)-DAY(EV34)+1)/DAY(EOMONTH(EV34,0)),0))))</f>
        <v/>
      </c>
      <c r="FH34" s="461" t="str">
        <f>IF(EV34="","",IF(Main!$C$26="UGC",0,IF(OR(EU34&lt;DATE(2010,4,1),FN34=3,EX34=VLOOKUP(EX34,'IN RPS-2015'!$I$2:$J$5,1)),0,ROUND(IF(FN34=2,IF(EV34&lt;$J$152,Main!$L$9,Main!$CI$3)/2,IF(EV34&lt;$J$152,Main!$L$9,Main!$CI$3))*(DAY(EW34)-DAY(EV34)+1)/DAY(EOMONTH(EV34,0)),0))))</f>
        <v/>
      </c>
      <c r="FI34" s="461"/>
      <c r="FJ34" s="461" t="str">
        <f>IF(EV34="","",IF(Main!$C$26="UGC",0,IF(OR(FN34=3,EX34=VLOOKUP(EX34,'IN RPS-2015'!$I$2:$J$5,1)),0,ROUND(IF(FN34=2,VLOOKUP(EY34,IF(EV34&lt;$J$152,$A$154:$E$159,$F$154:$J$159),IF($B$10=VLOOKUP(EU34,$B$2:$G$4,6,TRUE),2,IF($B$10=VLOOKUP(EU34,$B$2:$G$4,6,TRUE),3,IF($D$10=VLOOKUP(EU34,$B$2:$G$4,6,TRUE),4,5))))/2,VLOOKUP(EY34,IF(EV34&lt;$J$152,$A$154:$E$159,$F$154:$J$159),IF($B$10=VLOOKUP(EU34,$B$2:$G$4,6,TRUE),2,IF($B$10=VLOOKUP(EU34,$B$2:$G$4,6,TRUE),3,IF($D$10=VLOOKUP(EU34,$B$2:$G$4,6,TRUE),4,5)))))*(DAY(EW34)-DAY(EV34)+1)/DAY(EOMONTH(EV34,0)),0))))</f>
        <v/>
      </c>
      <c r="FK34" s="461">
        <f t="shared" si="81"/>
        <v>0</v>
      </c>
      <c r="FL34" s="464" t="str">
        <f>IF(EV34="","",IF(AND(Main!$F$22=Main!$CA$24,EV34&gt;$FL$1),ROUND(SUM(EY34,FA34)*10%,0),""))</f>
        <v/>
      </c>
      <c r="FM34" s="464" t="str">
        <f>IF(EU34="","",IF(EY34=0,0,IF(OR(Main!$H$10=Main!$BH$4,Main!$H$10=Main!$BH$5),0,LOOKUP(FK34*DAY(EOMONTH(EV34,0))/(DAY(EW34)-DAY(EV34)+1),$H$184:$I$189))))</f>
        <v/>
      </c>
      <c r="FN34" s="457">
        <f t="shared" si="64"/>
        <v>1</v>
      </c>
    </row>
    <row r="35" spans="1:170">
      <c r="A35" s="505" t="s">
        <v>1347</v>
      </c>
      <c r="AH35" s="461"/>
      <c r="AI35" s="499" t="str">
        <f t="shared" si="54"/>
        <v/>
      </c>
      <c r="AJ35" s="500" t="str">
        <f t="shared" si="84"/>
        <v/>
      </c>
      <c r="AK35" s="484" t="str">
        <f>IF(AJ35="","",MIN(EOMONTH(AJ35,0),VLOOKUP(AJ35,'IN RPS-2015'!$O$164:$P$202,2,TRUE)-1,LOOKUP(AJ35,$E$47:$F$53)-1,IF(AJ35&lt;$B$2,$B$2-1,'IN RPS-2015'!$Q$9),IF(AJ35&lt;$B$3,$B$3-1,'IN RPS-2015'!$Q$9),IF(AJ35&lt;$B$4,$B$4-1,'IN RPS-2015'!$Q$9),LOOKUP(AJ35,$H$47:$I$53)))</f>
        <v/>
      </c>
      <c r="AL35" s="490" t="str">
        <f>IF(AJ35="","",VLOOKUP(AJ35,'IN RPS-2015'!$P$164:$AA$202,9))</f>
        <v/>
      </c>
      <c r="AM35" s="461" t="str">
        <f t="shared" si="66"/>
        <v/>
      </c>
      <c r="AN35" s="461" t="str">
        <f>IF(AJ35="","",IF(AND($AG$3=$AG$1,AJ35&lt;=$AZ$1),0,ROUND(IF(BB35=3,0,IF(BB35=2,IF(AL35=VLOOKUP(AL35,'IN RPS-2015'!$I$2:$J$5,1),0,Main!$H$9)/2,IF(AL35=VLOOKUP(AL35,'IN RPS-2015'!$I$2:$J$5,1),0,Main!$H$9)))*(DAY(AK35)-DAY(AJ35)+1)/DAY(EOMONTH(AJ35,0)),0)))</f>
        <v/>
      </c>
      <c r="AO35" s="461" t="str">
        <f>IF(AJ35="","",IF(AND($AG$3=$AG$1,AJ35&lt;=$AZ$1),0,IF(AL35=VLOOKUP(AL35,'IN RPS-2015'!$I$2:$J$5,1),0,ROUND(AM35*VLOOKUP(AJ35,$AF$4:$AG$7,2)%,0))))</f>
        <v/>
      </c>
      <c r="AP35" s="461" t="str">
        <f>IF(AJ35="","",IF(AND($AG$3=$AG$1,AJ35&lt;=$AZ$1),0,IF(OR(BB35=3,AL35=VLOOKUP(AL35,'IN RPS-2015'!$I$2:$J$5,1)),0,ROUND(MIN(ROUND(AL35*VLOOKUP(AJ35,$B$1:$G$4,2)%,0),VLOOKUP(AJ35,$B$2:$I$4,IF($AG$3=$I$29,7,8),TRUE))*(DAY(AK35)-DAY(AJ35)+1)/DAY(EOMONTH(AJ35,0)),0))))</f>
        <v/>
      </c>
      <c r="AQ35" s="491" t="str">
        <f>IF(AJ35="","",IF(AND($AG$3=$AG$1,AJ35&lt;=$AZ$1),0,IF(Main!$C$26="UGC",0,IF(OR(AJ35&lt;DATE(2010,4,1),$I$6=VLOOKUP(AJ35,$B$2:$G$4,5,TRUE),AL35=VLOOKUP(AL35,'IN RPS-2015'!$I$2:$J$5,1)),0,ROUND(IF(BB35=3,0,IF(BB35=2,MIN(ROUND(AL35*$G$13%,0),IF(AJ35&lt;$J$152,$G$14,$G$15))/2,MIN(ROUND(AL35*$G$13%,0),IF(AJ35&lt;$J$152,$G$14,$G$15))))*(DAY(AK35)-DAY(AJ35)+1)/DAY(EOMONTH(AJ35,0)),0)))))</f>
        <v/>
      </c>
      <c r="AR35" s="461" t="str">
        <f>IF(AJ35="","",IF(AND($AG$3=$AG$1,AJ35&lt;=$AZ$1),0,IF(Main!$C$26="UGC",0,IF(AL35=VLOOKUP(AL35,'IN RPS-2015'!$I$2:$J$5,1),0,ROUND(AM35*VLOOKUP(AJ35,$AF$11:$AG$12,2)%,0)))))</f>
        <v/>
      </c>
      <c r="AS35" s="461" t="str">
        <f>IF(AJ35="","",IF(AND($AG$3=$AG$1,AJ35&lt;=$AZ$1),0,IF(Main!$C$26="UGC",0,IF(AJ35&lt;DATE(2010,4,1),0,IF(OR(BB35=2,BB35=3,AL35=VLOOKUP(AL35,'IN RPS-2015'!$I$2:$J$5,1)),0,ROUND(IF(AJ35&lt;$J$152,VLOOKUP(AJ35,$B$1:$G$4,4),VLOOKUP(VLOOKUP(AJ35,$B$1:$G$4,4),Main!$CE$2:$CF$5,2,FALSE))*(DAY(AK35)-DAY(AJ35)+1)/DAY(EOMONTH(AJ35,0)),0))))))</f>
        <v/>
      </c>
      <c r="AT35" s="461" t="str">
        <f>IF(AJ35="","",IF(AND($AG$3=$AG$1,AJ35&lt;=$AZ$1),0,IF(OR(BB35=2,BB35=3,$D$31=$D$28,AL35=VLOOKUP(AL35,'IN RPS-2015'!$I$2:$J$5,1)),0,ROUND(MIN(VLOOKUP(AI35,$A$27:$C$29,2,TRUE),ROUND(AL35*VLOOKUP(AI35,$A$27:$C$29,3,TRUE)%,0))*IF(AI35=$A$36,$C$36,IF(AI35=$A$37,$C$37,IF(AI35=$A$38,$C$38,IF(AI35=$A$39,$C$39,IF(AI35=$A$40,$C$40,IF(AI35=$A$41,$C$41,1))))))*(DAY(AK35)-DAY(AJ35)+1)/DAY(EOMONTH(AJ35,0)),0))))</f>
        <v/>
      </c>
      <c r="AU35" s="461" t="str">
        <f>IF(AJ35="","",IF(AND($AG$3=$AG$1,AJ35&lt;=$AZ$1),0,IF(Main!$C$26="UGC",0,IF(OR(BB35=3,AL35=VLOOKUP(AL35,'IN RPS-2015'!$I$2:$J$5,1)),0,ROUND(IF(BB35=2,VLOOKUP(AL35,IF($AG$3=$I$29,$A$20:$E$23,$F$144:$J$147),IF($B$19=VLOOKUP(AJ35,$B$2:$G$4,3,TRUE),2,IF($C$19=VLOOKUP(AJ35,$B$2:$G$4,3,TRUE),3,IF($D$19=VLOOKUP(AJ35,$B$2:$G$4,3,TRUE),4,5))),TRUE),VLOOKUP(AL35,IF($AG$3=$I$29,$A$20:$E$23,$F$144:$J$147),IF($B$19=VLOOKUP(AJ35,$B$2:$G$4,3,TRUE),2,IF($C$19=VLOOKUP(AJ35,$B$2:$G$4,3,TRUE),3,IF($D$19=VLOOKUP(AJ35,$B$2:$G$4,3,TRUE),4,5))),TRUE))*(DAY(AK35)-DAY(AJ35)+1)/DAY(EOMONTH(AJ35,0)),0)))))</f>
        <v/>
      </c>
      <c r="AV35" s="461" t="str">
        <f>IF(AJ35="","",IF(AND($AG$3=$AG$1,AJ35&lt;=$AZ$1),0,IF(Main!$C$26="UGC",0,IF(OR(AI35&lt;DATE(2010,4,1),BB35=3,AL35=VLOOKUP(AL35,'IN RPS-2015'!$I$2:$J$5,1)),0,ROUND(IF(BB35=2,IF(AJ35&lt;$J$152,Main!$L$9,Main!$CI$3)/2,IF(AJ35&lt;$J$152,Main!$L$9,Main!$CI$3))*(DAY(AK35)-DAY(AJ35)+1)/DAY(EOMONTH(AJ35,0)),0)))))</f>
        <v/>
      </c>
      <c r="AW35" s="461"/>
      <c r="AX35" s="461" t="str">
        <f>IF(AJ35="","",IF(AND($AG$3=$AG$1,AJ35&lt;=$AZ$1),0,IF(Main!$C$26="UGC",0,IF(OR(BB35=3,AL35=VLOOKUP(AL35,'IN RPS-2015'!$I$2:$J$5,1)),0,ROUND(IF(BB35=2,VLOOKUP(AM35,IF(AJ35&lt;$J$152,$A$154:$E$159,$F$154:$J$159),IF($B$10=VLOOKUP(AI35,$B$2:$G$4,6,TRUE),2,IF($B$10=VLOOKUP(AI35,$B$2:$G$4,6,TRUE),3,IF($D$10=VLOOKUP(AI35,$B$2:$G$4,6,TRUE),4,5))))/2,VLOOKUP(AM35,IF(AJ35&lt;$J$152,$A$154:$E$159,$F$154:$J$159),IF($B$10=VLOOKUP(AI35,$B$2:$G$4,6,TRUE),2,IF($B$10=VLOOKUP(AI35,$B$2:$G$4,6,TRUE),3,IF($D$10=VLOOKUP(AI35,$B$2:$G$4,6,TRUE),4,5)))))*(DAY(AK35)-DAY(AJ35)+1)/DAY(EOMONTH(AJ35,0)),0)))))</f>
        <v/>
      </c>
      <c r="AY35" s="461">
        <f t="shared" si="67"/>
        <v>0</v>
      </c>
      <c r="AZ35" s="464" t="str">
        <f>IF(AJ35="","",IF(AND($AG$3=$AG$1,AJ35&lt;=$AZ$1),0,IF(AND(Main!$F$22=Main!$CA$24,AJ35&gt;$AZ$1),ROUND(SUM(AM35,AO35)*10%,0),"")))</f>
        <v/>
      </c>
      <c r="BA35" s="464" t="str">
        <f>IF(AI35="","",IF(AND($AG$3=$AG$1,AJ35&lt;=$AZ$1),0,IF(OR(Main!$H$10=Main!$BH$4,Main!$H$10=Main!$BH$5),0,LOOKUP(AY35*DAY(EOMONTH(AJ35,0))/(DAY(AK35)-DAY(AJ35)+1),$H$184:$I$189))))</f>
        <v/>
      </c>
      <c r="BB35" s="497">
        <f t="shared" si="55"/>
        <v>1</v>
      </c>
      <c r="BC35" s="464"/>
      <c r="BD35" s="501" t="str">
        <f t="shared" si="56"/>
        <v/>
      </c>
      <c r="BE35" s="502" t="str">
        <f t="shared" si="85"/>
        <v/>
      </c>
      <c r="BF35" s="484" t="str">
        <f>IF(BE35="","",MIN(EOMONTH(BE35,0),VLOOKUP(BE35,'IN RPS-2015'!$O$164:$P$202,2,TRUE)-1,LOOKUP(BE35,$E$47:$F$53)-1,IF(BE35&lt;$B$2,$B$2-1,'IN RPS-2015'!$Q$9),IF(BE35&lt;$B$3,$B$3-1,'IN RPS-2015'!$Q$9),IF(BE35&lt;$B$4,$B$4-1,'IN RPS-2015'!$Q$9),LOOKUP(BE35,$H$47:$I$53)))</f>
        <v/>
      </c>
      <c r="BG35" s="493" t="str">
        <f>IF(BE35="","",VLOOKUP(BE35,'IN RPS-2015'!$P$164:$AA$202,10))</f>
        <v/>
      </c>
      <c r="BH35" s="461" t="str">
        <f t="shared" si="68"/>
        <v/>
      </c>
      <c r="BI35" s="461" t="str">
        <f>IF(BE35="","",IF(AND($AG$3=$AG$1,BE35&lt;=$AZ$1),0,ROUND(IF(BW35=3,0,IF(BW35=2,IF(BG35=VLOOKUP(BG35,'IN RPS-2015'!$I$2:$J$5,1),0,Main!$H$9)/2,IF(BG35=VLOOKUP(BG35,'IN RPS-2015'!$I$2:$J$5,1),0,Main!$H$9)))*(DAY(BF35)-DAY(BE35)+1)/DAY(EOMONTH(BE35,0)),0)))</f>
        <v/>
      </c>
      <c r="BJ35" s="461" t="str">
        <f>IF(BE35="","",IF(AND($AG$3=$AG$1,BE35&lt;=$AZ$1),0,IF(BG35=VLOOKUP(BG35,'IN RPS-2015'!$I$2:$J$5,1),0,ROUND(BH35*VLOOKUP(BE35,$AF$4:$AG$7,2)%,0))))</f>
        <v/>
      </c>
      <c r="BK35" s="461" t="str">
        <f>IF(BE35="","",IF(AND($AG$3=$AG$1,BE35&lt;=$AZ$1),0,IF(OR(BW35=3,BG35=VLOOKUP(BG35,'IN RPS-2015'!$I$2:$J$5,1)),0,ROUND(MIN(ROUND(BG35*VLOOKUP(BE35,$B$1:$G$4,2)%,0),VLOOKUP(BE35,$B$2:$I$4,IF($AG$3=$I$29,7,8),TRUE))*(DAY(BF35)-DAY(BE35)+1)/DAY(EOMONTH(BE35,0)),0))))</f>
        <v/>
      </c>
      <c r="BL35" s="491" t="str">
        <f>IF(BE35="","",IF(AND($AG$3=$AG$1,BE35&lt;=$AZ$1),0,IF(Main!$C$26="UGC",0,IF(OR(BE35&lt;DATE(2010,4,1),$I$6=VLOOKUP(BE35,$B$2:$G$4,5,TRUE),BG35=VLOOKUP(BG35,'IN RPS-2015'!$I$2:$J$5,1)),0,ROUND(IF(BW35=3,0,IF(BW35=2,MIN(ROUND(BG35*$G$13%,0),IF(BE35&lt;$J$152,$G$14,$G$15))/2,MIN(ROUND(BG35*$G$13%,0),IF(BE35&lt;$J$152,$G$14,$G$15))))*(DAY(BF35)-DAY(BE35)+1)/DAY(EOMONTH(BE35,0)),0)))))</f>
        <v/>
      </c>
      <c r="BM35" s="461" t="str">
        <f>IF(BE35="","",IF(AND($AG$3=$AG$1,BE35&lt;=$AZ$1),0,IF(Main!$C$26="UGC",0,IF(BG35=VLOOKUP(BG35,'IN RPS-2015'!$I$2:$J$5,1),0,ROUND(BH35*VLOOKUP(BE35,$AF$11:$AG$12,2)%,0)))))</f>
        <v/>
      </c>
      <c r="BN35" s="461" t="str">
        <f>IF(BE35="","",IF(AND($AG$3=$AG$1,BE35&lt;=$AZ$1),0,IF(Main!$C$26="UGC",0,IF(BE35&lt;DATE(2010,4,1),0,IF(OR(BW35=2,BW35=3,BG35=VLOOKUP(BG35,'IN RPS-2015'!$I$2:$J$5,1)),0,ROUND(IF(BE35&lt;$J$152,VLOOKUP(BE35,$B$1:$G$4,4),VLOOKUP(VLOOKUP(BE35,$B$1:$G$4,4),Main!$CE$2:$CF$5,2,FALSE))*(DAY(BF35)-DAY(BE35)+1)/DAY(EOMONTH(BE35,0)),0))))))</f>
        <v/>
      </c>
      <c r="BO35" s="461" t="str">
        <f>IF(BE35="","",IF(AND($AG$3=$AG$1,BE35&lt;=$AZ$1),0,IF(OR(BW35=2,BW35=3,$D$31=$D$28,BG35=VLOOKUP(BG35,'IN RPS-2015'!$I$2:$J$5,1)),0,ROUND(MIN(VLOOKUP(BD35,$A$27:$C$29,2,TRUE),ROUND(BG35*VLOOKUP(BD35,$A$27:$C$29,3,TRUE)%,0))*IF(BD35=$A$36,$C$36,IF(BD35=$A$37,$C$37,IF(BD35=$A$38,$C$38,IF(BD35=$A$39,$C$39,IF(BD35=$A$40,$C$40,IF(BD35=$A$41,$C$41,1))))))*(DAY(BF35)-DAY(BE35)+1)/DAY(EOMONTH(BE35,0)),0))))</f>
        <v/>
      </c>
      <c r="BP35" s="461" t="str">
        <f>IF(BE35="","",IF(AND($AG$3=$AG$1,BE35&lt;=$AZ$1),0,IF(Main!$C$26="UGC",0,IF(OR(BW35=3,BG35=VLOOKUP(BG35,'IN RPS-2015'!$I$2:$J$5,1)),0,ROUND(IF(BW35=2,VLOOKUP(BG35,IF($AG$3=$I$29,$A$20:$E$23,$F$144:$J$147),IF($B$19=VLOOKUP(BE35,$B$2:$G$4,3,TRUE),2,IF($C$19=VLOOKUP(BE35,$B$2:$G$4,3,TRUE),3,IF($D$19=VLOOKUP(BE35,$B$2:$G$4,3,TRUE),4,5))),TRUE),VLOOKUP(BG35,IF($AG$3=$I$29,$A$20:$E$23,$F$144:$J$147),IF($B$19=VLOOKUP(BE35,$B$2:$G$4,3,TRUE),2,IF($C$19=VLOOKUP(BE35,$B$2:$G$4,3,TRUE),3,IF($D$19=VLOOKUP(BE35,$B$2:$G$4,3,TRUE),4,5))),TRUE))*(DAY(BF35)-DAY(BE35)+1)/DAY(EOMONTH(BE35,0)),0)))))</f>
        <v/>
      </c>
      <c r="BQ35" s="461" t="str">
        <f>IF(BE35="","",IF(AND($AG$3=$AG$1,BE35&lt;=$AZ$1),0,IF(Main!$C$26="UGC",0,IF(OR(BD35&lt;DATE(2010,4,1),BW35=3,BG35=VLOOKUP(BG35,'IN RPS-2015'!$I$2:$J$5,1)),0,ROUND(IF(BW35=2,IF(BE35&lt;$J$152,Main!$L$9,Main!$CI$3)/2,IF(BE35&lt;$J$152,Main!$L$9,Main!$CI$3))*(DAY(BF35)-DAY(BE35)+1)/DAY(EOMONTH(BE35,0)),0)))))</f>
        <v/>
      </c>
      <c r="BR35" s="461"/>
      <c r="BS35" s="461" t="str">
        <f>IF(BE35="","",IF(AND($AG$3=$AG$1,BE35&lt;=$AZ$1),0,IF(Main!$C$26="UGC",0,IF(OR(BW35=3,BG35=VLOOKUP(BG35,'IN RPS-2015'!$I$2:$J$5,1)),0,ROUND(IF(BW35=2,VLOOKUP(BH35,IF(BE35&lt;$J$152,$A$154:$E$159,$F$154:$J$159),IF($B$10=VLOOKUP(BD35,$B$2:$G$4,6,TRUE),2,IF($B$10=VLOOKUP(BD35,$B$2:$G$4,6,TRUE),3,IF($D$10=VLOOKUP(BD35,$B$2:$G$4,6,TRUE),4,5))))/2,VLOOKUP(BH35,IF(BE35&lt;$J$152,$A$154:$E$159,$F$154:$J$159),IF($B$10=VLOOKUP(BD35,$B$2:$G$4,6,TRUE),2,IF($B$10=VLOOKUP(BD35,$B$2:$G$4,6,TRUE),3,IF($D$10=VLOOKUP(BD35,$B$2:$G$4,6,TRUE),4,5)))))*(DAY(BF35)-DAY(BE35)+1)/DAY(EOMONTH(BE35,0)),0)))))</f>
        <v/>
      </c>
      <c r="BT35" s="461">
        <f t="shared" si="69"/>
        <v>0</v>
      </c>
      <c r="BU35" s="464" t="str">
        <f>IF(BE35="","",IF(AND($AG$3=$AG$1,BE35&lt;=$AZ$1),0,IF(AND(Main!$F$22=Main!$CA$24,BE35&gt;$AZ$1),ROUND(SUM(BH35,BJ35)*10%,0),"")))</f>
        <v/>
      </c>
      <c r="BV35" s="464" t="str">
        <f>IF(BD35="","",IF(AND($AG$3=$AG$1,BE35&lt;=$AZ$1),0,IF(OR(Main!$H$10=Main!$BH$4,Main!$H$10=Main!$BH$5),0,LOOKUP(BT35*DAY(EOMONTH(BE35,0))/(DAY(BF35)-DAY(BE35)+1),$H$184:$I$189))))</f>
        <v/>
      </c>
      <c r="BW35" s="503">
        <f t="shared" si="70"/>
        <v>1</v>
      </c>
      <c r="BX35" s="457">
        <f t="shared" ref="BX35:BX52" si="90">AY35-BT35</f>
        <v>0</v>
      </c>
      <c r="BY35" s="457"/>
      <c r="BZ35" s="457"/>
      <c r="CA35" s="457"/>
      <c r="CB35" s="461"/>
      <c r="CC35" s="499" t="str">
        <f t="shared" si="57"/>
        <v/>
      </c>
      <c r="CD35" s="500" t="str">
        <f t="shared" si="86"/>
        <v/>
      </c>
      <c r="CE35" s="484" t="str">
        <f>IF(CD35="","",MIN(EOMONTH(CD35,0),VLOOKUP(CD35,'IN RPS-2015'!$O$164:$P$202,2,TRUE)-1,LOOKUP(CD35,$E$47:$F$53)-1,IF(CD35&lt;$B$2,$B$2-1,'IN RPS-2015'!$Q$9),IF(CD35&lt;$B$3,$B$3-1,'IN RPS-2015'!$Q$9),IF(CD35&lt;$B$4,$B$4-1,'IN RPS-2015'!$Q$9),LOOKUP(CD35,$H$47:$I$53)))</f>
        <v/>
      </c>
      <c r="CF35" s="490" t="str">
        <f>IF(CD35="","",VLOOKUP(CD35,'IN RPS-2015'!$T$207:$Y$222,5))</f>
        <v/>
      </c>
      <c r="CG35" s="461" t="str">
        <f t="shared" si="72"/>
        <v/>
      </c>
      <c r="CH35" s="461" t="str">
        <f>IF(CD35="","",IF(AND($CA$3=$CA$1,CD35&lt;=$CT$1),0,ROUND(IF(CV35=3,0,IF(CV35=2,IF(CF35=VLOOKUP(CF35,'IN RPS-2015'!$I$2:$J$5,1),0,Main!$H$9)/2,IF(CF35=VLOOKUP(CF35,'IN RPS-2015'!$I$2:$J$5,1),0,Main!$H$9)))*(DAY(CE35)-DAY(CD35)+1)/DAY(EOMONTH(CD35,0)),0)))</f>
        <v/>
      </c>
      <c r="CI35" s="461" t="str">
        <f>IF(CD35="","",IF(AND($CA$3=$CA$1,CD35&lt;=$CT$1),0,IF(CF35=VLOOKUP(CF35,'IN RPS-2015'!$I$2:$J$5,1),0,ROUND(CG35*VLOOKUP(CD35,$BZ$4:$CA$7,2)%,0))))</f>
        <v/>
      </c>
      <c r="CJ35" s="461" t="str">
        <f>IF(CD35="","",IF(AND($CA$3=$CA$1,CD35&lt;=$CT$1),0,IF(OR(CV35=3,CF35=VLOOKUP(CF35,'IN RPS-2015'!$I$2:$J$5,1)),0,ROUND(MIN(ROUND(CF35*VLOOKUP(CD35,$B$1:$G$4,2)%,0),VLOOKUP(CD35,$B$2:$I$4,IF($CA$3=$I$29,7,8),TRUE))*(DAY(CE35)-DAY(CD35)+1)/DAY(EOMONTH(CD35,0)),0))))</f>
        <v/>
      </c>
      <c r="CK35" s="491" t="str">
        <f>IF(CD35="","",IF(AND($CA$3=$CA$1,CD35&lt;=$CT$1),0,IF(Main!$C$26="UGC",0,IF(OR(CD35&lt;DATE(2010,4,1),$I$6=VLOOKUP(CD35,$B$2:$G$4,5,TRUE),CF35=VLOOKUP(CF35,'IN RPS-2015'!$I$2:$J$5,1)),0,ROUND(IF(CV35=3,0,IF(CV35=2,MIN(ROUND(CF35*$G$13%,0),IF(CD35&lt;$J$152,$G$14,$G$15))/2,MIN(ROUND(CF35*$G$13%,0),IF(CD35&lt;$J$152,$G$14,$G$15))))*(DAY(CE35)-DAY(CD35)+1)/DAY(EOMONTH(CD35,0)),0)))))</f>
        <v/>
      </c>
      <c r="CL35" s="461" t="str">
        <f>IF(CD35="","",IF(AND($CA$3=$CA$1,CD35&lt;=$CT$1),0,IF(Main!$C$26="UGC",0,IF(CF35=VLOOKUP(CF35,'IN RPS-2015'!$I$2:$J$5,1),0,ROUND(CG35*VLOOKUP(CD35,$BZ$11:$CA$12,2)%,0)))))</f>
        <v/>
      </c>
      <c r="CM35" s="461" t="str">
        <f>IF(CD35="","",IF(AND($CA$3=$CA$1,CD35&lt;=$CT$1),0,IF(Main!$C$26="UGC",0,IF(CD35&lt;DATE(2010,4,1),0,IF(OR(CV35=2,CV35=3,CF35=VLOOKUP(CF35,'IN RPS-2015'!$I$2:$J$5,1)),0,ROUND(IF(CD35&lt;$J$152,VLOOKUP(CD35,$B$1:$G$4,4),VLOOKUP(VLOOKUP(CD35,$B$1:$G$4,4),Main!$CE$2:$CF$5,2,FALSE))*(DAY(CE35)-DAY(CD35)+1)/DAY(EOMONTH(CD35,0)),0))))))</f>
        <v/>
      </c>
      <c r="CN35" s="461" t="str">
        <f>IF(CD35="","",IF(AND($CA$3=$CA$1,CD35&lt;=$CT$1),0,IF(OR(CV35=2,CV35=3,$D$31=$D$28,CF35=VLOOKUP(CF35,'IN RPS-2015'!$I$2:$J$5,1)),0,ROUND(MIN(VLOOKUP(CC35,$A$27:$C$29,2,TRUE),ROUND(CF35*VLOOKUP(CC35,$A$27:$C$29,3,TRUE)%,0))*IF(CC35=$A$36,$C$36,IF(CC35=$A$37,$C$37,IF(CC35=$A$38,$C$38,IF(CC35=$A$39,$C$39,IF(CC35=$A$40,$C$40,IF(CC35=$A$41,$C$41,1))))))*(DAY(CE35)-DAY(CD35)+1)/DAY(EOMONTH(CD35,0)),0))))</f>
        <v/>
      </c>
      <c r="CO35" s="461" t="str">
        <f>IF(CD35="","",IF(AND($CA$3=$CA$1,CD35&lt;=$CT$1),0,IF(Main!$C$26="UGC",0,IF(OR(CV35=3,CF35=VLOOKUP(CF35,'IN RPS-2015'!$I$2:$J$5,1)),0,ROUND(IF(CV35=2,VLOOKUP(CF35,IF($CA$3=$I$29,$A$20:$E$23,$F$144:$J$147),IF($B$19=VLOOKUP(CD35,$B$2:$G$4,3,TRUE),2,IF($C$19=VLOOKUP(CD35,$B$2:$G$4,3,TRUE),3,IF($D$19=VLOOKUP(CD35,$B$2:$G$4,3,TRUE),4,5))),TRUE),VLOOKUP(CF35,IF($CA$3=$I$29,$A$20:$E$23,$F$144:$J$147),IF($B$19=VLOOKUP(CD35,$B$2:$G$4,3,TRUE),2,IF($C$19=VLOOKUP(CD35,$B$2:$G$4,3,TRUE),3,IF($D$19=VLOOKUP(CD35,$B$2:$G$4,3,TRUE),4,5))),TRUE))*(DAY(CE35)-DAY(CD35)+1)/DAY(EOMONTH(CD35,0)),0)))))</f>
        <v/>
      </c>
      <c r="CP35" s="461" t="str">
        <f>IF(CD35="","",IF(AND($CA$3=$CA$1,CD35&lt;=$CT$1),0,IF(Main!$C$26="UGC",0,IF(OR(CC35&lt;DATE(2010,4,1),CV35=3,CF35=VLOOKUP(CF35,'IN RPS-2015'!$I$2:$J$5,1)),0,ROUND(IF(CV35=2,IF(CD35&lt;$J$152,Main!$L$9,Main!$CI$3)/2,IF(CD35&lt;$J$152,Main!$L$9,Main!$CI$3))*(DAY(CE35)-DAY(CD35)+1)/DAY(EOMONTH(CD35,0)),0)))))</f>
        <v/>
      </c>
      <c r="CQ35" s="461"/>
      <c r="CR35" s="461" t="str">
        <f>IF(CD35="","",IF(AND($CA$3=$CA$1,CD35&lt;=$CT$1),0,IF(Main!$C$26="UGC",0,IF(OR(CV35=3,CF35=VLOOKUP(CF35,'IN RPS-2015'!$I$2:$J$5,1)),0,ROUND(IF(CV35=2,VLOOKUP(CG35,IF(CD35&lt;$J$152,$A$154:$E$159,$F$154:$J$159),IF($B$10=VLOOKUP(CC35,$B$2:$G$4,6,TRUE),2,IF($B$10=VLOOKUP(CC35,$B$2:$G$4,6,TRUE),3,IF($D$10=VLOOKUP(CC35,$B$2:$G$4,6,TRUE),4,5))))/2,VLOOKUP(CG35,IF(CD35&lt;$J$152,$A$154:$E$159,$F$154:$J$159),IF($B$10=VLOOKUP(CC35,$B$2:$G$4,6,TRUE),2,IF($B$10=VLOOKUP(CC35,$B$2:$G$4,6,TRUE),3,IF($D$10=VLOOKUP(CC35,$B$2:$G$4,6,TRUE),4,5)))))*(DAY(CE35)-DAY(CD35)+1)/DAY(EOMONTH(CD35,0)),0)))))</f>
        <v/>
      </c>
      <c r="CS35" s="461">
        <f t="shared" si="73"/>
        <v>0</v>
      </c>
      <c r="CT35" s="464" t="str">
        <f>IF(CD35="","",IF(AND($CA$3=$CA$1,CD35&lt;=$CT$1),0,IF(AND(Main!$F$22=Main!$CA$24,CD35&gt;$CT$1),ROUND(SUM(CG35,CI35)*10%,0),"")))</f>
        <v/>
      </c>
      <c r="CU35" s="464" t="str">
        <f>IF(CC35="","",IF(CG35=0,0,IF(OR(Main!$H$10=Main!$BH$4,Main!$H$10=Main!$BH$5),0,LOOKUP(CS35*DAY(EOMONTH(CD35,0))/(DAY(CE35)-DAY(CD35)+1),$H$184:$I$189))))</f>
        <v/>
      </c>
      <c r="CV35" s="457">
        <f t="shared" si="74"/>
        <v>1</v>
      </c>
      <c r="CW35" s="464"/>
      <c r="CX35" s="501" t="str">
        <f t="shared" si="59"/>
        <v/>
      </c>
      <c r="CY35" s="502" t="str">
        <f t="shared" si="87"/>
        <v/>
      </c>
      <c r="CZ35" s="484" t="str">
        <f>IF(CY35="","",MIN(EOMONTH(CY35,0),VLOOKUP(CY35,'IN RPS-2015'!$O$164:$P$202,2,TRUE)-1,LOOKUP(CY35,$E$47:$F$53)-1,IF(CY35&lt;$B$2,$B$2-1,'IN RPS-2015'!$Q$9),IF(CY35&lt;$B$3,$B$3-1,'IN RPS-2015'!$Q$9),IF(CY35&lt;$B$4,$B$4-1,'IN RPS-2015'!$Q$9),LOOKUP(CY35,$H$47:$I$53)))</f>
        <v/>
      </c>
      <c r="DA35" s="493" t="str">
        <f>IF(CY35="","",VLOOKUP(CY35,'IN RPS-2015'!$T$207:$Y$222,6))</f>
        <v/>
      </c>
      <c r="DB35" s="461" t="str">
        <f t="shared" si="75"/>
        <v/>
      </c>
      <c r="DC35" s="461" t="str">
        <f>IF(CY35="","",IF(AND($CA$3=$CA$1,CY35&lt;=$CT$1),0,ROUND(IF(DQ35=3,0,IF(DQ35=2,IF(DA35=VLOOKUP(DA35,'IN RPS-2015'!$I$2:$J$5,1),0,Main!$H$9)/2,IF(DA35=VLOOKUP(DA35,'IN RPS-2015'!$I$2:$J$5,1),0,Main!$H$9)))*(DAY(CZ35)-DAY(CY35)+1)/DAY(EOMONTH(CY35,0)),0)))</f>
        <v/>
      </c>
      <c r="DD35" s="461" t="str">
        <f>IF(CY35="","",IF(AND($CA$3=$CA$1,CY35&lt;=$CT$1),0,IF(DA35=VLOOKUP(DA35,'IN RPS-2015'!$I$2:$J$5,1),0,ROUND(DB35*VLOOKUP(CY35,$BZ$4:$CA$7,2)%,0))))</f>
        <v/>
      </c>
      <c r="DE35" s="461" t="str">
        <f>IF(CY35="","",IF(AND($CA$3=$CA$1,CY35&lt;=$CT$1),0,IF(OR(DQ35=3,DA35=VLOOKUP(DA35,'IN RPS-2015'!$I$2:$J$5,1)),0,ROUND(MIN(ROUND(DA35*VLOOKUP(CY35,$B$1:$G$4,2)%,0),VLOOKUP(CY35,$B$2:$I$4,IF($CA$3=$I$29,7,8),TRUE))*(DAY(CZ35)-DAY(CY35)+1)/DAY(EOMONTH(CY35,0)),0))))</f>
        <v/>
      </c>
      <c r="DF35" s="491" t="str">
        <f>IF(CY35="","",IF(AND($CA$3=$CA$1,CY35&lt;=$CT$1),0,IF(Main!$C$26="UGC",0,IF(OR(CY35&lt;DATE(2010,4,1),$I$6=VLOOKUP(CY35,$B$2:$G$4,5,TRUE),DA35=VLOOKUP(DA35,'IN RPS-2015'!$I$2:$J$5,1)),0,ROUND(IF(DQ35=3,0,IF(DQ35=2,MIN(ROUND(DA35*$G$13%,0),IF(CY35&lt;$J$152,$G$14,$G$15))/2,MIN(ROUND(DA35*$G$13%,0),IF(CY35&lt;$J$152,$G$14,$G$15))))*(DAY(CZ35)-DAY(CY35)+1)/DAY(EOMONTH(CY35,0)),0)))))</f>
        <v/>
      </c>
      <c r="DG35" s="461" t="str">
        <f>IF(CY35="","",IF(AND($CA$3=$CA$1,CY35&lt;=$CT$1),0,IF(Main!$C$26="UGC",0,IF(DA35=VLOOKUP(DA35,'IN RPS-2015'!$I$2:$J$5,1),0,ROUND(DB35*VLOOKUP(CY35,$BZ$11:$CA$12,2)%,0)))))</f>
        <v/>
      </c>
      <c r="DH35" s="461" t="str">
        <f>IF(CY35="","",IF(AND($CA$3=$CA$1,CY35&lt;=$CT$1),0,IF(Main!$C$26="UGC",0,IF(CY35&lt;DATE(2010,4,1),0,IF(OR(DQ35=2,DQ35=3,DA35=VLOOKUP(DA35,'IN RPS-2015'!$I$2:$J$5,1)),0,ROUND(IF(CY35&lt;$J$152,VLOOKUP(CY35,$B$1:$G$4,4),VLOOKUP(VLOOKUP(CY35,$B$1:$G$4,4),Main!$CE$2:$CF$5,2,FALSE))*(DAY(CZ35)-DAY(CY35)+1)/DAY(EOMONTH(CY35,0)),0))))))</f>
        <v/>
      </c>
      <c r="DI35" s="461" t="str">
        <f>IF(CY35="","",IF(AND($CA$3=$CA$1,CY35&lt;=$CT$1),0,IF(OR(DQ35=2,DQ35=3,$D$31=$D$28,DA35=VLOOKUP(DA35,'IN RPS-2015'!$I$2:$J$5,1)),0,ROUND(MIN(VLOOKUP(CX35,$A$27:$C$29,2,TRUE),ROUND(DA35*VLOOKUP(CX35,$A$27:$C$29,3,TRUE)%,0))*IF(CX35=$A$36,$C$36,IF(CX35=$A$37,$C$37,IF(CX35=$A$38,$C$38,IF(CX35=$A$39,$C$39,IF(CX35=$A$40,$C$40,IF(CX35=$A$41,$C$41,1))))))*(DAY(CZ35)-DAY(CY35)+1)/DAY(EOMONTH(CY35,0)),0))))</f>
        <v/>
      </c>
      <c r="DJ35" s="461" t="str">
        <f>IF(CY35="","",IF(AND($CA$3=$CA$1,CY35&lt;=$CT$1),0,IF(Main!$C$26="UGC",0,IF(OR(DQ35=3,DA35=VLOOKUP(DA35,'IN RPS-2015'!$I$2:$J$5,1)),0,ROUND(IF(DQ35=2,VLOOKUP(DA35,IF($CA$3=$I$29,$A$20:$E$23,$F$144:$J$147),IF($B$19=VLOOKUP(CY35,$B$2:$G$4,3,TRUE),2,IF($C$19=VLOOKUP(CY35,$B$2:$G$4,3,TRUE),3,IF($D$19=VLOOKUP(CY35,$B$2:$G$4,3,TRUE),4,5))),TRUE),VLOOKUP(DA35,IF($CA$3=$I$29,$A$20:$E$23,$F$144:$J$147),IF($B$19=VLOOKUP(CY35,$B$2:$G$4,3,TRUE),2,IF($C$19=VLOOKUP(CY35,$B$2:$G$4,3,TRUE),3,IF($D$19=VLOOKUP(CY35,$B$2:$G$4,3,TRUE),4,5))),TRUE))*(DAY(CZ35)-DAY(CY35)+1)/DAY(EOMONTH(CY35,0)),0)))))</f>
        <v/>
      </c>
      <c r="DK35" s="461" t="str">
        <f>IF(CY35="","",IF(AND($CA$3=$CA$1,CY35&lt;=$CT$1),0,IF(Main!$C$26="UGC",0,IF(OR(CX35&lt;DATE(2010,4,1),DQ35=3,DA35=VLOOKUP(DA35,'IN RPS-2015'!$I$2:$J$5,1)),0,ROUND(IF(DQ35=2,IF(CY35&lt;$J$152,Main!$L$9,Main!$CI$3)/2,IF(CY35&lt;$J$152,Main!$L$9,Main!$CI$3))*(DAY(CZ35)-DAY(CY35)+1)/DAY(EOMONTH(CY35,0)),0)))))</f>
        <v/>
      </c>
      <c r="DL35" s="461"/>
      <c r="DM35" s="461" t="str">
        <f>IF(CY35="","",IF(AND($CA$3=$CA$1,CY35&lt;=$CT$1),0,IF(Main!$C$26="UGC",0,IF(OR(DQ35=3,DA35=VLOOKUP(DA35,'IN RPS-2015'!$I$2:$J$5,1)),0,ROUND(IF(DQ35=2,VLOOKUP(DB35,IF(CY35&lt;$J$152,$A$154:$E$159,$F$154:$J$159),IF($B$10=VLOOKUP(CX35,$B$2:$G$4,6,TRUE),2,IF($B$10=VLOOKUP(CX35,$B$2:$G$4,6,TRUE),3,IF($D$10=VLOOKUP(CX35,$B$2:$G$4,6,TRUE),4,5))))/2,VLOOKUP(DB35,IF(CY35&lt;$J$152,$A$154:$E$159,$F$154:$J$159),IF($B$10=VLOOKUP(CX35,$B$2:$G$4,6,TRUE),2,IF($B$10=VLOOKUP(CX35,$B$2:$G$4,6,TRUE),3,IF($D$10=VLOOKUP(CX35,$B$2:$G$4,6,TRUE),4,5)))))*(DAY(CZ35)-DAY(CY35)+1)/DAY(EOMONTH(CY35,0)),0)))))</f>
        <v/>
      </c>
      <c r="DN35" s="461">
        <f t="shared" si="76"/>
        <v>0</v>
      </c>
      <c r="DO35" s="464" t="str">
        <f>IF(CY35="","",IF(AND($CA$3=$CA$1,CY35&lt;=$CT$1),0,IF(AND(Main!$F$22=Main!$CA$24,CY35&gt;$CT$1),ROUND(SUM(DB35,DD35)*10%,0),"")))</f>
        <v/>
      </c>
      <c r="DP35" s="464" t="str">
        <f>IF(CX35="","",IF(AND($CA$3=$CA$1,CY35&lt;=$CT$1),0,IF(OR(Main!$H$10=Main!$BH$4,Main!$H$10=Main!$BH$5),0,LOOKUP(DN35*DAY(EOMONTH(CY35,0))/(DAY(CZ35)-DAY(CY35)+1),$H$184:$I$189))))</f>
        <v/>
      </c>
      <c r="DQ35" s="457">
        <f t="shared" si="60"/>
        <v>1</v>
      </c>
      <c r="DR35" s="457">
        <f t="shared" si="77"/>
        <v>0</v>
      </c>
      <c r="DS35" s="457"/>
      <c r="DT35" s="457"/>
      <c r="DU35" s="457"/>
      <c r="DV35" s="461"/>
      <c r="DW35" s="499" t="str">
        <f t="shared" si="61"/>
        <v/>
      </c>
      <c r="DX35" s="500" t="str">
        <f t="shared" si="88"/>
        <v/>
      </c>
      <c r="DY35" s="484" t="str">
        <f>IF(DX35="","",MIN(EOMONTH(DX35,0),VLOOKUP(DX35,'IN RPS-2015'!$O$164:$P$202,2,TRUE)-1,LOOKUP(DX35,$E$47:$F$53)-1,IF(DX35&lt;$B$2,$B$2-1,'IN RPS-2015'!$Q$9),IF(DX35&lt;$B$3,$B$3-1,'IN RPS-2015'!$Q$9),IF(DX35&lt;$B$4,$B$4-1,'IN RPS-2015'!$Q$9),LOOKUP(DX35,$H$47:$I$53)))</f>
        <v/>
      </c>
      <c r="DZ35" s="490" t="str">
        <f>IF(DX35="","",VLOOKUP(DX35,'IN RPS-2015'!$P$164:$AA$202,11))</f>
        <v/>
      </c>
      <c r="EA35" s="461" t="str">
        <f t="shared" si="78"/>
        <v/>
      </c>
      <c r="EB35" s="461" t="str">
        <f>IF(DX35="","",ROUND(IF(EP35=3,0,IF(EP35=2,IF(DZ35=VLOOKUP(DZ35,'IN RPS-2015'!$I$2:$J$5,1),0,Main!$H$9)/2,IF(DZ35=VLOOKUP(DZ35,'IN RPS-2015'!$I$2:$J$5,1),0,Main!$H$9)))*(DAY(DY35)-DAY(DX35)+1)/DAY(EOMONTH(DX35,0)),0))</f>
        <v/>
      </c>
      <c r="EC35" s="461" t="str">
        <f>IF(DX35="","",IF(DZ35=VLOOKUP(DZ35,'IN RPS-2015'!$I$2:$J$5,1),0,ROUND(EA35*VLOOKUP(DX35,$DT$4:$DU$7,2)%,0)))</f>
        <v/>
      </c>
      <c r="ED35" s="461" t="str">
        <f>IF(DX35="","",IF(OR(EP35=3,DZ35=VLOOKUP(DZ35,'IN RPS-2015'!$I$2:$J$5,1)),0,ROUND(MIN(ROUND(DZ35*VLOOKUP(DX35,$B$1:$G$4,2)%,0),VLOOKUP(DX35,$B$2:$I$4,IF($DU$3=$I$29,7,8),TRUE))*(DAY(DY35)-DAY(DX35)+1)/DAY(EOMONTH(DX35,0)),0)))</f>
        <v/>
      </c>
      <c r="EE35" s="491" t="str">
        <f>IF(DX35="","",IF(Main!$C$26="UGC",0,IF(OR(DX35&lt;DATE(2010,4,1),$I$6=VLOOKUP(DX35,$B$2:$G$4,5,TRUE),DZ35=VLOOKUP(DZ35,'IN RPS-2015'!$I$2:$J$5,1)),0,ROUND(IF(EP35=3,0,IF(EP35=2,MIN(ROUND(DZ35*$G$13%,0),IF(DX35&lt;$I$152,$G$14,$G$15))/2,MIN(ROUND(DZ35*$G$13%,0),IF(DX35&lt;$I$152,$G$14,$G$15))))*(DAY(DY35)-DAY(DX35)+1)/DAY(EOMONTH(DX35,0)),0))))</f>
        <v/>
      </c>
      <c r="EF35" s="461" t="str">
        <f>IF(DX35="","",IF(Main!$C$26="UGC",0,IF(DZ35=VLOOKUP(DZ35,'IN RPS-2015'!$I$2:$J$5,1),0,ROUND(EA35*VLOOKUP(DX35,$DT$11:$DU$12,2)%,0))))</f>
        <v/>
      </c>
      <c r="EG35" s="461" t="str">
        <f>IF(DX35="","",IF(Main!$C$26="UGC",0,IF(DX35&lt;DATE(2010,4,1),0,IF(OR(EP35=2,EP35=3,DZ35=VLOOKUP(DZ35,'IN RPS-2015'!$I$2:$J$5,1)),0,ROUND(IF(DX35&lt;$I$152,VLOOKUP(DX35,$B$1:$G$4,4),VLOOKUP(VLOOKUP(DX35,$B$1:$G$4,4),Main!$CE$2:$CF$5,2,FALSE))*(DAY(DY35)-DAY(DX35)+1)/DAY(EOMONTH(DX35,0)),0)))))</f>
        <v/>
      </c>
      <c r="EH35" s="461" t="str">
        <f>IF(DX35="","",IF(OR(EP35=2,EP35=3,$D$31=$D$28,DZ35=VLOOKUP(DZ35,'IN RPS-2015'!$I$2:$J$5,1)),0,ROUND(MIN(IF(DX35&lt;$I$152,900,1350),ROUND(DZ35*VLOOKUP(DW35,$A$27:$C$29,3,TRUE)%,0))*IF(DW35=$A$36,$C$36,IF(DW35=$A$37,$C$37,IF(DW35=$A$38,$C$38,IF(DW35=$A$39,$C$39,IF(DW35=$A$40,$C$40,IF(DW35=$A$41,$C$41,1))))))*(DAY(DY35)-DAY(DX35)+1)/DAY(EOMONTH(DX35,0)),0)))</f>
        <v/>
      </c>
      <c r="EI35" s="461" t="str">
        <f>IF(DX35="","",IF(Main!$C$26="UGC",0,IF(OR(EP35=3,DZ35=VLOOKUP(DZ35,'IN RPS-2015'!$I$2:$J$5,1)),0,ROUND(IF(EP35=2,VLOOKUP(DZ35,IF($DU$3=$I$29,$A$20:$E$23,$F$144:$J$147),IF($B$19=VLOOKUP(DX35,$B$2:$G$4,3,TRUE),2,IF($C$19=VLOOKUP(DX35,$B$2:$G$4,3,TRUE),3,IF($D$19=VLOOKUP(DX35,$B$2:$G$4,3,TRUE),4,5))),TRUE),VLOOKUP(DZ35,IF($DU$3=$I$29,$A$20:$E$23,$F$144:$J$147),IF($B$19=VLOOKUP(DX35,$B$2:$G$4,3,TRUE),2,IF($C$19=VLOOKUP(DX35,$B$2:$G$4,3,TRUE),3,IF($D$19=VLOOKUP(DX35,$B$2:$G$4,3,TRUE),4,5))),TRUE))*(DAY(DY35)-DAY(DX35)+1)/DAY(EOMONTH(DX35,0)),0))))</f>
        <v/>
      </c>
      <c r="EJ35" s="461" t="str">
        <f>IF(DX35="","",IF(Main!$C$26="UGC",0,IF(OR(DW35&lt;DATE(2010,4,1),EP35=3,DZ35=VLOOKUP(DZ35,'IN RPS-2015'!$I$2:$J$5,1)),0,ROUND(IF(EP35=2,IF(DX35&lt;$I$152,Main!$L$9,Main!$CI$3)/2,IF(DX35&lt;$I$152,Main!$L$9,Main!$CI$3))*(DAY(DY35)-DAY(DX35)+1)/DAY(EOMONTH(DX35,0)),0))))</f>
        <v/>
      </c>
      <c r="EK35" s="461"/>
      <c r="EL35" s="461" t="str">
        <f>IF(DX35="","",IF(Main!$C$26="UGC",0,IF(OR(EP35=3,DZ35=VLOOKUP(DZ35,'IN RPS-2015'!$I$2:$J$5,1)),0,ROUND(IF(EP35=2,VLOOKUP(EA35,IF(DX35&lt;$I$152,$A$154:$E$159,$F$154:$J$159),IF($B$10=VLOOKUP(DW35,$B$2:$G$4,6,TRUE),2,IF($B$10=VLOOKUP(DW35,$B$2:$G$4,6,TRUE),3,IF($D$10=VLOOKUP(DW35,$B$2:$G$4,6,TRUE),4,5))))/2,VLOOKUP(EA35,IF(DX35&lt;$I$152,$A$154:$E$159,$F$154:$J$159),IF($B$10=VLOOKUP(DW35,$B$2:$G$4,6,TRUE),2,IF($B$10=VLOOKUP(DW35,$B$2:$G$4,6,TRUE),3,IF($D$10=VLOOKUP(DW35,$B$2:$G$4,6,TRUE),4,5)))))*(DAY(DY35)-DAY(DX35)+1)/DAY(EOMONTH(DX35,0)),0))))</f>
        <v/>
      </c>
      <c r="EM35" s="461">
        <f t="shared" si="79"/>
        <v>0</v>
      </c>
      <c r="EN35" s="464" t="str">
        <f>IF(DX35="","",IF(AND(Main!$F$22=Main!$CA$24,DX35&gt;$EN$1),ROUND(SUM(EA35,EC35)*10%,0),""))</f>
        <v/>
      </c>
      <c r="EO35" s="464" t="str">
        <f>IF(DW35="","",IF(EA35=0,0,IF(OR(Main!$H$10=Main!$BH$4,Main!$H$10=Main!$BH$5),0,LOOKUP(EM35*DAY(EOMONTH(DX35,0))/(DAY(DY35)-DAY(DX35)+1),$H$184:$I$189))))</f>
        <v/>
      </c>
      <c r="EP35" s="457">
        <f t="shared" si="62"/>
        <v>1</v>
      </c>
      <c r="ET35" s="461"/>
      <c r="EU35" s="499" t="str">
        <f t="shared" si="63"/>
        <v/>
      </c>
      <c r="EV35" s="500" t="str">
        <f t="shared" si="89"/>
        <v/>
      </c>
      <c r="EW35" s="484" t="str">
        <f>IF(EV35="","",MIN(EOMONTH(EV35,0),VLOOKUP(EV35,'IN RPS-2015'!$O$164:$P$202,2,TRUE)-1,LOOKUP(EV35,$E$47:$F$53)-1,IF(EV35&lt;$B$2,$B$2-1,'IN RPS-2015'!$Q$9),IF(EV35&lt;$B$3,$B$3-1,'IN RPS-2015'!$Q$9),IF(EV35&lt;$B$4,$B$4-1,'IN RPS-2015'!$Q$9),LOOKUP(EV35,$H$47:$I$53)))</f>
        <v/>
      </c>
      <c r="EX35" s="490" t="str">
        <f>IF(EV35="","",VLOOKUP(EV35,'IN RPS-2015'!$P$164:$AA$202,12))</f>
        <v/>
      </c>
      <c r="EY35" s="461" t="str">
        <f t="shared" si="80"/>
        <v/>
      </c>
      <c r="EZ35" s="461" t="str">
        <f>IF(EV35="","",ROUND(IF(FN35=3,0,IF(FN35=2,IF(EX35=VLOOKUP(EX35,'IN RPS-2015'!$I$2:$J$5,1),0,Main!$H$9)/2,IF(EX35=VLOOKUP(EX35,'IN RPS-2015'!$I$2:$J$5,1),0,Main!$H$9)))*(DAY(EW35)-DAY(EV35)+1)/DAY(EOMONTH(EV35,0)),0))</f>
        <v/>
      </c>
      <c r="FA35" s="461" t="str">
        <f>IF(EV35="","",IF(EX35=VLOOKUP(EX35,'IN RPS-2015'!$I$2:$J$5,1),0,ROUND(EY35*VLOOKUP(EV35,$ER$4:$ES$7,2)%,0)))</f>
        <v/>
      </c>
      <c r="FB35" s="461" t="str">
        <f>IF(EV35="","",IF(OR(FN35=3,EX35=VLOOKUP(EX35,'IN RPS-2015'!$I$2:$J$5,1)),0,ROUND(MIN(ROUND(EX35*VLOOKUP(EV35,$B$1:$G$4,2)%,0),VLOOKUP(EV35,$B$2:$I$4,IF($ES$3=$I$29,7,8),TRUE))*(DAY(EW35)-DAY(EV35)+1)/DAY(EOMONTH(EV35,0)),0)))</f>
        <v/>
      </c>
      <c r="FC35" s="491" t="str">
        <f>IF(EV35="","",IF(Main!$C$26="UGC",0,IF(OR(EV35&lt;DATE(2010,4,1),$I$6=VLOOKUP(EV35,$B$2:$G$4,5,TRUE),EX35=VLOOKUP(EX35,'IN RPS-2015'!$I$2:$J$5,1)),0,ROUND(IF(FN35=3,0,IF(FN35=2,MIN(ROUND(EX35*$G$13%,0),IF(EV35&lt;$J$152,$G$14,$G$15))/2,MIN(ROUND(EX35*$G$13%,0),IF(EV35&lt;$J$152,$G$14,$G$15))))*(DAY(EW35)-DAY(EV35)+1)/DAY(EOMONTH(EV35,0)),0))))</f>
        <v/>
      </c>
      <c r="FD35" s="461" t="str">
        <f>IF(EV35="","",IF(Main!$C$26="UGC",0,IF(EX35=VLOOKUP(EX35,'IN RPS-2015'!$I$2:$J$5,1),0,ROUND(EY35*VLOOKUP(EV35,$ER$11:$ES$12,2)%,0))))</f>
        <v/>
      </c>
      <c r="FE35" s="461" t="str">
        <f>IF(EV35="","",IF(Main!$C$26="UGC",0,IF(EV35&lt;DATE(2010,4,1),0,IF(OR(FN35=2,FN35=3,EX35=VLOOKUP(EX35,'IN RPS-2015'!$I$2:$J$5,1)),0,ROUND(IF(EV35&lt;$J$152,VLOOKUP(EV35,$B$1:$G$4,4),VLOOKUP(VLOOKUP(EV35,$B$1:$G$4,4),Main!$CE$2:$CF$5,2,FALSE))*(DAY(EW35)-DAY(EV35)+1)/DAY(EOMONTH(EV35,0)),0)))))</f>
        <v/>
      </c>
      <c r="FF35" s="461" t="str">
        <f>IF(EV35="","",IF(OR(FN35=2,FN35=3,$D$31=$D$28,EX35=VLOOKUP(EX35,'IN RPS-2015'!$I$2:$J$5,1)),0,ROUND(MIN(VLOOKUP(EU35,$A$27:$C$29,2,TRUE),ROUND(EX35*VLOOKUP(EU35,$A$27:$C$29,3,TRUE)%,0))*IF(EU35=$A$36,$C$36,IF(EU35=$A$37,$C$37,IF(EU35=$A$38,$C$38,IF(EU35=$A$39,$C$39,IF(EU35=$A$40,$C$40,IF(EU35=$A$41,$C$41,1))))))*(DAY(EW35)-DAY(EV35)+1)/DAY(EOMONTH(EV35,0)),0)))</f>
        <v/>
      </c>
      <c r="FG35" s="461" t="str">
        <f>IF(EV35="","",IF(Main!$C$26="UGC",0,IF(OR(FN35=3,EX35=VLOOKUP(EX35,'IN RPS-2015'!$I$2:$J$5,1)),0,ROUND(IF(FN35=2,VLOOKUP(EX35,IF($ES$3=$I$29,$A$20:$E$23,$F$144:$J$147),IF($B$19=VLOOKUP(EV35,$B$2:$G$4,3,TRUE),2,IF($C$19=VLOOKUP(EV35,$B$2:$G$4,3,TRUE),3,IF($D$19=VLOOKUP(EV35,$B$2:$G$4,3,TRUE),4,5))),TRUE),VLOOKUP(EX35,IF($ES$3=$I$29,$A$20:$E$23,$F$144:$J$147),IF($B$19=VLOOKUP(EV35,$B$2:$G$4,3,TRUE),2,IF($C$19=VLOOKUP(EV35,$B$2:$G$4,3,TRUE),3,IF($D$19=VLOOKUP(EV35,$B$2:$G$4,3,TRUE),4,5))),TRUE))*(DAY(EW35)-DAY(EV35)+1)/DAY(EOMONTH(EV35,0)),0))))</f>
        <v/>
      </c>
      <c r="FH35" s="461" t="str">
        <f>IF(EV35="","",IF(Main!$C$26="UGC",0,IF(OR(EU35&lt;DATE(2010,4,1),FN35=3,EX35=VLOOKUP(EX35,'IN RPS-2015'!$I$2:$J$5,1)),0,ROUND(IF(FN35=2,IF(EV35&lt;$J$152,Main!$L$9,Main!$CI$3)/2,IF(EV35&lt;$J$152,Main!$L$9,Main!$CI$3))*(DAY(EW35)-DAY(EV35)+1)/DAY(EOMONTH(EV35,0)),0))))</f>
        <v/>
      </c>
      <c r="FI35" s="461"/>
      <c r="FJ35" s="461" t="str">
        <f>IF(EV35="","",IF(Main!$C$26="UGC",0,IF(OR(FN35=3,EX35=VLOOKUP(EX35,'IN RPS-2015'!$I$2:$J$5,1)),0,ROUND(IF(FN35=2,VLOOKUP(EY35,IF(EV35&lt;$J$152,$A$154:$E$159,$F$154:$J$159),IF($B$10=VLOOKUP(EU35,$B$2:$G$4,6,TRUE),2,IF($B$10=VLOOKUP(EU35,$B$2:$G$4,6,TRUE),3,IF($D$10=VLOOKUP(EU35,$B$2:$G$4,6,TRUE),4,5))))/2,VLOOKUP(EY35,IF(EV35&lt;$J$152,$A$154:$E$159,$F$154:$J$159),IF($B$10=VLOOKUP(EU35,$B$2:$G$4,6,TRUE),2,IF($B$10=VLOOKUP(EU35,$B$2:$G$4,6,TRUE),3,IF($D$10=VLOOKUP(EU35,$B$2:$G$4,6,TRUE),4,5)))))*(DAY(EW35)-DAY(EV35)+1)/DAY(EOMONTH(EV35,0)),0))))</f>
        <v/>
      </c>
      <c r="FK35" s="461">
        <f t="shared" si="81"/>
        <v>0</v>
      </c>
      <c r="FL35" s="464" t="str">
        <f>IF(EV35="","",IF(AND(Main!$F$22=Main!$CA$24,EV35&gt;$FL$1),ROUND(SUM(EY35,FA35)*10%,0),""))</f>
        <v/>
      </c>
      <c r="FM35" s="464" t="str">
        <f>IF(EU35="","",IF(EY35=0,0,IF(OR(Main!$H$10=Main!$BH$4,Main!$H$10=Main!$BH$5),0,LOOKUP(FK35*DAY(EOMONTH(EV35,0))/(DAY(EW35)-DAY(EV35)+1),$H$184:$I$189))))</f>
        <v/>
      </c>
      <c r="FN35" s="457">
        <f t="shared" si="64"/>
        <v>1</v>
      </c>
    </row>
    <row r="36" spans="1:170">
      <c r="A36" s="459">
        <f>DATE(2015,4,1)</f>
        <v>42095</v>
      </c>
      <c r="B36" s="457">
        <f>IF(D32=D29,23,30)</f>
        <v>23</v>
      </c>
      <c r="C36" s="485">
        <f t="shared" ref="C36:C41" si="91">B36/DAY(EOMONTH(A36,0))</f>
        <v>0.76666666666666672</v>
      </c>
      <c r="E36" s="505" t="s">
        <v>1505</v>
      </c>
      <c r="K36" s="1126" t="s">
        <v>1872</v>
      </c>
      <c r="L36" s="1127"/>
      <c r="M36" s="1127"/>
      <c r="N36" s="457">
        <v>0.52400000000000002</v>
      </c>
      <c r="AH36" s="461"/>
      <c r="AI36" s="499" t="str">
        <f t="shared" si="54"/>
        <v/>
      </c>
      <c r="AJ36" s="500" t="str">
        <f t="shared" si="84"/>
        <v/>
      </c>
      <c r="AK36" s="484" t="str">
        <f>IF(AJ36="","",MIN(EOMONTH(AJ36,0),VLOOKUP(AJ36,'IN RPS-2015'!$O$164:$P$202,2,TRUE)-1,LOOKUP(AJ36,$E$47:$F$53)-1,IF(AJ36&lt;$B$2,$B$2-1,'IN RPS-2015'!$Q$9),IF(AJ36&lt;$B$3,$B$3-1,'IN RPS-2015'!$Q$9),IF(AJ36&lt;$B$4,$B$4-1,'IN RPS-2015'!$Q$9),LOOKUP(AJ36,$H$47:$I$53)))</f>
        <v/>
      </c>
      <c r="AL36" s="490" t="str">
        <f>IF(AJ36="","",VLOOKUP(AJ36,'IN RPS-2015'!$P$164:$AA$202,9))</f>
        <v/>
      </c>
      <c r="AM36" s="461" t="str">
        <f t="shared" si="66"/>
        <v/>
      </c>
      <c r="AN36" s="461" t="str">
        <f>IF(AJ36="","",IF(AND($AG$3=$AG$1,AJ36&lt;=$AZ$1),0,ROUND(IF(BB36=3,0,IF(BB36=2,IF(AL36=VLOOKUP(AL36,'IN RPS-2015'!$I$2:$J$5,1),0,Main!$H$9)/2,IF(AL36=VLOOKUP(AL36,'IN RPS-2015'!$I$2:$J$5,1),0,Main!$H$9)))*(DAY(AK36)-DAY(AJ36)+1)/DAY(EOMONTH(AJ36,0)),0)))</f>
        <v/>
      </c>
      <c r="AO36" s="461" t="str">
        <f>IF(AJ36="","",IF(AND($AG$3=$AG$1,AJ36&lt;=$AZ$1),0,IF(AL36=VLOOKUP(AL36,'IN RPS-2015'!$I$2:$J$5,1),0,ROUND(AM36*VLOOKUP(AJ36,$AF$4:$AG$7,2)%,0))))</f>
        <v/>
      </c>
      <c r="AP36" s="461" t="str">
        <f>IF(AJ36="","",IF(AND($AG$3=$AG$1,AJ36&lt;=$AZ$1),0,IF(OR(BB36=3,AL36=VLOOKUP(AL36,'IN RPS-2015'!$I$2:$J$5,1)),0,ROUND(MIN(ROUND(AL36*VLOOKUP(AJ36,$B$1:$G$4,2)%,0),VLOOKUP(AJ36,$B$2:$I$4,IF($AG$3=$I$29,7,8),TRUE))*(DAY(AK36)-DAY(AJ36)+1)/DAY(EOMONTH(AJ36,0)),0))))</f>
        <v/>
      </c>
      <c r="AQ36" s="491" t="str">
        <f>IF(AJ36="","",IF(AND($AG$3=$AG$1,AJ36&lt;=$AZ$1),0,IF(Main!$C$26="UGC",0,IF(OR(AJ36&lt;DATE(2010,4,1),$I$6=VLOOKUP(AJ36,$B$2:$G$4,5,TRUE),AL36=VLOOKUP(AL36,'IN RPS-2015'!$I$2:$J$5,1)),0,ROUND(IF(BB36=3,0,IF(BB36=2,MIN(ROUND(AL36*$G$13%,0),IF(AJ36&lt;$J$152,$G$14,$G$15))/2,MIN(ROUND(AL36*$G$13%,0),IF(AJ36&lt;$J$152,$G$14,$G$15))))*(DAY(AK36)-DAY(AJ36)+1)/DAY(EOMONTH(AJ36,0)),0)))))</f>
        <v/>
      </c>
      <c r="AR36" s="461" t="str">
        <f>IF(AJ36="","",IF(AND($AG$3=$AG$1,AJ36&lt;=$AZ$1),0,IF(Main!$C$26="UGC",0,IF(AL36=VLOOKUP(AL36,'IN RPS-2015'!$I$2:$J$5,1),0,ROUND(AM36*VLOOKUP(AJ36,$AF$11:$AG$12,2)%,0)))))</f>
        <v/>
      </c>
      <c r="AS36" s="461" t="str">
        <f>IF(AJ36="","",IF(AND($AG$3=$AG$1,AJ36&lt;=$AZ$1),0,IF(Main!$C$26="UGC",0,IF(AJ36&lt;DATE(2010,4,1),0,IF(OR(BB36=2,BB36=3,AL36=VLOOKUP(AL36,'IN RPS-2015'!$I$2:$J$5,1)),0,ROUND(IF(AJ36&lt;$J$152,VLOOKUP(AJ36,$B$1:$G$4,4),VLOOKUP(VLOOKUP(AJ36,$B$1:$G$4,4),Main!$CE$2:$CF$5,2,FALSE))*(DAY(AK36)-DAY(AJ36)+1)/DAY(EOMONTH(AJ36,0)),0))))))</f>
        <v/>
      </c>
      <c r="AT36" s="461" t="str">
        <f>IF(AJ36="","",IF(AND($AG$3=$AG$1,AJ36&lt;=$AZ$1),0,IF(OR(BB36=2,BB36=3,$D$31=$D$28,AL36=VLOOKUP(AL36,'IN RPS-2015'!$I$2:$J$5,1)),0,ROUND(MIN(VLOOKUP(AI36,$A$27:$C$29,2,TRUE),ROUND(AL36*VLOOKUP(AI36,$A$27:$C$29,3,TRUE)%,0))*IF(AI36=$A$36,$C$36,IF(AI36=$A$37,$C$37,IF(AI36=$A$38,$C$38,IF(AI36=$A$39,$C$39,IF(AI36=$A$40,$C$40,IF(AI36=$A$41,$C$41,1))))))*(DAY(AK36)-DAY(AJ36)+1)/DAY(EOMONTH(AJ36,0)),0))))</f>
        <v/>
      </c>
      <c r="AU36" s="461" t="str">
        <f>IF(AJ36="","",IF(AND($AG$3=$AG$1,AJ36&lt;=$AZ$1),0,IF(Main!$C$26="UGC",0,IF(OR(BB36=3,AL36=VLOOKUP(AL36,'IN RPS-2015'!$I$2:$J$5,1)),0,ROUND(IF(BB36=2,VLOOKUP(AL36,IF($AG$3=$I$29,$A$20:$E$23,$F$144:$J$147),IF($B$19=VLOOKUP(AJ36,$B$2:$G$4,3,TRUE),2,IF($C$19=VLOOKUP(AJ36,$B$2:$G$4,3,TRUE),3,IF($D$19=VLOOKUP(AJ36,$B$2:$G$4,3,TRUE),4,5))),TRUE),VLOOKUP(AL36,IF($AG$3=$I$29,$A$20:$E$23,$F$144:$J$147),IF($B$19=VLOOKUP(AJ36,$B$2:$G$4,3,TRUE),2,IF($C$19=VLOOKUP(AJ36,$B$2:$G$4,3,TRUE),3,IF($D$19=VLOOKUP(AJ36,$B$2:$G$4,3,TRUE),4,5))),TRUE))*(DAY(AK36)-DAY(AJ36)+1)/DAY(EOMONTH(AJ36,0)),0)))))</f>
        <v/>
      </c>
      <c r="AV36" s="461" t="str">
        <f>IF(AJ36="","",IF(AND($AG$3=$AG$1,AJ36&lt;=$AZ$1),0,IF(Main!$C$26="UGC",0,IF(OR(AI36&lt;DATE(2010,4,1),BB36=3,AL36=VLOOKUP(AL36,'IN RPS-2015'!$I$2:$J$5,1)),0,ROUND(IF(BB36=2,IF(AJ36&lt;$J$152,Main!$L$9,Main!$CI$3)/2,IF(AJ36&lt;$J$152,Main!$L$9,Main!$CI$3))*(DAY(AK36)-DAY(AJ36)+1)/DAY(EOMONTH(AJ36,0)),0)))))</f>
        <v/>
      </c>
      <c r="AW36" s="461"/>
      <c r="AX36" s="461" t="str">
        <f>IF(AJ36="","",IF(AND($AG$3=$AG$1,AJ36&lt;=$AZ$1),0,IF(Main!$C$26="UGC",0,IF(OR(BB36=3,AL36=VLOOKUP(AL36,'IN RPS-2015'!$I$2:$J$5,1)),0,ROUND(IF(BB36=2,VLOOKUP(AM36,IF(AJ36&lt;$J$152,$A$154:$E$159,$F$154:$J$159),IF($B$10=VLOOKUP(AI36,$B$2:$G$4,6,TRUE),2,IF($B$10=VLOOKUP(AI36,$B$2:$G$4,6,TRUE),3,IF($D$10=VLOOKUP(AI36,$B$2:$G$4,6,TRUE),4,5))))/2,VLOOKUP(AM36,IF(AJ36&lt;$J$152,$A$154:$E$159,$F$154:$J$159),IF($B$10=VLOOKUP(AI36,$B$2:$G$4,6,TRUE),2,IF($B$10=VLOOKUP(AI36,$B$2:$G$4,6,TRUE),3,IF($D$10=VLOOKUP(AI36,$B$2:$G$4,6,TRUE),4,5)))))*(DAY(AK36)-DAY(AJ36)+1)/DAY(EOMONTH(AJ36,0)),0)))))</f>
        <v/>
      </c>
      <c r="AY36" s="461">
        <f t="shared" si="67"/>
        <v>0</v>
      </c>
      <c r="AZ36" s="464" t="str">
        <f>IF(AJ36="","",IF(AND($AG$3=$AG$1,AJ36&lt;=$AZ$1),0,IF(AND(Main!$F$22=Main!$CA$24,AJ36&gt;$AZ$1),ROUND(SUM(AM36,AO36)*10%,0),"")))</f>
        <v/>
      </c>
      <c r="BA36" s="464" t="str">
        <f>IF(AI36="","",IF(AND($AG$3=$AG$1,AJ36&lt;=$AZ$1),0,IF(OR(Main!$H$10=Main!$BH$4,Main!$H$10=Main!$BH$5),0,LOOKUP(AY36*DAY(EOMONTH(AJ36,0))/(DAY(AK36)-DAY(AJ36)+1),$H$184:$I$189))))</f>
        <v/>
      </c>
      <c r="BB36" s="497">
        <f t="shared" si="55"/>
        <v>1</v>
      </c>
      <c r="BC36" s="464"/>
      <c r="BD36" s="501" t="str">
        <f t="shared" si="56"/>
        <v/>
      </c>
      <c r="BE36" s="502" t="str">
        <f t="shared" si="85"/>
        <v/>
      </c>
      <c r="BF36" s="484" t="str">
        <f>IF(BE36="","",MIN(EOMONTH(BE36,0),VLOOKUP(BE36,'IN RPS-2015'!$O$164:$P$202,2,TRUE)-1,LOOKUP(BE36,$E$47:$F$53)-1,IF(BE36&lt;$B$2,$B$2-1,'IN RPS-2015'!$Q$9),IF(BE36&lt;$B$3,$B$3-1,'IN RPS-2015'!$Q$9),IF(BE36&lt;$B$4,$B$4-1,'IN RPS-2015'!$Q$9),LOOKUP(BE36,$H$47:$I$53)))</f>
        <v/>
      </c>
      <c r="BG36" s="493" t="str">
        <f>IF(BE36="","",VLOOKUP(BE36,'IN RPS-2015'!$P$164:$AA$202,10))</f>
        <v/>
      </c>
      <c r="BH36" s="461" t="str">
        <f t="shared" si="68"/>
        <v/>
      </c>
      <c r="BI36" s="461" t="str">
        <f>IF(BE36="","",IF(AND($AG$3=$AG$1,BE36&lt;=$AZ$1),0,ROUND(IF(BW36=3,0,IF(BW36=2,IF(BG36=VLOOKUP(BG36,'IN RPS-2015'!$I$2:$J$5,1),0,Main!$H$9)/2,IF(BG36=VLOOKUP(BG36,'IN RPS-2015'!$I$2:$J$5,1),0,Main!$H$9)))*(DAY(BF36)-DAY(BE36)+1)/DAY(EOMONTH(BE36,0)),0)))</f>
        <v/>
      </c>
      <c r="BJ36" s="461" t="str">
        <f>IF(BE36="","",IF(AND($AG$3=$AG$1,BE36&lt;=$AZ$1),0,IF(BG36=VLOOKUP(BG36,'IN RPS-2015'!$I$2:$J$5,1),0,ROUND(BH36*VLOOKUP(BE36,$AF$4:$AG$7,2)%,0))))</f>
        <v/>
      </c>
      <c r="BK36" s="461" t="str">
        <f>IF(BE36="","",IF(AND($AG$3=$AG$1,BE36&lt;=$AZ$1),0,IF(OR(BW36=3,BG36=VLOOKUP(BG36,'IN RPS-2015'!$I$2:$J$5,1)),0,ROUND(MIN(ROUND(BG36*VLOOKUP(BE36,$B$1:$G$4,2)%,0),VLOOKUP(BE36,$B$2:$I$4,IF($AG$3=$I$29,7,8),TRUE))*(DAY(BF36)-DAY(BE36)+1)/DAY(EOMONTH(BE36,0)),0))))</f>
        <v/>
      </c>
      <c r="BL36" s="491" t="str">
        <f>IF(BE36="","",IF(AND($AG$3=$AG$1,BE36&lt;=$AZ$1),0,IF(Main!$C$26="UGC",0,IF(OR(BE36&lt;DATE(2010,4,1),$I$6=VLOOKUP(BE36,$B$2:$G$4,5,TRUE),BG36=VLOOKUP(BG36,'IN RPS-2015'!$I$2:$J$5,1)),0,ROUND(IF(BW36=3,0,IF(BW36=2,MIN(ROUND(BG36*$G$13%,0),IF(BE36&lt;$J$152,$G$14,$G$15))/2,MIN(ROUND(BG36*$G$13%,0),IF(BE36&lt;$J$152,$G$14,$G$15))))*(DAY(BF36)-DAY(BE36)+1)/DAY(EOMONTH(BE36,0)),0)))))</f>
        <v/>
      </c>
      <c r="BM36" s="461" t="str">
        <f>IF(BE36="","",IF(AND($AG$3=$AG$1,BE36&lt;=$AZ$1),0,IF(Main!$C$26="UGC",0,IF(BG36=VLOOKUP(BG36,'IN RPS-2015'!$I$2:$J$5,1),0,ROUND(BH36*VLOOKUP(BE36,$AF$11:$AG$12,2)%,0)))))</f>
        <v/>
      </c>
      <c r="BN36" s="461" t="str">
        <f>IF(BE36="","",IF(AND($AG$3=$AG$1,BE36&lt;=$AZ$1),0,IF(Main!$C$26="UGC",0,IF(BE36&lt;DATE(2010,4,1),0,IF(OR(BW36=2,BW36=3,BG36=VLOOKUP(BG36,'IN RPS-2015'!$I$2:$J$5,1)),0,ROUND(IF(BE36&lt;$J$152,VLOOKUP(BE36,$B$1:$G$4,4),VLOOKUP(VLOOKUP(BE36,$B$1:$G$4,4),Main!$CE$2:$CF$5,2,FALSE))*(DAY(BF36)-DAY(BE36)+1)/DAY(EOMONTH(BE36,0)),0))))))</f>
        <v/>
      </c>
      <c r="BO36" s="461" t="str">
        <f>IF(BE36="","",IF(AND($AG$3=$AG$1,BE36&lt;=$AZ$1),0,IF(OR(BW36=2,BW36=3,$D$31=$D$28,BG36=VLOOKUP(BG36,'IN RPS-2015'!$I$2:$J$5,1)),0,ROUND(MIN(VLOOKUP(BD36,$A$27:$C$29,2,TRUE),ROUND(BG36*VLOOKUP(BD36,$A$27:$C$29,3,TRUE)%,0))*IF(BD36=$A$36,$C$36,IF(BD36=$A$37,$C$37,IF(BD36=$A$38,$C$38,IF(BD36=$A$39,$C$39,IF(BD36=$A$40,$C$40,IF(BD36=$A$41,$C$41,1))))))*(DAY(BF36)-DAY(BE36)+1)/DAY(EOMONTH(BE36,0)),0))))</f>
        <v/>
      </c>
      <c r="BP36" s="461" t="str">
        <f>IF(BE36="","",IF(AND($AG$3=$AG$1,BE36&lt;=$AZ$1),0,IF(Main!$C$26="UGC",0,IF(OR(BW36=3,BG36=VLOOKUP(BG36,'IN RPS-2015'!$I$2:$J$5,1)),0,ROUND(IF(BW36=2,VLOOKUP(BG36,IF($AG$3=$I$29,$A$20:$E$23,$F$144:$J$147),IF($B$19=VLOOKUP(BE36,$B$2:$G$4,3,TRUE),2,IF($C$19=VLOOKUP(BE36,$B$2:$G$4,3,TRUE),3,IF($D$19=VLOOKUP(BE36,$B$2:$G$4,3,TRUE),4,5))),TRUE),VLOOKUP(BG36,IF($AG$3=$I$29,$A$20:$E$23,$F$144:$J$147),IF($B$19=VLOOKUP(BE36,$B$2:$G$4,3,TRUE),2,IF($C$19=VLOOKUP(BE36,$B$2:$G$4,3,TRUE),3,IF($D$19=VLOOKUP(BE36,$B$2:$G$4,3,TRUE),4,5))),TRUE))*(DAY(BF36)-DAY(BE36)+1)/DAY(EOMONTH(BE36,0)),0)))))</f>
        <v/>
      </c>
      <c r="BQ36" s="461" t="str">
        <f>IF(BE36="","",IF(AND($AG$3=$AG$1,BE36&lt;=$AZ$1),0,IF(Main!$C$26="UGC",0,IF(OR(BD36&lt;DATE(2010,4,1),BW36=3,BG36=VLOOKUP(BG36,'IN RPS-2015'!$I$2:$J$5,1)),0,ROUND(IF(BW36=2,IF(BE36&lt;$J$152,Main!$L$9,Main!$CI$3)/2,IF(BE36&lt;$J$152,Main!$L$9,Main!$CI$3))*(DAY(BF36)-DAY(BE36)+1)/DAY(EOMONTH(BE36,0)),0)))))</f>
        <v/>
      </c>
      <c r="BR36" s="461"/>
      <c r="BS36" s="461" t="str">
        <f>IF(BE36="","",IF(AND($AG$3=$AG$1,BE36&lt;=$AZ$1),0,IF(Main!$C$26="UGC",0,IF(OR(BW36=3,BG36=VLOOKUP(BG36,'IN RPS-2015'!$I$2:$J$5,1)),0,ROUND(IF(BW36=2,VLOOKUP(BH36,IF(BE36&lt;$J$152,$A$154:$E$159,$F$154:$J$159),IF($B$10=VLOOKUP(BD36,$B$2:$G$4,6,TRUE),2,IF($B$10=VLOOKUP(BD36,$B$2:$G$4,6,TRUE),3,IF($D$10=VLOOKUP(BD36,$B$2:$G$4,6,TRUE),4,5))))/2,VLOOKUP(BH36,IF(BE36&lt;$J$152,$A$154:$E$159,$F$154:$J$159),IF($B$10=VLOOKUP(BD36,$B$2:$G$4,6,TRUE),2,IF($B$10=VLOOKUP(BD36,$B$2:$G$4,6,TRUE),3,IF($D$10=VLOOKUP(BD36,$B$2:$G$4,6,TRUE),4,5)))))*(DAY(BF36)-DAY(BE36)+1)/DAY(EOMONTH(BE36,0)),0)))))</f>
        <v/>
      </c>
      <c r="BT36" s="461">
        <f t="shared" si="69"/>
        <v>0</v>
      </c>
      <c r="BU36" s="464" t="str">
        <f>IF(BE36="","",IF(AND($AG$3=$AG$1,BE36&lt;=$AZ$1),0,IF(AND(Main!$F$22=Main!$CA$24,BE36&gt;$AZ$1),ROUND(SUM(BH36,BJ36)*10%,0),"")))</f>
        <v/>
      </c>
      <c r="BV36" s="464" t="str">
        <f>IF(BD36="","",IF(AND($AG$3=$AG$1,BE36&lt;=$AZ$1),0,IF(OR(Main!$H$10=Main!$BH$4,Main!$H$10=Main!$BH$5),0,LOOKUP(BT36*DAY(EOMONTH(BE36,0))/(DAY(BF36)-DAY(BE36)+1),$H$184:$I$189))))</f>
        <v/>
      </c>
      <c r="BW36" s="503">
        <f t="shared" si="70"/>
        <v>1</v>
      </c>
      <c r="BX36" s="457">
        <f t="shared" si="90"/>
        <v>0</v>
      </c>
      <c r="BY36" s="457"/>
      <c r="BZ36" s="457"/>
      <c r="CA36" s="457"/>
      <c r="CB36" s="461"/>
      <c r="CC36" s="499" t="str">
        <f t="shared" si="57"/>
        <v/>
      </c>
      <c r="CD36" s="500" t="str">
        <f t="shared" si="86"/>
        <v/>
      </c>
      <c r="CE36" s="484" t="str">
        <f>IF(CD36="","",MIN(EOMONTH(CD36,0),VLOOKUP(CD36,'IN RPS-2015'!$O$164:$P$202,2,TRUE)-1,LOOKUP(CD36,$E$47:$F$53)-1,IF(CD36&lt;$B$2,$B$2-1,'IN RPS-2015'!$Q$9),IF(CD36&lt;$B$3,$B$3-1,'IN RPS-2015'!$Q$9),IF(CD36&lt;$B$4,$B$4-1,'IN RPS-2015'!$Q$9),LOOKUP(CD36,$H$47:$I$53)))</f>
        <v/>
      </c>
      <c r="CF36" s="490" t="str">
        <f>IF(CD36="","",VLOOKUP(CD36,'IN RPS-2015'!$T$207:$Y$222,5))</f>
        <v/>
      </c>
      <c r="CG36" s="461" t="str">
        <f t="shared" si="72"/>
        <v/>
      </c>
      <c r="CH36" s="461" t="str">
        <f>IF(CD36="","",IF(AND($CA$3=$CA$1,CD36&lt;=$CT$1),0,ROUND(IF(CV36=3,0,IF(CV36=2,IF(CF36=VLOOKUP(CF36,'IN RPS-2015'!$I$2:$J$5,1),0,Main!$H$9)/2,IF(CF36=VLOOKUP(CF36,'IN RPS-2015'!$I$2:$J$5,1),0,Main!$H$9)))*(DAY(CE36)-DAY(CD36)+1)/DAY(EOMONTH(CD36,0)),0)))</f>
        <v/>
      </c>
      <c r="CI36" s="461" t="str">
        <f>IF(CD36="","",IF(AND($CA$3=$CA$1,CD36&lt;=$CT$1),0,IF(CF36=VLOOKUP(CF36,'IN RPS-2015'!$I$2:$J$5,1),0,ROUND(CG36*VLOOKUP(CD36,$BZ$4:$CA$7,2)%,0))))</f>
        <v/>
      </c>
      <c r="CJ36" s="461" t="str">
        <f>IF(CD36="","",IF(AND($CA$3=$CA$1,CD36&lt;=$CT$1),0,IF(OR(CV36=3,CF36=VLOOKUP(CF36,'IN RPS-2015'!$I$2:$J$5,1)),0,ROUND(MIN(ROUND(CF36*VLOOKUP(CD36,$B$1:$G$4,2)%,0),VLOOKUP(CD36,$B$2:$I$4,IF($CA$3=$I$29,7,8),TRUE))*(DAY(CE36)-DAY(CD36)+1)/DAY(EOMONTH(CD36,0)),0))))</f>
        <v/>
      </c>
      <c r="CK36" s="491" t="str">
        <f>IF(CD36="","",IF(AND($CA$3=$CA$1,CD36&lt;=$CT$1),0,IF(Main!$C$26="UGC",0,IF(OR(CD36&lt;DATE(2010,4,1),$I$6=VLOOKUP(CD36,$B$2:$G$4,5,TRUE),CF36=VLOOKUP(CF36,'IN RPS-2015'!$I$2:$J$5,1)),0,ROUND(IF(CV36=3,0,IF(CV36=2,MIN(ROUND(CF36*$G$13%,0),IF(CD36&lt;$J$152,$G$14,$G$15))/2,MIN(ROUND(CF36*$G$13%,0),IF(CD36&lt;$J$152,$G$14,$G$15))))*(DAY(CE36)-DAY(CD36)+1)/DAY(EOMONTH(CD36,0)),0)))))</f>
        <v/>
      </c>
      <c r="CL36" s="461" t="str">
        <f>IF(CD36="","",IF(AND($CA$3=$CA$1,CD36&lt;=$CT$1),0,IF(Main!$C$26="UGC",0,IF(CF36=VLOOKUP(CF36,'IN RPS-2015'!$I$2:$J$5,1),0,ROUND(CG36*VLOOKUP(CD36,$BZ$11:$CA$12,2)%,0)))))</f>
        <v/>
      </c>
      <c r="CM36" s="461" t="str">
        <f>IF(CD36="","",IF(AND($CA$3=$CA$1,CD36&lt;=$CT$1),0,IF(Main!$C$26="UGC",0,IF(CD36&lt;DATE(2010,4,1),0,IF(OR(CV36=2,CV36=3,CF36=VLOOKUP(CF36,'IN RPS-2015'!$I$2:$J$5,1)),0,ROUND(IF(CD36&lt;$J$152,VLOOKUP(CD36,$B$1:$G$4,4),VLOOKUP(VLOOKUP(CD36,$B$1:$G$4,4),Main!$CE$2:$CF$5,2,FALSE))*(DAY(CE36)-DAY(CD36)+1)/DAY(EOMONTH(CD36,0)),0))))))</f>
        <v/>
      </c>
      <c r="CN36" s="461" t="str">
        <f>IF(CD36="","",IF(AND($CA$3=$CA$1,CD36&lt;=$CT$1),0,IF(OR(CV36=2,CV36=3,$D$31=$D$28,CF36=VLOOKUP(CF36,'IN RPS-2015'!$I$2:$J$5,1)),0,ROUND(MIN(VLOOKUP(CC36,$A$27:$C$29,2,TRUE),ROUND(CF36*VLOOKUP(CC36,$A$27:$C$29,3,TRUE)%,0))*IF(CC36=$A$36,$C$36,IF(CC36=$A$37,$C$37,IF(CC36=$A$38,$C$38,IF(CC36=$A$39,$C$39,IF(CC36=$A$40,$C$40,IF(CC36=$A$41,$C$41,1))))))*(DAY(CE36)-DAY(CD36)+1)/DAY(EOMONTH(CD36,0)),0))))</f>
        <v/>
      </c>
      <c r="CO36" s="461" t="str">
        <f>IF(CD36="","",IF(AND($CA$3=$CA$1,CD36&lt;=$CT$1),0,IF(Main!$C$26="UGC",0,IF(OR(CV36=3,CF36=VLOOKUP(CF36,'IN RPS-2015'!$I$2:$J$5,1)),0,ROUND(IF(CV36=2,VLOOKUP(CF36,IF($CA$3=$I$29,$A$20:$E$23,$F$144:$J$147),IF($B$19=VLOOKUP(CD36,$B$2:$G$4,3,TRUE),2,IF($C$19=VLOOKUP(CD36,$B$2:$G$4,3,TRUE),3,IF($D$19=VLOOKUP(CD36,$B$2:$G$4,3,TRUE),4,5))),TRUE),VLOOKUP(CF36,IF($CA$3=$I$29,$A$20:$E$23,$F$144:$J$147),IF($B$19=VLOOKUP(CD36,$B$2:$G$4,3,TRUE),2,IF($C$19=VLOOKUP(CD36,$B$2:$G$4,3,TRUE),3,IF($D$19=VLOOKUP(CD36,$B$2:$G$4,3,TRUE),4,5))),TRUE))*(DAY(CE36)-DAY(CD36)+1)/DAY(EOMONTH(CD36,0)),0)))))</f>
        <v/>
      </c>
      <c r="CP36" s="461" t="str">
        <f>IF(CD36="","",IF(AND($CA$3=$CA$1,CD36&lt;=$CT$1),0,IF(Main!$C$26="UGC",0,IF(OR(CC36&lt;DATE(2010,4,1),CV36=3,CF36=VLOOKUP(CF36,'IN RPS-2015'!$I$2:$J$5,1)),0,ROUND(IF(CV36=2,IF(CD36&lt;$J$152,Main!$L$9,Main!$CI$3)/2,IF(CD36&lt;$J$152,Main!$L$9,Main!$CI$3))*(DAY(CE36)-DAY(CD36)+1)/DAY(EOMONTH(CD36,0)),0)))))</f>
        <v/>
      </c>
      <c r="CQ36" s="461"/>
      <c r="CR36" s="461" t="str">
        <f>IF(CD36="","",IF(AND($CA$3=$CA$1,CD36&lt;=$CT$1),0,IF(Main!$C$26="UGC",0,IF(OR(CV36=3,CF36=VLOOKUP(CF36,'IN RPS-2015'!$I$2:$J$5,1)),0,ROUND(IF(CV36=2,VLOOKUP(CG36,IF(CD36&lt;$J$152,$A$154:$E$159,$F$154:$J$159),IF($B$10=VLOOKUP(CC36,$B$2:$G$4,6,TRUE),2,IF($B$10=VLOOKUP(CC36,$B$2:$G$4,6,TRUE),3,IF($D$10=VLOOKUP(CC36,$B$2:$G$4,6,TRUE),4,5))))/2,VLOOKUP(CG36,IF(CD36&lt;$J$152,$A$154:$E$159,$F$154:$J$159),IF($B$10=VLOOKUP(CC36,$B$2:$G$4,6,TRUE),2,IF($B$10=VLOOKUP(CC36,$B$2:$G$4,6,TRUE),3,IF($D$10=VLOOKUP(CC36,$B$2:$G$4,6,TRUE),4,5)))))*(DAY(CE36)-DAY(CD36)+1)/DAY(EOMONTH(CD36,0)),0)))))</f>
        <v/>
      </c>
      <c r="CS36" s="461">
        <f t="shared" si="73"/>
        <v>0</v>
      </c>
      <c r="CT36" s="464" t="str">
        <f>IF(CD36="","",IF(AND($CA$3=$CA$1,CD36&lt;=$CT$1),0,IF(AND(Main!$F$22=Main!$CA$24,CD36&gt;$CT$1),ROUND(SUM(CG36,CI36)*10%,0),"")))</f>
        <v/>
      </c>
      <c r="CU36" s="464" t="str">
        <f>IF(CC36="","",IF(CG36=0,0,IF(OR(Main!$H$10=Main!$BH$4,Main!$H$10=Main!$BH$5),0,LOOKUP(CS36*DAY(EOMONTH(CD36,0))/(DAY(CE36)-DAY(CD36)+1),$H$184:$I$189))))</f>
        <v/>
      </c>
      <c r="CV36" s="457">
        <f t="shared" si="74"/>
        <v>1</v>
      </c>
      <c r="CW36" s="464"/>
      <c r="CX36" s="501" t="str">
        <f t="shared" si="59"/>
        <v/>
      </c>
      <c r="CY36" s="502" t="str">
        <f t="shared" si="87"/>
        <v/>
      </c>
      <c r="CZ36" s="484" t="str">
        <f>IF(CY36="","",MIN(EOMONTH(CY36,0),VLOOKUP(CY36,'IN RPS-2015'!$O$164:$P$202,2,TRUE)-1,LOOKUP(CY36,$E$47:$F$53)-1,IF(CY36&lt;$B$2,$B$2-1,'IN RPS-2015'!$Q$9),IF(CY36&lt;$B$3,$B$3-1,'IN RPS-2015'!$Q$9),IF(CY36&lt;$B$4,$B$4-1,'IN RPS-2015'!$Q$9),LOOKUP(CY36,$H$47:$I$53)))</f>
        <v/>
      </c>
      <c r="DA36" s="493" t="str">
        <f>IF(CY36="","",VLOOKUP(CY36,'IN RPS-2015'!$T$207:$Y$222,6))</f>
        <v/>
      </c>
      <c r="DB36" s="461" t="str">
        <f t="shared" si="75"/>
        <v/>
      </c>
      <c r="DC36" s="461" t="str">
        <f>IF(CY36="","",IF(AND($CA$3=$CA$1,CY36&lt;=$CT$1),0,ROUND(IF(DQ36=3,0,IF(DQ36=2,IF(DA36=VLOOKUP(DA36,'IN RPS-2015'!$I$2:$J$5,1),0,Main!$H$9)/2,IF(DA36=VLOOKUP(DA36,'IN RPS-2015'!$I$2:$J$5,1),0,Main!$H$9)))*(DAY(CZ36)-DAY(CY36)+1)/DAY(EOMONTH(CY36,0)),0)))</f>
        <v/>
      </c>
      <c r="DD36" s="461" t="str">
        <f>IF(CY36="","",IF(AND($CA$3=$CA$1,CY36&lt;=$CT$1),0,IF(DA36=VLOOKUP(DA36,'IN RPS-2015'!$I$2:$J$5,1),0,ROUND(DB36*VLOOKUP(CY36,$BZ$4:$CA$7,2)%,0))))</f>
        <v/>
      </c>
      <c r="DE36" s="461" t="str">
        <f>IF(CY36="","",IF(AND($CA$3=$CA$1,CY36&lt;=$CT$1),0,IF(OR(DQ36=3,DA36=VLOOKUP(DA36,'IN RPS-2015'!$I$2:$J$5,1)),0,ROUND(MIN(ROUND(DA36*VLOOKUP(CY36,$B$1:$G$4,2)%,0),VLOOKUP(CY36,$B$2:$I$4,IF($CA$3=$I$29,7,8),TRUE))*(DAY(CZ36)-DAY(CY36)+1)/DAY(EOMONTH(CY36,0)),0))))</f>
        <v/>
      </c>
      <c r="DF36" s="491" t="str">
        <f>IF(CY36="","",IF(AND($CA$3=$CA$1,CY36&lt;=$CT$1),0,IF(Main!$C$26="UGC",0,IF(OR(CY36&lt;DATE(2010,4,1),$I$6=VLOOKUP(CY36,$B$2:$G$4,5,TRUE),DA36=VLOOKUP(DA36,'IN RPS-2015'!$I$2:$J$5,1)),0,ROUND(IF(DQ36=3,0,IF(DQ36=2,MIN(ROUND(DA36*$G$13%,0),IF(CY36&lt;$J$152,$G$14,$G$15))/2,MIN(ROUND(DA36*$G$13%,0),IF(CY36&lt;$J$152,$G$14,$G$15))))*(DAY(CZ36)-DAY(CY36)+1)/DAY(EOMONTH(CY36,0)),0)))))</f>
        <v/>
      </c>
      <c r="DG36" s="461" t="str">
        <f>IF(CY36="","",IF(AND($CA$3=$CA$1,CY36&lt;=$CT$1),0,IF(Main!$C$26="UGC",0,IF(DA36=VLOOKUP(DA36,'IN RPS-2015'!$I$2:$J$5,1),0,ROUND(DB36*VLOOKUP(CY36,$BZ$11:$CA$12,2)%,0)))))</f>
        <v/>
      </c>
      <c r="DH36" s="461" t="str">
        <f>IF(CY36="","",IF(AND($CA$3=$CA$1,CY36&lt;=$CT$1),0,IF(Main!$C$26="UGC",0,IF(CY36&lt;DATE(2010,4,1),0,IF(OR(DQ36=2,DQ36=3,DA36=VLOOKUP(DA36,'IN RPS-2015'!$I$2:$J$5,1)),0,ROUND(IF(CY36&lt;$J$152,VLOOKUP(CY36,$B$1:$G$4,4),VLOOKUP(VLOOKUP(CY36,$B$1:$G$4,4),Main!$CE$2:$CF$5,2,FALSE))*(DAY(CZ36)-DAY(CY36)+1)/DAY(EOMONTH(CY36,0)),0))))))</f>
        <v/>
      </c>
      <c r="DI36" s="461" t="str">
        <f>IF(CY36="","",IF(AND($CA$3=$CA$1,CY36&lt;=$CT$1),0,IF(OR(DQ36=2,DQ36=3,$D$31=$D$28,DA36=VLOOKUP(DA36,'IN RPS-2015'!$I$2:$J$5,1)),0,ROUND(MIN(VLOOKUP(CX36,$A$27:$C$29,2,TRUE),ROUND(DA36*VLOOKUP(CX36,$A$27:$C$29,3,TRUE)%,0))*IF(CX36=$A$36,$C$36,IF(CX36=$A$37,$C$37,IF(CX36=$A$38,$C$38,IF(CX36=$A$39,$C$39,IF(CX36=$A$40,$C$40,IF(CX36=$A$41,$C$41,1))))))*(DAY(CZ36)-DAY(CY36)+1)/DAY(EOMONTH(CY36,0)),0))))</f>
        <v/>
      </c>
      <c r="DJ36" s="461" t="str">
        <f>IF(CY36="","",IF(AND($CA$3=$CA$1,CY36&lt;=$CT$1),0,IF(Main!$C$26="UGC",0,IF(OR(DQ36=3,DA36=VLOOKUP(DA36,'IN RPS-2015'!$I$2:$J$5,1)),0,ROUND(IF(DQ36=2,VLOOKUP(DA36,IF($CA$3=$I$29,$A$20:$E$23,$F$144:$J$147),IF($B$19=VLOOKUP(CY36,$B$2:$G$4,3,TRUE),2,IF($C$19=VLOOKUP(CY36,$B$2:$G$4,3,TRUE),3,IF($D$19=VLOOKUP(CY36,$B$2:$G$4,3,TRUE),4,5))),TRUE),VLOOKUP(DA36,IF($CA$3=$I$29,$A$20:$E$23,$F$144:$J$147),IF($B$19=VLOOKUP(CY36,$B$2:$G$4,3,TRUE),2,IF($C$19=VLOOKUP(CY36,$B$2:$G$4,3,TRUE),3,IF($D$19=VLOOKUP(CY36,$B$2:$G$4,3,TRUE),4,5))),TRUE))*(DAY(CZ36)-DAY(CY36)+1)/DAY(EOMONTH(CY36,0)),0)))))</f>
        <v/>
      </c>
      <c r="DK36" s="461" t="str">
        <f>IF(CY36="","",IF(AND($CA$3=$CA$1,CY36&lt;=$CT$1),0,IF(Main!$C$26="UGC",0,IF(OR(CX36&lt;DATE(2010,4,1),DQ36=3,DA36=VLOOKUP(DA36,'IN RPS-2015'!$I$2:$J$5,1)),0,ROUND(IF(DQ36=2,IF(CY36&lt;$J$152,Main!$L$9,Main!$CI$3)/2,IF(CY36&lt;$J$152,Main!$L$9,Main!$CI$3))*(DAY(CZ36)-DAY(CY36)+1)/DAY(EOMONTH(CY36,0)),0)))))</f>
        <v/>
      </c>
      <c r="DL36" s="461"/>
      <c r="DM36" s="461" t="str">
        <f>IF(CY36="","",IF(AND($CA$3=$CA$1,CY36&lt;=$CT$1),0,IF(Main!$C$26="UGC",0,IF(OR(DQ36=3,DA36=VLOOKUP(DA36,'IN RPS-2015'!$I$2:$J$5,1)),0,ROUND(IF(DQ36=2,VLOOKUP(DB36,IF(CY36&lt;$J$152,$A$154:$E$159,$F$154:$J$159),IF($B$10=VLOOKUP(CX36,$B$2:$G$4,6,TRUE),2,IF($B$10=VLOOKUP(CX36,$B$2:$G$4,6,TRUE),3,IF($D$10=VLOOKUP(CX36,$B$2:$G$4,6,TRUE),4,5))))/2,VLOOKUP(DB36,IF(CY36&lt;$J$152,$A$154:$E$159,$F$154:$J$159),IF($B$10=VLOOKUP(CX36,$B$2:$G$4,6,TRUE),2,IF($B$10=VLOOKUP(CX36,$B$2:$G$4,6,TRUE),3,IF($D$10=VLOOKUP(CX36,$B$2:$G$4,6,TRUE),4,5)))))*(DAY(CZ36)-DAY(CY36)+1)/DAY(EOMONTH(CY36,0)),0)))))</f>
        <v/>
      </c>
      <c r="DN36" s="461">
        <f t="shared" si="76"/>
        <v>0</v>
      </c>
      <c r="DO36" s="464" t="str">
        <f>IF(CY36="","",IF(AND($CA$3=$CA$1,CY36&lt;=$CT$1),0,IF(AND(Main!$F$22=Main!$CA$24,CY36&gt;$CT$1),ROUND(SUM(DB36,DD36)*10%,0),"")))</f>
        <v/>
      </c>
      <c r="DP36" s="464" t="str">
        <f>IF(CX36="","",IF(AND($CA$3=$CA$1,CY36&lt;=$CT$1),0,IF(OR(Main!$H$10=Main!$BH$4,Main!$H$10=Main!$BH$5),0,LOOKUP(DN36*DAY(EOMONTH(CY36,0))/(DAY(CZ36)-DAY(CY36)+1),$H$184:$I$189))))</f>
        <v/>
      </c>
      <c r="DQ36" s="457">
        <f t="shared" si="60"/>
        <v>1</v>
      </c>
      <c r="DR36" s="457">
        <f t="shared" si="77"/>
        <v>0</v>
      </c>
      <c r="DS36" s="457"/>
      <c r="DT36" s="457"/>
      <c r="DU36" s="457"/>
      <c r="DV36" s="461"/>
      <c r="DW36" s="499" t="str">
        <f t="shared" si="61"/>
        <v/>
      </c>
      <c r="DX36" s="500" t="str">
        <f t="shared" si="88"/>
        <v/>
      </c>
      <c r="DY36" s="484" t="str">
        <f>IF(DX36="","",MIN(EOMONTH(DX36,0),VLOOKUP(DX36,'IN RPS-2015'!$O$164:$P$202,2,TRUE)-1,LOOKUP(DX36,$E$47:$F$53)-1,IF(DX36&lt;$B$2,$B$2-1,'IN RPS-2015'!$Q$9),IF(DX36&lt;$B$3,$B$3-1,'IN RPS-2015'!$Q$9),IF(DX36&lt;$B$4,$B$4-1,'IN RPS-2015'!$Q$9),LOOKUP(DX36,$H$47:$I$53)))</f>
        <v/>
      </c>
      <c r="DZ36" s="490" t="str">
        <f>IF(DX36="","",VLOOKUP(DX36,'IN RPS-2015'!$P$164:$AA$202,11))</f>
        <v/>
      </c>
      <c r="EA36" s="461" t="str">
        <f t="shared" si="78"/>
        <v/>
      </c>
      <c r="EB36" s="461" t="str">
        <f>IF(DX36="","",ROUND(IF(EP36=3,0,IF(EP36=2,IF(DZ36=VLOOKUP(DZ36,'IN RPS-2015'!$I$2:$J$5,1),0,Main!$H$9)/2,IF(DZ36=VLOOKUP(DZ36,'IN RPS-2015'!$I$2:$J$5,1),0,Main!$H$9)))*(DAY(DY36)-DAY(DX36)+1)/DAY(EOMONTH(DX36,0)),0))</f>
        <v/>
      </c>
      <c r="EC36" s="461" t="str">
        <f>IF(DX36="","",IF(DZ36=VLOOKUP(DZ36,'IN RPS-2015'!$I$2:$J$5,1),0,ROUND(EA36*VLOOKUP(DX36,$DT$4:$DU$7,2)%,0)))</f>
        <v/>
      </c>
      <c r="ED36" s="461" t="str">
        <f>IF(DX36="","",IF(OR(EP36=3,DZ36=VLOOKUP(DZ36,'IN RPS-2015'!$I$2:$J$5,1)),0,ROUND(MIN(ROUND(DZ36*VLOOKUP(DX36,$B$1:$G$4,2)%,0),VLOOKUP(DX36,$B$2:$I$4,IF($DU$3=$I$29,7,8),TRUE))*(DAY(DY36)-DAY(DX36)+1)/DAY(EOMONTH(DX36,0)),0)))</f>
        <v/>
      </c>
      <c r="EE36" s="491" t="str">
        <f>IF(DX36="","",IF(Main!$C$26="UGC",0,IF(OR(DX36&lt;DATE(2010,4,1),$I$6=VLOOKUP(DX36,$B$2:$G$4,5,TRUE),DZ36=VLOOKUP(DZ36,'IN RPS-2015'!$I$2:$J$5,1)),0,ROUND(IF(EP36=3,0,IF(EP36=2,MIN(ROUND(DZ36*$G$13%,0),IF(DX36&lt;$I$152,$G$14,$G$15))/2,MIN(ROUND(DZ36*$G$13%,0),IF(DX36&lt;$I$152,$G$14,$G$15))))*(DAY(DY36)-DAY(DX36)+1)/DAY(EOMONTH(DX36,0)),0))))</f>
        <v/>
      </c>
      <c r="EF36" s="461" t="str">
        <f>IF(DX36="","",IF(Main!$C$26="UGC",0,IF(DZ36=VLOOKUP(DZ36,'IN RPS-2015'!$I$2:$J$5,1),0,ROUND(EA36*VLOOKUP(DX36,$DT$11:$DU$12,2)%,0))))</f>
        <v/>
      </c>
      <c r="EG36" s="461" t="str">
        <f>IF(DX36="","",IF(Main!$C$26="UGC",0,IF(DX36&lt;DATE(2010,4,1),0,IF(OR(EP36=2,EP36=3,DZ36=VLOOKUP(DZ36,'IN RPS-2015'!$I$2:$J$5,1)),0,ROUND(IF(DX36&lt;$I$152,VLOOKUP(DX36,$B$1:$G$4,4),VLOOKUP(VLOOKUP(DX36,$B$1:$G$4,4),Main!$CE$2:$CF$5,2,FALSE))*(DAY(DY36)-DAY(DX36)+1)/DAY(EOMONTH(DX36,0)),0)))))</f>
        <v/>
      </c>
      <c r="EH36" s="461" t="str">
        <f>IF(DX36="","",IF(OR(EP36=2,EP36=3,$D$31=$D$28,DZ36=VLOOKUP(DZ36,'IN RPS-2015'!$I$2:$J$5,1)),0,ROUND(MIN(IF(DX36&lt;$I$152,900,1350),ROUND(DZ36*VLOOKUP(DW36,$A$27:$C$29,3,TRUE)%,0))*IF(DW36=$A$36,$C$36,IF(DW36=$A$37,$C$37,IF(DW36=$A$38,$C$38,IF(DW36=$A$39,$C$39,IF(DW36=$A$40,$C$40,IF(DW36=$A$41,$C$41,1))))))*(DAY(DY36)-DAY(DX36)+1)/DAY(EOMONTH(DX36,0)),0)))</f>
        <v/>
      </c>
      <c r="EI36" s="461" t="str">
        <f>IF(DX36="","",IF(Main!$C$26="UGC",0,IF(OR(EP36=3,DZ36=VLOOKUP(DZ36,'IN RPS-2015'!$I$2:$J$5,1)),0,ROUND(IF(EP36=2,VLOOKUP(DZ36,IF($DU$3=$I$29,$A$20:$E$23,$F$144:$J$147),IF($B$19=VLOOKUP(DX36,$B$2:$G$4,3,TRUE),2,IF($C$19=VLOOKUP(DX36,$B$2:$G$4,3,TRUE),3,IF($D$19=VLOOKUP(DX36,$B$2:$G$4,3,TRUE),4,5))),TRUE),VLOOKUP(DZ36,IF($DU$3=$I$29,$A$20:$E$23,$F$144:$J$147),IF($B$19=VLOOKUP(DX36,$B$2:$G$4,3,TRUE),2,IF($C$19=VLOOKUP(DX36,$B$2:$G$4,3,TRUE),3,IF($D$19=VLOOKUP(DX36,$B$2:$G$4,3,TRUE),4,5))),TRUE))*(DAY(DY36)-DAY(DX36)+1)/DAY(EOMONTH(DX36,0)),0))))</f>
        <v/>
      </c>
      <c r="EJ36" s="461" t="str">
        <f>IF(DX36="","",IF(Main!$C$26="UGC",0,IF(OR(DW36&lt;DATE(2010,4,1),EP36=3,DZ36=VLOOKUP(DZ36,'IN RPS-2015'!$I$2:$J$5,1)),0,ROUND(IF(EP36=2,IF(DX36&lt;$I$152,Main!$L$9,Main!$CI$3)/2,IF(DX36&lt;$I$152,Main!$L$9,Main!$CI$3))*(DAY(DY36)-DAY(DX36)+1)/DAY(EOMONTH(DX36,0)),0))))</f>
        <v/>
      </c>
      <c r="EK36" s="461"/>
      <c r="EL36" s="461" t="str">
        <f>IF(DX36="","",IF(Main!$C$26="UGC",0,IF(OR(EP36=3,DZ36=VLOOKUP(DZ36,'IN RPS-2015'!$I$2:$J$5,1)),0,ROUND(IF(EP36=2,VLOOKUP(EA36,IF(DX36&lt;$I$152,$A$154:$E$159,$F$154:$J$159),IF($B$10=VLOOKUP(DW36,$B$2:$G$4,6,TRUE),2,IF($B$10=VLOOKUP(DW36,$B$2:$G$4,6,TRUE),3,IF($D$10=VLOOKUP(DW36,$B$2:$G$4,6,TRUE),4,5))))/2,VLOOKUP(EA36,IF(DX36&lt;$I$152,$A$154:$E$159,$F$154:$J$159),IF($B$10=VLOOKUP(DW36,$B$2:$G$4,6,TRUE),2,IF($B$10=VLOOKUP(DW36,$B$2:$G$4,6,TRUE),3,IF($D$10=VLOOKUP(DW36,$B$2:$G$4,6,TRUE),4,5)))))*(DAY(DY36)-DAY(DX36)+1)/DAY(EOMONTH(DX36,0)),0))))</f>
        <v/>
      </c>
      <c r="EM36" s="461">
        <f t="shared" si="79"/>
        <v>0</v>
      </c>
      <c r="EN36" s="464" t="str">
        <f>IF(DX36="","",IF(AND(Main!$F$22=Main!$CA$24,DX36&gt;$EN$1),ROUND(SUM(EA36,EC36)*10%,0),""))</f>
        <v/>
      </c>
      <c r="EO36" s="464" t="str">
        <f>IF(DW36="","",IF(EA36=0,0,IF(OR(Main!$H$10=Main!$BH$4,Main!$H$10=Main!$BH$5),0,LOOKUP(EM36*DAY(EOMONTH(DX36,0))/(DAY(DY36)-DAY(DX36)+1),$H$184:$I$189))))</f>
        <v/>
      </c>
      <c r="EP36" s="457">
        <f t="shared" si="62"/>
        <v>1</v>
      </c>
      <c r="ET36" s="461"/>
      <c r="EU36" s="499" t="str">
        <f t="shared" si="63"/>
        <v/>
      </c>
      <c r="EV36" s="500" t="str">
        <f t="shared" si="89"/>
        <v/>
      </c>
      <c r="EW36" s="484" t="str">
        <f>IF(EV36="","",MIN(EOMONTH(EV36,0),VLOOKUP(EV36,'IN RPS-2015'!$O$164:$P$202,2,TRUE)-1,LOOKUP(EV36,$E$47:$F$53)-1,IF(EV36&lt;$B$2,$B$2-1,'IN RPS-2015'!$Q$9),IF(EV36&lt;$B$3,$B$3-1,'IN RPS-2015'!$Q$9),IF(EV36&lt;$B$4,$B$4-1,'IN RPS-2015'!$Q$9),LOOKUP(EV36,$H$47:$I$53)))</f>
        <v/>
      </c>
      <c r="EX36" s="490" t="str">
        <f>IF(EV36="","",VLOOKUP(EV36,'IN RPS-2015'!$P$164:$AA$202,12))</f>
        <v/>
      </c>
      <c r="EY36" s="461" t="str">
        <f t="shared" si="80"/>
        <v/>
      </c>
      <c r="EZ36" s="461" t="str">
        <f>IF(EV36="","",ROUND(IF(FN36=3,0,IF(FN36=2,IF(EX36=VLOOKUP(EX36,'IN RPS-2015'!$I$2:$J$5,1),0,Main!$H$9)/2,IF(EX36=VLOOKUP(EX36,'IN RPS-2015'!$I$2:$J$5,1),0,Main!$H$9)))*(DAY(EW36)-DAY(EV36)+1)/DAY(EOMONTH(EV36,0)),0))</f>
        <v/>
      </c>
      <c r="FA36" s="461" t="str">
        <f>IF(EV36="","",IF(EX36=VLOOKUP(EX36,'IN RPS-2015'!$I$2:$J$5,1),0,ROUND(EY36*VLOOKUP(EV36,$ER$4:$ES$7,2)%,0)))</f>
        <v/>
      </c>
      <c r="FB36" s="461" t="str">
        <f>IF(EV36="","",IF(OR(FN36=3,EX36=VLOOKUP(EX36,'IN RPS-2015'!$I$2:$J$5,1)),0,ROUND(MIN(ROUND(EX36*VLOOKUP(EV36,$B$1:$G$4,2)%,0),VLOOKUP(EV36,$B$2:$I$4,IF($ES$3=$I$29,7,8),TRUE))*(DAY(EW36)-DAY(EV36)+1)/DAY(EOMONTH(EV36,0)),0)))</f>
        <v/>
      </c>
      <c r="FC36" s="491" t="str">
        <f>IF(EV36="","",IF(Main!$C$26="UGC",0,IF(OR(EV36&lt;DATE(2010,4,1),$I$6=VLOOKUP(EV36,$B$2:$G$4,5,TRUE),EX36=VLOOKUP(EX36,'IN RPS-2015'!$I$2:$J$5,1)),0,ROUND(IF(FN36=3,0,IF(FN36=2,MIN(ROUND(EX36*$G$13%,0),IF(EV36&lt;$J$152,$G$14,$G$15))/2,MIN(ROUND(EX36*$G$13%,0),IF(EV36&lt;$J$152,$G$14,$G$15))))*(DAY(EW36)-DAY(EV36)+1)/DAY(EOMONTH(EV36,0)),0))))</f>
        <v/>
      </c>
      <c r="FD36" s="461" t="str">
        <f>IF(EV36="","",IF(Main!$C$26="UGC",0,IF(EX36=VLOOKUP(EX36,'IN RPS-2015'!$I$2:$J$5,1),0,ROUND(EY36*VLOOKUP(EV36,$ER$11:$ES$12,2)%,0))))</f>
        <v/>
      </c>
      <c r="FE36" s="461" t="str">
        <f>IF(EV36="","",IF(Main!$C$26="UGC",0,IF(EV36&lt;DATE(2010,4,1),0,IF(OR(FN36=2,FN36=3,EX36=VLOOKUP(EX36,'IN RPS-2015'!$I$2:$J$5,1)),0,ROUND(IF(EV36&lt;$J$152,VLOOKUP(EV36,$B$1:$G$4,4),VLOOKUP(VLOOKUP(EV36,$B$1:$G$4,4),Main!$CE$2:$CF$5,2,FALSE))*(DAY(EW36)-DAY(EV36)+1)/DAY(EOMONTH(EV36,0)),0)))))</f>
        <v/>
      </c>
      <c r="FF36" s="461" t="str">
        <f>IF(EV36="","",IF(OR(FN36=2,FN36=3,$D$31=$D$28,EX36=VLOOKUP(EX36,'IN RPS-2015'!$I$2:$J$5,1)),0,ROUND(MIN(VLOOKUP(EU36,$A$27:$C$29,2,TRUE),ROUND(EX36*VLOOKUP(EU36,$A$27:$C$29,3,TRUE)%,0))*IF(EU36=$A$36,$C$36,IF(EU36=$A$37,$C$37,IF(EU36=$A$38,$C$38,IF(EU36=$A$39,$C$39,IF(EU36=$A$40,$C$40,IF(EU36=$A$41,$C$41,1))))))*(DAY(EW36)-DAY(EV36)+1)/DAY(EOMONTH(EV36,0)),0)))</f>
        <v/>
      </c>
      <c r="FG36" s="461" t="str">
        <f>IF(EV36="","",IF(Main!$C$26="UGC",0,IF(OR(FN36=3,EX36=VLOOKUP(EX36,'IN RPS-2015'!$I$2:$J$5,1)),0,ROUND(IF(FN36=2,VLOOKUP(EX36,IF($ES$3=$I$29,$A$20:$E$23,$F$144:$J$147),IF($B$19=VLOOKUP(EV36,$B$2:$G$4,3,TRUE),2,IF($C$19=VLOOKUP(EV36,$B$2:$G$4,3,TRUE),3,IF($D$19=VLOOKUP(EV36,$B$2:$G$4,3,TRUE),4,5))),TRUE),VLOOKUP(EX36,IF($ES$3=$I$29,$A$20:$E$23,$F$144:$J$147),IF($B$19=VLOOKUP(EV36,$B$2:$G$4,3,TRUE),2,IF($C$19=VLOOKUP(EV36,$B$2:$G$4,3,TRUE),3,IF($D$19=VLOOKUP(EV36,$B$2:$G$4,3,TRUE),4,5))),TRUE))*(DAY(EW36)-DAY(EV36)+1)/DAY(EOMONTH(EV36,0)),0))))</f>
        <v/>
      </c>
      <c r="FH36" s="461" t="str">
        <f>IF(EV36="","",IF(Main!$C$26="UGC",0,IF(OR(EU36&lt;DATE(2010,4,1),FN36=3,EX36=VLOOKUP(EX36,'IN RPS-2015'!$I$2:$J$5,1)),0,ROUND(IF(FN36=2,IF(EV36&lt;$J$152,Main!$L$9,Main!$CI$3)/2,IF(EV36&lt;$J$152,Main!$L$9,Main!$CI$3))*(DAY(EW36)-DAY(EV36)+1)/DAY(EOMONTH(EV36,0)),0))))</f>
        <v/>
      </c>
      <c r="FI36" s="461"/>
      <c r="FJ36" s="461" t="str">
        <f>IF(EV36="","",IF(Main!$C$26="UGC",0,IF(OR(FN36=3,EX36=VLOOKUP(EX36,'IN RPS-2015'!$I$2:$J$5,1)),0,ROUND(IF(FN36=2,VLOOKUP(EY36,IF(EV36&lt;$J$152,$A$154:$E$159,$F$154:$J$159),IF($B$10=VLOOKUP(EU36,$B$2:$G$4,6,TRUE),2,IF($B$10=VLOOKUP(EU36,$B$2:$G$4,6,TRUE),3,IF($D$10=VLOOKUP(EU36,$B$2:$G$4,6,TRUE),4,5))))/2,VLOOKUP(EY36,IF(EV36&lt;$J$152,$A$154:$E$159,$F$154:$J$159),IF($B$10=VLOOKUP(EU36,$B$2:$G$4,6,TRUE),2,IF($B$10=VLOOKUP(EU36,$B$2:$G$4,6,TRUE),3,IF($D$10=VLOOKUP(EU36,$B$2:$G$4,6,TRUE),4,5)))))*(DAY(EW36)-DAY(EV36)+1)/DAY(EOMONTH(EV36,0)),0))))</f>
        <v/>
      </c>
      <c r="FK36" s="461">
        <f t="shared" si="81"/>
        <v>0</v>
      </c>
      <c r="FL36" s="464" t="str">
        <f>IF(EV36="","",IF(AND(Main!$F$22=Main!$CA$24,EV36&gt;$FL$1),ROUND(SUM(EY36,FA36)*10%,0),""))</f>
        <v/>
      </c>
      <c r="FM36" s="464" t="str">
        <f>IF(EU36="","",IF(EY36=0,0,IF(OR(Main!$H$10=Main!$BH$4,Main!$H$10=Main!$BH$5),0,LOOKUP(FK36*DAY(EOMONTH(EV36,0))/(DAY(EW36)-DAY(EV36)+1),$H$184:$I$189))))</f>
        <v/>
      </c>
      <c r="FN36" s="457">
        <f t="shared" si="64"/>
        <v>1</v>
      </c>
    </row>
    <row r="37" spans="1:170">
      <c r="A37" s="459">
        <f>DATE(2015,5,1)</f>
        <v>42125</v>
      </c>
      <c r="B37" s="457">
        <f>IF(D32=D29,0,31)</f>
        <v>0</v>
      </c>
      <c r="C37" s="485">
        <f t="shared" si="91"/>
        <v>0</v>
      </c>
      <c r="E37" s="430" t="s">
        <v>1539</v>
      </c>
      <c r="F37" s="158" t="s">
        <v>49</v>
      </c>
      <c r="G37" s="158" t="s">
        <v>1422</v>
      </c>
      <c r="K37" s="505" t="s">
        <v>34</v>
      </c>
      <c r="L37" s="7" t="s">
        <v>307</v>
      </c>
      <c r="M37" s="505" t="s">
        <v>1573</v>
      </c>
      <c r="N37" s="505" t="s">
        <v>1884</v>
      </c>
      <c r="AH37" s="461"/>
      <c r="AI37" s="499" t="str">
        <f t="shared" si="54"/>
        <v/>
      </c>
      <c r="AJ37" s="500" t="str">
        <f t="shared" si="84"/>
        <v/>
      </c>
      <c r="AK37" s="484" t="str">
        <f>IF(AJ37="","",MIN(EOMONTH(AJ37,0),VLOOKUP(AJ37,'IN RPS-2015'!$O$164:$P$202,2,TRUE)-1,LOOKUP(AJ37,$E$47:$F$53)-1,IF(AJ37&lt;$B$2,$B$2-1,'IN RPS-2015'!$Q$9),IF(AJ37&lt;$B$3,$B$3-1,'IN RPS-2015'!$Q$9),IF(AJ37&lt;$B$4,$B$4-1,'IN RPS-2015'!$Q$9),LOOKUP(AJ37,$H$47:$I$53)))</f>
        <v/>
      </c>
      <c r="AL37" s="490" t="str">
        <f>IF(AJ37="","",VLOOKUP(AJ37,'IN RPS-2015'!$P$164:$AA$202,9))</f>
        <v/>
      </c>
      <c r="AM37" s="461" t="str">
        <f t="shared" si="66"/>
        <v/>
      </c>
      <c r="AN37" s="461" t="str">
        <f>IF(AJ37="","",IF(AND($AG$3=$AG$1,AJ37&lt;=$AZ$1),0,ROUND(IF(BB37=3,0,IF(BB37=2,IF(AL37=VLOOKUP(AL37,'IN RPS-2015'!$I$2:$J$5,1),0,Main!$H$9)/2,IF(AL37=VLOOKUP(AL37,'IN RPS-2015'!$I$2:$J$5,1),0,Main!$H$9)))*(DAY(AK37)-DAY(AJ37)+1)/DAY(EOMONTH(AJ37,0)),0)))</f>
        <v/>
      </c>
      <c r="AO37" s="461" t="str">
        <f>IF(AJ37="","",IF(AND($AG$3=$AG$1,AJ37&lt;=$AZ$1),0,IF(AL37=VLOOKUP(AL37,'IN RPS-2015'!$I$2:$J$5,1),0,ROUND(AM37*VLOOKUP(AJ37,$AF$4:$AG$7,2)%,0))))</f>
        <v/>
      </c>
      <c r="AP37" s="461" t="str">
        <f>IF(AJ37="","",IF(AND($AG$3=$AG$1,AJ37&lt;=$AZ$1),0,IF(OR(BB37=3,AL37=VLOOKUP(AL37,'IN RPS-2015'!$I$2:$J$5,1)),0,ROUND(MIN(ROUND(AL37*VLOOKUP(AJ37,$B$1:$G$4,2)%,0),VLOOKUP(AJ37,$B$2:$I$4,IF($AG$3=$I$29,7,8),TRUE))*(DAY(AK37)-DAY(AJ37)+1)/DAY(EOMONTH(AJ37,0)),0))))</f>
        <v/>
      </c>
      <c r="AQ37" s="491" t="str">
        <f>IF(AJ37="","",IF(AND($AG$3=$AG$1,AJ37&lt;=$AZ$1),0,IF(Main!$C$26="UGC",0,IF(OR(AJ37&lt;DATE(2010,4,1),$I$6=VLOOKUP(AJ37,$B$2:$G$4,5,TRUE),AL37=VLOOKUP(AL37,'IN RPS-2015'!$I$2:$J$5,1)),0,ROUND(IF(BB37=3,0,IF(BB37=2,MIN(ROUND(AL37*$G$13%,0),IF(AJ37&lt;$J$152,$G$14,$G$15))/2,MIN(ROUND(AL37*$G$13%,0),IF(AJ37&lt;$J$152,$G$14,$G$15))))*(DAY(AK37)-DAY(AJ37)+1)/DAY(EOMONTH(AJ37,0)),0)))))</f>
        <v/>
      </c>
      <c r="AR37" s="461" t="str">
        <f>IF(AJ37="","",IF(AND($AG$3=$AG$1,AJ37&lt;=$AZ$1),0,IF(Main!$C$26="UGC",0,IF(AL37=VLOOKUP(AL37,'IN RPS-2015'!$I$2:$J$5,1),0,ROUND(AM37*VLOOKUP(AJ37,$AF$11:$AG$12,2)%,0)))))</f>
        <v/>
      </c>
      <c r="AS37" s="461" t="str">
        <f>IF(AJ37="","",IF(AND($AG$3=$AG$1,AJ37&lt;=$AZ$1),0,IF(Main!$C$26="UGC",0,IF(AJ37&lt;DATE(2010,4,1),0,IF(OR(BB37=2,BB37=3,AL37=VLOOKUP(AL37,'IN RPS-2015'!$I$2:$J$5,1)),0,ROUND(IF(AJ37&lt;$J$152,VLOOKUP(AJ37,$B$1:$G$4,4),VLOOKUP(VLOOKUP(AJ37,$B$1:$G$4,4),Main!$CE$2:$CF$5,2,FALSE))*(DAY(AK37)-DAY(AJ37)+1)/DAY(EOMONTH(AJ37,0)),0))))))</f>
        <v/>
      </c>
      <c r="AT37" s="461" t="str">
        <f>IF(AJ37="","",IF(AND($AG$3=$AG$1,AJ37&lt;=$AZ$1),0,IF(OR(BB37=2,BB37=3,$D$31=$D$28,AL37=VLOOKUP(AL37,'IN RPS-2015'!$I$2:$J$5,1)),0,ROUND(MIN(VLOOKUP(AI37,$A$27:$C$29,2,TRUE),ROUND(AL37*VLOOKUP(AI37,$A$27:$C$29,3,TRUE)%,0))*IF(AI37=$A$36,$C$36,IF(AI37=$A$37,$C$37,IF(AI37=$A$38,$C$38,IF(AI37=$A$39,$C$39,IF(AI37=$A$40,$C$40,IF(AI37=$A$41,$C$41,1))))))*(DAY(AK37)-DAY(AJ37)+1)/DAY(EOMONTH(AJ37,0)),0))))</f>
        <v/>
      </c>
      <c r="AU37" s="461" t="str">
        <f>IF(AJ37="","",IF(AND($AG$3=$AG$1,AJ37&lt;=$AZ$1),0,IF(Main!$C$26="UGC",0,IF(OR(BB37=3,AL37=VLOOKUP(AL37,'IN RPS-2015'!$I$2:$J$5,1)),0,ROUND(IF(BB37=2,VLOOKUP(AL37,IF($AG$3=$I$29,$A$20:$E$23,$F$144:$J$147),IF($B$19=VLOOKUP(AJ37,$B$2:$G$4,3,TRUE),2,IF($C$19=VLOOKUP(AJ37,$B$2:$G$4,3,TRUE),3,IF($D$19=VLOOKUP(AJ37,$B$2:$G$4,3,TRUE),4,5))),TRUE),VLOOKUP(AL37,IF($AG$3=$I$29,$A$20:$E$23,$F$144:$J$147),IF($B$19=VLOOKUP(AJ37,$B$2:$G$4,3,TRUE),2,IF($C$19=VLOOKUP(AJ37,$B$2:$G$4,3,TRUE),3,IF($D$19=VLOOKUP(AJ37,$B$2:$G$4,3,TRUE),4,5))),TRUE))*(DAY(AK37)-DAY(AJ37)+1)/DAY(EOMONTH(AJ37,0)),0)))))</f>
        <v/>
      </c>
      <c r="AV37" s="461" t="str">
        <f>IF(AJ37="","",IF(AND($AG$3=$AG$1,AJ37&lt;=$AZ$1),0,IF(Main!$C$26="UGC",0,IF(OR(AI37&lt;DATE(2010,4,1),BB37=3,AL37=VLOOKUP(AL37,'IN RPS-2015'!$I$2:$J$5,1)),0,ROUND(IF(BB37=2,IF(AJ37&lt;$J$152,Main!$L$9,Main!$CI$3)/2,IF(AJ37&lt;$J$152,Main!$L$9,Main!$CI$3))*(DAY(AK37)-DAY(AJ37)+1)/DAY(EOMONTH(AJ37,0)),0)))))</f>
        <v/>
      </c>
      <c r="AW37" s="461"/>
      <c r="AX37" s="461" t="str">
        <f>IF(AJ37="","",IF(AND($AG$3=$AG$1,AJ37&lt;=$AZ$1),0,IF(Main!$C$26="UGC",0,IF(OR(BB37=3,AL37=VLOOKUP(AL37,'IN RPS-2015'!$I$2:$J$5,1)),0,ROUND(IF(BB37=2,VLOOKUP(AM37,IF(AJ37&lt;$J$152,$A$154:$E$159,$F$154:$J$159),IF($B$10=VLOOKUP(AI37,$B$2:$G$4,6,TRUE),2,IF($B$10=VLOOKUP(AI37,$B$2:$G$4,6,TRUE),3,IF($D$10=VLOOKUP(AI37,$B$2:$G$4,6,TRUE),4,5))))/2,VLOOKUP(AM37,IF(AJ37&lt;$J$152,$A$154:$E$159,$F$154:$J$159),IF($B$10=VLOOKUP(AI37,$B$2:$G$4,6,TRUE),2,IF($B$10=VLOOKUP(AI37,$B$2:$G$4,6,TRUE),3,IF($D$10=VLOOKUP(AI37,$B$2:$G$4,6,TRUE),4,5)))))*(DAY(AK37)-DAY(AJ37)+1)/DAY(EOMONTH(AJ37,0)),0)))))</f>
        <v/>
      </c>
      <c r="AY37" s="461">
        <f t="shared" si="67"/>
        <v>0</v>
      </c>
      <c r="AZ37" s="464" t="str">
        <f>IF(AJ37="","",IF(AND($AG$3=$AG$1,AJ37&lt;=$AZ$1),0,IF(AND(Main!$F$22=Main!$CA$24,AJ37&gt;$AZ$1),ROUND(SUM(AM37,AO37)*10%,0),"")))</f>
        <v/>
      </c>
      <c r="BA37" s="464" t="str">
        <f>IF(AI37="","",IF(AND($AG$3=$AG$1,AJ37&lt;=$AZ$1),0,IF(OR(Main!$H$10=Main!$BH$4,Main!$H$10=Main!$BH$5),0,LOOKUP(AY37*DAY(EOMONTH(AJ37,0))/(DAY(AK37)-DAY(AJ37)+1),$H$184:$I$189))))</f>
        <v/>
      </c>
      <c r="BB37" s="497">
        <f t="shared" si="55"/>
        <v>1</v>
      </c>
      <c r="BC37" s="464"/>
      <c r="BD37" s="501" t="str">
        <f t="shared" si="56"/>
        <v/>
      </c>
      <c r="BE37" s="502" t="str">
        <f t="shared" si="85"/>
        <v/>
      </c>
      <c r="BF37" s="484" t="str">
        <f>IF(BE37="","",MIN(EOMONTH(BE37,0),VLOOKUP(BE37,'IN RPS-2015'!$O$164:$P$202,2,TRUE)-1,LOOKUP(BE37,$E$47:$F$53)-1,IF(BE37&lt;$B$2,$B$2-1,'IN RPS-2015'!$Q$9),IF(BE37&lt;$B$3,$B$3-1,'IN RPS-2015'!$Q$9),IF(BE37&lt;$B$4,$B$4-1,'IN RPS-2015'!$Q$9),LOOKUP(BE37,$H$47:$I$53)))</f>
        <v/>
      </c>
      <c r="BG37" s="493" t="str">
        <f>IF(BE37="","",VLOOKUP(BE37,'IN RPS-2015'!$P$164:$AA$202,10))</f>
        <v/>
      </c>
      <c r="BH37" s="461" t="str">
        <f t="shared" si="68"/>
        <v/>
      </c>
      <c r="BI37" s="461" t="str">
        <f>IF(BE37="","",IF(AND($AG$3=$AG$1,BE37&lt;=$AZ$1),0,ROUND(IF(BW37=3,0,IF(BW37=2,IF(BG37=VLOOKUP(BG37,'IN RPS-2015'!$I$2:$J$5,1),0,Main!$H$9)/2,IF(BG37=VLOOKUP(BG37,'IN RPS-2015'!$I$2:$J$5,1),0,Main!$H$9)))*(DAY(BF37)-DAY(BE37)+1)/DAY(EOMONTH(BE37,0)),0)))</f>
        <v/>
      </c>
      <c r="BJ37" s="461" t="str">
        <f>IF(BE37="","",IF(AND($AG$3=$AG$1,BE37&lt;=$AZ$1),0,IF(BG37=VLOOKUP(BG37,'IN RPS-2015'!$I$2:$J$5,1),0,ROUND(BH37*VLOOKUP(BE37,$AF$4:$AG$7,2)%,0))))</f>
        <v/>
      </c>
      <c r="BK37" s="461" t="str">
        <f>IF(BE37="","",IF(AND($AG$3=$AG$1,BE37&lt;=$AZ$1),0,IF(OR(BW37=3,BG37=VLOOKUP(BG37,'IN RPS-2015'!$I$2:$J$5,1)),0,ROUND(MIN(ROUND(BG37*VLOOKUP(BE37,$B$1:$G$4,2)%,0),VLOOKUP(BE37,$B$2:$I$4,IF($AG$3=$I$29,7,8),TRUE))*(DAY(BF37)-DAY(BE37)+1)/DAY(EOMONTH(BE37,0)),0))))</f>
        <v/>
      </c>
      <c r="BL37" s="491" t="str">
        <f>IF(BE37="","",IF(AND($AG$3=$AG$1,BE37&lt;=$AZ$1),0,IF(Main!$C$26="UGC",0,IF(OR(BE37&lt;DATE(2010,4,1),$I$6=VLOOKUP(BE37,$B$2:$G$4,5,TRUE),BG37=VLOOKUP(BG37,'IN RPS-2015'!$I$2:$J$5,1)),0,ROUND(IF(BW37=3,0,IF(BW37=2,MIN(ROUND(BG37*$G$13%,0),IF(BE37&lt;$J$152,$G$14,$G$15))/2,MIN(ROUND(BG37*$G$13%,0),IF(BE37&lt;$J$152,$G$14,$G$15))))*(DAY(BF37)-DAY(BE37)+1)/DAY(EOMONTH(BE37,0)),0)))))</f>
        <v/>
      </c>
      <c r="BM37" s="461" t="str">
        <f>IF(BE37="","",IF(AND($AG$3=$AG$1,BE37&lt;=$AZ$1),0,IF(Main!$C$26="UGC",0,IF(BG37=VLOOKUP(BG37,'IN RPS-2015'!$I$2:$J$5,1),0,ROUND(BH37*VLOOKUP(BE37,$AF$11:$AG$12,2)%,0)))))</f>
        <v/>
      </c>
      <c r="BN37" s="461" t="str">
        <f>IF(BE37="","",IF(AND($AG$3=$AG$1,BE37&lt;=$AZ$1),0,IF(Main!$C$26="UGC",0,IF(BE37&lt;DATE(2010,4,1),0,IF(OR(BW37=2,BW37=3,BG37=VLOOKUP(BG37,'IN RPS-2015'!$I$2:$J$5,1)),0,ROUND(IF(BE37&lt;$J$152,VLOOKUP(BE37,$B$1:$G$4,4),VLOOKUP(VLOOKUP(BE37,$B$1:$G$4,4),Main!$CE$2:$CF$5,2,FALSE))*(DAY(BF37)-DAY(BE37)+1)/DAY(EOMONTH(BE37,0)),0))))))</f>
        <v/>
      </c>
      <c r="BO37" s="461" t="str">
        <f>IF(BE37="","",IF(AND($AG$3=$AG$1,BE37&lt;=$AZ$1),0,IF(OR(BW37=2,BW37=3,$D$31=$D$28,BG37=VLOOKUP(BG37,'IN RPS-2015'!$I$2:$J$5,1)),0,ROUND(MIN(VLOOKUP(BD37,$A$27:$C$29,2,TRUE),ROUND(BG37*VLOOKUP(BD37,$A$27:$C$29,3,TRUE)%,0))*IF(BD37=$A$36,$C$36,IF(BD37=$A$37,$C$37,IF(BD37=$A$38,$C$38,IF(BD37=$A$39,$C$39,IF(BD37=$A$40,$C$40,IF(BD37=$A$41,$C$41,1))))))*(DAY(BF37)-DAY(BE37)+1)/DAY(EOMONTH(BE37,0)),0))))</f>
        <v/>
      </c>
      <c r="BP37" s="461" t="str">
        <f>IF(BE37="","",IF(AND($AG$3=$AG$1,BE37&lt;=$AZ$1),0,IF(Main!$C$26="UGC",0,IF(OR(BW37=3,BG37=VLOOKUP(BG37,'IN RPS-2015'!$I$2:$J$5,1)),0,ROUND(IF(BW37=2,VLOOKUP(BG37,IF($AG$3=$I$29,$A$20:$E$23,$F$144:$J$147),IF($B$19=VLOOKUP(BE37,$B$2:$G$4,3,TRUE),2,IF($C$19=VLOOKUP(BE37,$B$2:$G$4,3,TRUE),3,IF($D$19=VLOOKUP(BE37,$B$2:$G$4,3,TRUE),4,5))),TRUE),VLOOKUP(BG37,IF($AG$3=$I$29,$A$20:$E$23,$F$144:$J$147),IF($B$19=VLOOKUP(BE37,$B$2:$G$4,3,TRUE),2,IF($C$19=VLOOKUP(BE37,$B$2:$G$4,3,TRUE),3,IF($D$19=VLOOKUP(BE37,$B$2:$G$4,3,TRUE),4,5))),TRUE))*(DAY(BF37)-DAY(BE37)+1)/DAY(EOMONTH(BE37,0)),0)))))</f>
        <v/>
      </c>
      <c r="BQ37" s="461" t="str">
        <f>IF(BE37="","",IF(AND($AG$3=$AG$1,BE37&lt;=$AZ$1),0,IF(Main!$C$26="UGC",0,IF(OR(BD37&lt;DATE(2010,4,1),BW37=3,BG37=VLOOKUP(BG37,'IN RPS-2015'!$I$2:$J$5,1)),0,ROUND(IF(BW37=2,IF(BE37&lt;$J$152,Main!$L$9,Main!$CI$3)/2,IF(BE37&lt;$J$152,Main!$L$9,Main!$CI$3))*(DAY(BF37)-DAY(BE37)+1)/DAY(EOMONTH(BE37,0)),0)))))</f>
        <v/>
      </c>
      <c r="BR37" s="461"/>
      <c r="BS37" s="461" t="str">
        <f>IF(BE37="","",IF(AND($AG$3=$AG$1,BE37&lt;=$AZ$1),0,IF(Main!$C$26="UGC",0,IF(OR(BW37=3,BG37=VLOOKUP(BG37,'IN RPS-2015'!$I$2:$J$5,1)),0,ROUND(IF(BW37=2,VLOOKUP(BH37,IF(BE37&lt;$J$152,$A$154:$E$159,$F$154:$J$159),IF($B$10=VLOOKUP(BD37,$B$2:$G$4,6,TRUE),2,IF($B$10=VLOOKUP(BD37,$B$2:$G$4,6,TRUE),3,IF($D$10=VLOOKUP(BD37,$B$2:$G$4,6,TRUE),4,5))))/2,VLOOKUP(BH37,IF(BE37&lt;$J$152,$A$154:$E$159,$F$154:$J$159),IF($B$10=VLOOKUP(BD37,$B$2:$G$4,6,TRUE),2,IF($B$10=VLOOKUP(BD37,$B$2:$G$4,6,TRUE),3,IF($D$10=VLOOKUP(BD37,$B$2:$G$4,6,TRUE),4,5)))))*(DAY(BF37)-DAY(BE37)+1)/DAY(EOMONTH(BE37,0)),0)))))</f>
        <v/>
      </c>
      <c r="BT37" s="461">
        <f t="shared" si="69"/>
        <v>0</v>
      </c>
      <c r="BU37" s="464" t="str">
        <f>IF(BE37="","",IF(AND($AG$3=$AG$1,BE37&lt;=$AZ$1),0,IF(AND(Main!$F$22=Main!$CA$24,BE37&gt;$AZ$1),ROUND(SUM(BH37,BJ37)*10%,0),"")))</f>
        <v/>
      </c>
      <c r="BV37" s="464" t="str">
        <f>IF(BD37="","",IF(AND($AG$3=$AG$1,BE37&lt;=$AZ$1),0,IF(OR(Main!$H$10=Main!$BH$4,Main!$H$10=Main!$BH$5),0,LOOKUP(BT37*DAY(EOMONTH(BE37,0))/(DAY(BF37)-DAY(BE37)+1),$H$184:$I$189))))</f>
        <v/>
      </c>
      <c r="BW37" s="503">
        <f t="shared" si="70"/>
        <v>1</v>
      </c>
      <c r="BX37" s="457">
        <f t="shared" si="90"/>
        <v>0</v>
      </c>
      <c r="BY37" s="457"/>
      <c r="BZ37" s="457"/>
      <c r="CA37" s="457"/>
      <c r="CB37" s="461"/>
      <c r="CC37" s="499" t="str">
        <f t="shared" si="57"/>
        <v/>
      </c>
      <c r="CD37" s="500" t="str">
        <f t="shared" si="86"/>
        <v/>
      </c>
      <c r="CE37" s="484" t="str">
        <f>IF(CD37="","",MIN(EOMONTH(CD37,0),VLOOKUP(CD37,'IN RPS-2015'!$O$164:$P$202,2,TRUE)-1,LOOKUP(CD37,$E$47:$F$53)-1,IF(CD37&lt;$B$2,$B$2-1,'IN RPS-2015'!$Q$9),IF(CD37&lt;$B$3,$B$3-1,'IN RPS-2015'!$Q$9),IF(CD37&lt;$B$4,$B$4-1,'IN RPS-2015'!$Q$9),LOOKUP(CD37,$H$47:$I$53)))</f>
        <v/>
      </c>
      <c r="CF37" s="490" t="str">
        <f>IF(CD37="","",VLOOKUP(CD37,'IN RPS-2015'!$T$207:$Y$222,5))</f>
        <v/>
      </c>
      <c r="CG37" s="461" t="str">
        <f t="shared" si="72"/>
        <v/>
      </c>
      <c r="CH37" s="461" t="str">
        <f>IF(CD37="","",IF(AND($CA$3=$CA$1,CD37&lt;=$CT$1),0,ROUND(IF(CV37=3,0,IF(CV37=2,IF(CF37=VLOOKUP(CF37,'IN RPS-2015'!$I$2:$J$5,1),0,Main!$H$9)/2,IF(CF37=VLOOKUP(CF37,'IN RPS-2015'!$I$2:$J$5,1),0,Main!$H$9)))*(DAY(CE37)-DAY(CD37)+1)/DAY(EOMONTH(CD37,0)),0)))</f>
        <v/>
      </c>
      <c r="CI37" s="461" t="str">
        <f>IF(CD37="","",IF(AND($CA$3=$CA$1,CD37&lt;=$CT$1),0,IF(CF37=VLOOKUP(CF37,'IN RPS-2015'!$I$2:$J$5,1),0,ROUND(CG37*VLOOKUP(CD37,$BZ$4:$CA$7,2)%,0))))</f>
        <v/>
      </c>
      <c r="CJ37" s="461" t="str">
        <f>IF(CD37="","",IF(AND($CA$3=$CA$1,CD37&lt;=$CT$1),0,IF(OR(CV37=3,CF37=VLOOKUP(CF37,'IN RPS-2015'!$I$2:$J$5,1)),0,ROUND(MIN(ROUND(CF37*VLOOKUP(CD37,$B$1:$G$4,2)%,0),VLOOKUP(CD37,$B$2:$I$4,IF($CA$3=$I$29,7,8),TRUE))*(DAY(CE37)-DAY(CD37)+1)/DAY(EOMONTH(CD37,0)),0))))</f>
        <v/>
      </c>
      <c r="CK37" s="491" t="str">
        <f>IF(CD37="","",IF(AND($CA$3=$CA$1,CD37&lt;=$CT$1),0,IF(Main!$C$26="UGC",0,IF(OR(CD37&lt;DATE(2010,4,1),$I$6=VLOOKUP(CD37,$B$2:$G$4,5,TRUE),CF37=VLOOKUP(CF37,'IN RPS-2015'!$I$2:$J$5,1)),0,ROUND(IF(CV37=3,0,IF(CV37=2,MIN(ROUND(CF37*$G$13%,0),IF(CD37&lt;$J$152,$G$14,$G$15))/2,MIN(ROUND(CF37*$G$13%,0),IF(CD37&lt;$J$152,$G$14,$G$15))))*(DAY(CE37)-DAY(CD37)+1)/DAY(EOMONTH(CD37,0)),0)))))</f>
        <v/>
      </c>
      <c r="CL37" s="461" t="str">
        <f>IF(CD37="","",IF(AND($CA$3=$CA$1,CD37&lt;=$CT$1),0,IF(Main!$C$26="UGC",0,IF(CF37=VLOOKUP(CF37,'IN RPS-2015'!$I$2:$J$5,1),0,ROUND(CG37*VLOOKUP(CD37,$BZ$11:$CA$12,2)%,0)))))</f>
        <v/>
      </c>
      <c r="CM37" s="461" t="str">
        <f>IF(CD37="","",IF(AND($CA$3=$CA$1,CD37&lt;=$CT$1),0,IF(Main!$C$26="UGC",0,IF(CD37&lt;DATE(2010,4,1),0,IF(OR(CV37=2,CV37=3,CF37=VLOOKUP(CF37,'IN RPS-2015'!$I$2:$J$5,1)),0,ROUND(IF(CD37&lt;$J$152,VLOOKUP(CD37,$B$1:$G$4,4),VLOOKUP(VLOOKUP(CD37,$B$1:$G$4,4),Main!$CE$2:$CF$5,2,FALSE))*(DAY(CE37)-DAY(CD37)+1)/DAY(EOMONTH(CD37,0)),0))))))</f>
        <v/>
      </c>
      <c r="CN37" s="461" t="str">
        <f>IF(CD37="","",IF(AND($CA$3=$CA$1,CD37&lt;=$CT$1),0,IF(OR(CV37=2,CV37=3,$D$31=$D$28,CF37=VLOOKUP(CF37,'IN RPS-2015'!$I$2:$J$5,1)),0,ROUND(MIN(VLOOKUP(CC37,$A$27:$C$29,2,TRUE),ROUND(CF37*VLOOKUP(CC37,$A$27:$C$29,3,TRUE)%,0))*IF(CC37=$A$36,$C$36,IF(CC37=$A$37,$C$37,IF(CC37=$A$38,$C$38,IF(CC37=$A$39,$C$39,IF(CC37=$A$40,$C$40,IF(CC37=$A$41,$C$41,1))))))*(DAY(CE37)-DAY(CD37)+1)/DAY(EOMONTH(CD37,0)),0))))</f>
        <v/>
      </c>
      <c r="CO37" s="461" t="str">
        <f>IF(CD37="","",IF(AND($CA$3=$CA$1,CD37&lt;=$CT$1),0,IF(Main!$C$26="UGC",0,IF(OR(CV37=3,CF37=VLOOKUP(CF37,'IN RPS-2015'!$I$2:$J$5,1)),0,ROUND(IF(CV37=2,VLOOKUP(CF37,IF($CA$3=$I$29,$A$20:$E$23,$F$144:$J$147),IF($B$19=VLOOKUP(CD37,$B$2:$G$4,3,TRUE),2,IF($C$19=VLOOKUP(CD37,$B$2:$G$4,3,TRUE),3,IF($D$19=VLOOKUP(CD37,$B$2:$G$4,3,TRUE),4,5))),TRUE),VLOOKUP(CF37,IF($CA$3=$I$29,$A$20:$E$23,$F$144:$J$147),IF($B$19=VLOOKUP(CD37,$B$2:$G$4,3,TRUE),2,IF($C$19=VLOOKUP(CD37,$B$2:$G$4,3,TRUE),3,IF($D$19=VLOOKUP(CD37,$B$2:$G$4,3,TRUE),4,5))),TRUE))*(DAY(CE37)-DAY(CD37)+1)/DAY(EOMONTH(CD37,0)),0)))))</f>
        <v/>
      </c>
      <c r="CP37" s="461" t="str">
        <f>IF(CD37="","",IF(AND($CA$3=$CA$1,CD37&lt;=$CT$1),0,IF(Main!$C$26="UGC",0,IF(OR(CC37&lt;DATE(2010,4,1),CV37=3,CF37=VLOOKUP(CF37,'IN RPS-2015'!$I$2:$J$5,1)),0,ROUND(IF(CV37=2,IF(CD37&lt;$J$152,Main!$L$9,Main!$CI$3)/2,IF(CD37&lt;$J$152,Main!$L$9,Main!$CI$3))*(DAY(CE37)-DAY(CD37)+1)/DAY(EOMONTH(CD37,0)),0)))))</f>
        <v/>
      </c>
      <c r="CQ37" s="461"/>
      <c r="CR37" s="461" t="str">
        <f>IF(CD37="","",IF(AND($CA$3=$CA$1,CD37&lt;=$CT$1),0,IF(Main!$C$26="UGC",0,IF(OR(CV37=3,CF37=VLOOKUP(CF37,'IN RPS-2015'!$I$2:$J$5,1)),0,ROUND(IF(CV37=2,VLOOKUP(CG37,IF(CD37&lt;$J$152,$A$154:$E$159,$F$154:$J$159),IF($B$10=VLOOKUP(CC37,$B$2:$G$4,6,TRUE),2,IF($B$10=VLOOKUP(CC37,$B$2:$G$4,6,TRUE),3,IF($D$10=VLOOKUP(CC37,$B$2:$G$4,6,TRUE),4,5))))/2,VLOOKUP(CG37,IF(CD37&lt;$J$152,$A$154:$E$159,$F$154:$J$159),IF($B$10=VLOOKUP(CC37,$B$2:$G$4,6,TRUE),2,IF($B$10=VLOOKUP(CC37,$B$2:$G$4,6,TRUE),3,IF($D$10=VLOOKUP(CC37,$B$2:$G$4,6,TRUE),4,5)))))*(DAY(CE37)-DAY(CD37)+1)/DAY(EOMONTH(CD37,0)),0)))))</f>
        <v/>
      </c>
      <c r="CS37" s="461">
        <f t="shared" si="73"/>
        <v>0</v>
      </c>
      <c r="CT37" s="464" t="str">
        <f>IF(CD37="","",IF(AND($CA$3=$CA$1,CD37&lt;=$CT$1),0,IF(AND(Main!$F$22=Main!$CA$24,CD37&gt;$CT$1),ROUND(SUM(CG37,CI37)*10%,0),"")))</f>
        <v/>
      </c>
      <c r="CU37" s="464" t="str">
        <f>IF(CC37="","",IF(CG37=0,0,IF(OR(Main!$H$10=Main!$BH$4,Main!$H$10=Main!$BH$5),0,LOOKUP(CS37*DAY(EOMONTH(CD37,0))/(DAY(CE37)-DAY(CD37)+1),$H$184:$I$189))))</f>
        <v/>
      </c>
      <c r="CV37" s="457">
        <f t="shared" si="74"/>
        <v>1</v>
      </c>
      <c r="CW37" s="464"/>
      <c r="CX37" s="501" t="str">
        <f t="shared" si="59"/>
        <v/>
      </c>
      <c r="CY37" s="502" t="str">
        <f t="shared" si="87"/>
        <v/>
      </c>
      <c r="CZ37" s="484" t="str">
        <f>IF(CY37="","",MIN(EOMONTH(CY37,0),VLOOKUP(CY37,'IN RPS-2015'!$O$164:$P$202,2,TRUE)-1,LOOKUP(CY37,$E$47:$F$53)-1,IF(CY37&lt;$B$2,$B$2-1,'IN RPS-2015'!$Q$9),IF(CY37&lt;$B$3,$B$3-1,'IN RPS-2015'!$Q$9),IF(CY37&lt;$B$4,$B$4-1,'IN RPS-2015'!$Q$9),LOOKUP(CY37,$H$47:$I$53)))</f>
        <v/>
      </c>
      <c r="DA37" s="493" t="str">
        <f>IF(CY37="","",VLOOKUP(CY37,'IN RPS-2015'!$T$207:$Y$222,6))</f>
        <v/>
      </c>
      <c r="DB37" s="461" t="str">
        <f t="shared" si="75"/>
        <v/>
      </c>
      <c r="DC37" s="461" t="str">
        <f>IF(CY37="","",IF(AND($CA$3=$CA$1,CY37&lt;=$CT$1),0,ROUND(IF(DQ37=3,0,IF(DQ37=2,IF(DA37=VLOOKUP(DA37,'IN RPS-2015'!$I$2:$J$5,1),0,Main!$H$9)/2,IF(DA37=VLOOKUP(DA37,'IN RPS-2015'!$I$2:$J$5,1),0,Main!$H$9)))*(DAY(CZ37)-DAY(CY37)+1)/DAY(EOMONTH(CY37,0)),0)))</f>
        <v/>
      </c>
      <c r="DD37" s="461" t="str">
        <f>IF(CY37="","",IF(AND($CA$3=$CA$1,CY37&lt;=$CT$1),0,IF(DA37=VLOOKUP(DA37,'IN RPS-2015'!$I$2:$J$5,1),0,ROUND(DB37*VLOOKUP(CY37,$BZ$4:$CA$7,2)%,0))))</f>
        <v/>
      </c>
      <c r="DE37" s="461" t="str">
        <f>IF(CY37="","",IF(AND($CA$3=$CA$1,CY37&lt;=$CT$1),0,IF(OR(DQ37=3,DA37=VLOOKUP(DA37,'IN RPS-2015'!$I$2:$J$5,1)),0,ROUND(MIN(ROUND(DA37*VLOOKUP(CY37,$B$1:$G$4,2)%,0),VLOOKUP(CY37,$B$2:$I$4,IF($CA$3=$I$29,7,8),TRUE))*(DAY(CZ37)-DAY(CY37)+1)/DAY(EOMONTH(CY37,0)),0))))</f>
        <v/>
      </c>
      <c r="DF37" s="491" t="str">
        <f>IF(CY37="","",IF(AND($CA$3=$CA$1,CY37&lt;=$CT$1),0,IF(Main!$C$26="UGC",0,IF(OR(CY37&lt;DATE(2010,4,1),$I$6=VLOOKUP(CY37,$B$2:$G$4,5,TRUE),DA37=VLOOKUP(DA37,'IN RPS-2015'!$I$2:$J$5,1)),0,ROUND(IF(DQ37=3,0,IF(DQ37=2,MIN(ROUND(DA37*$G$13%,0),IF(CY37&lt;$J$152,$G$14,$G$15))/2,MIN(ROUND(DA37*$G$13%,0),IF(CY37&lt;$J$152,$G$14,$G$15))))*(DAY(CZ37)-DAY(CY37)+1)/DAY(EOMONTH(CY37,0)),0)))))</f>
        <v/>
      </c>
      <c r="DG37" s="461" t="str">
        <f>IF(CY37="","",IF(AND($CA$3=$CA$1,CY37&lt;=$CT$1),0,IF(Main!$C$26="UGC",0,IF(DA37=VLOOKUP(DA37,'IN RPS-2015'!$I$2:$J$5,1),0,ROUND(DB37*VLOOKUP(CY37,$BZ$11:$CA$12,2)%,0)))))</f>
        <v/>
      </c>
      <c r="DH37" s="461" t="str">
        <f>IF(CY37="","",IF(AND($CA$3=$CA$1,CY37&lt;=$CT$1),0,IF(Main!$C$26="UGC",0,IF(CY37&lt;DATE(2010,4,1),0,IF(OR(DQ37=2,DQ37=3,DA37=VLOOKUP(DA37,'IN RPS-2015'!$I$2:$J$5,1)),0,ROUND(IF(CY37&lt;$J$152,VLOOKUP(CY37,$B$1:$G$4,4),VLOOKUP(VLOOKUP(CY37,$B$1:$G$4,4),Main!$CE$2:$CF$5,2,FALSE))*(DAY(CZ37)-DAY(CY37)+1)/DAY(EOMONTH(CY37,0)),0))))))</f>
        <v/>
      </c>
      <c r="DI37" s="461" t="str">
        <f>IF(CY37="","",IF(AND($CA$3=$CA$1,CY37&lt;=$CT$1),0,IF(OR(DQ37=2,DQ37=3,$D$31=$D$28,DA37=VLOOKUP(DA37,'IN RPS-2015'!$I$2:$J$5,1)),0,ROUND(MIN(VLOOKUP(CX37,$A$27:$C$29,2,TRUE),ROUND(DA37*VLOOKUP(CX37,$A$27:$C$29,3,TRUE)%,0))*IF(CX37=$A$36,$C$36,IF(CX37=$A$37,$C$37,IF(CX37=$A$38,$C$38,IF(CX37=$A$39,$C$39,IF(CX37=$A$40,$C$40,IF(CX37=$A$41,$C$41,1))))))*(DAY(CZ37)-DAY(CY37)+1)/DAY(EOMONTH(CY37,0)),0))))</f>
        <v/>
      </c>
      <c r="DJ37" s="461" t="str">
        <f>IF(CY37="","",IF(AND($CA$3=$CA$1,CY37&lt;=$CT$1),0,IF(Main!$C$26="UGC",0,IF(OR(DQ37=3,DA37=VLOOKUP(DA37,'IN RPS-2015'!$I$2:$J$5,1)),0,ROUND(IF(DQ37=2,VLOOKUP(DA37,IF($CA$3=$I$29,$A$20:$E$23,$F$144:$J$147),IF($B$19=VLOOKUP(CY37,$B$2:$G$4,3,TRUE),2,IF($C$19=VLOOKUP(CY37,$B$2:$G$4,3,TRUE),3,IF($D$19=VLOOKUP(CY37,$B$2:$G$4,3,TRUE),4,5))),TRUE),VLOOKUP(DA37,IF($CA$3=$I$29,$A$20:$E$23,$F$144:$J$147),IF($B$19=VLOOKUP(CY37,$B$2:$G$4,3,TRUE),2,IF($C$19=VLOOKUP(CY37,$B$2:$G$4,3,TRUE),3,IF($D$19=VLOOKUP(CY37,$B$2:$G$4,3,TRUE),4,5))),TRUE))*(DAY(CZ37)-DAY(CY37)+1)/DAY(EOMONTH(CY37,0)),0)))))</f>
        <v/>
      </c>
      <c r="DK37" s="461" t="str">
        <f>IF(CY37="","",IF(AND($CA$3=$CA$1,CY37&lt;=$CT$1),0,IF(Main!$C$26="UGC",0,IF(OR(CX37&lt;DATE(2010,4,1),DQ37=3,DA37=VLOOKUP(DA37,'IN RPS-2015'!$I$2:$J$5,1)),0,ROUND(IF(DQ37=2,IF(CY37&lt;$J$152,Main!$L$9,Main!$CI$3)/2,IF(CY37&lt;$J$152,Main!$L$9,Main!$CI$3))*(DAY(CZ37)-DAY(CY37)+1)/DAY(EOMONTH(CY37,0)),0)))))</f>
        <v/>
      </c>
      <c r="DL37" s="461"/>
      <c r="DM37" s="461" t="str">
        <f>IF(CY37="","",IF(AND($CA$3=$CA$1,CY37&lt;=$CT$1),0,IF(Main!$C$26="UGC",0,IF(OR(DQ37=3,DA37=VLOOKUP(DA37,'IN RPS-2015'!$I$2:$J$5,1)),0,ROUND(IF(DQ37=2,VLOOKUP(DB37,IF(CY37&lt;$J$152,$A$154:$E$159,$F$154:$J$159),IF($B$10=VLOOKUP(CX37,$B$2:$G$4,6,TRUE),2,IF($B$10=VLOOKUP(CX37,$B$2:$G$4,6,TRUE),3,IF($D$10=VLOOKUP(CX37,$B$2:$G$4,6,TRUE),4,5))))/2,VLOOKUP(DB37,IF(CY37&lt;$J$152,$A$154:$E$159,$F$154:$J$159),IF($B$10=VLOOKUP(CX37,$B$2:$G$4,6,TRUE),2,IF($B$10=VLOOKUP(CX37,$B$2:$G$4,6,TRUE),3,IF($D$10=VLOOKUP(CX37,$B$2:$G$4,6,TRUE),4,5)))))*(DAY(CZ37)-DAY(CY37)+1)/DAY(EOMONTH(CY37,0)),0)))))</f>
        <v/>
      </c>
      <c r="DN37" s="461">
        <f t="shared" si="76"/>
        <v>0</v>
      </c>
      <c r="DO37" s="464" t="str">
        <f>IF(CY37="","",IF(AND($CA$3=$CA$1,CY37&lt;=$CT$1),0,IF(AND(Main!$F$22=Main!$CA$24,CY37&gt;$CT$1),ROUND(SUM(DB37,DD37)*10%,0),"")))</f>
        <v/>
      </c>
      <c r="DP37" s="464" t="str">
        <f>IF(CX37="","",IF(AND($CA$3=$CA$1,CY37&lt;=$CT$1),0,IF(OR(Main!$H$10=Main!$BH$4,Main!$H$10=Main!$BH$5),0,LOOKUP(DN37*DAY(EOMONTH(CY37,0))/(DAY(CZ37)-DAY(CY37)+1),$H$184:$I$189))))</f>
        <v/>
      </c>
      <c r="DQ37" s="457">
        <f t="shared" si="60"/>
        <v>1</v>
      </c>
      <c r="DR37" s="457">
        <f t="shared" si="77"/>
        <v>0</v>
      </c>
      <c r="DS37" s="457"/>
      <c r="DT37" s="457"/>
      <c r="DU37" s="457"/>
      <c r="DV37" s="461"/>
      <c r="DW37" s="499" t="str">
        <f t="shared" si="61"/>
        <v/>
      </c>
      <c r="DX37" s="500" t="str">
        <f t="shared" si="88"/>
        <v/>
      </c>
      <c r="DY37" s="484" t="str">
        <f>IF(DX37="","",MIN(EOMONTH(DX37,0),VLOOKUP(DX37,'IN RPS-2015'!$O$164:$P$202,2,TRUE)-1,LOOKUP(DX37,$E$47:$F$53)-1,IF(DX37&lt;$B$2,$B$2-1,'IN RPS-2015'!$Q$9),IF(DX37&lt;$B$3,$B$3-1,'IN RPS-2015'!$Q$9),IF(DX37&lt;$B$4,$B$4-1,'IN RPS-2015'!$Q$9),LOOKUP(DX37,$H$47:$I$53)))</f>
        <v/>
      </c>
      <c r="DZ37" s="490" t="str">
        <f>IF(DX37="","",VLOOKUP(DX37,'IN RPS-2015'!$P$164:$AA$202,11))</f>
        <v/>
      </c>
      <c r="EA37" s="461" t="str">
        <f t="shared" si="78"/>
        <v/>
      </c>
      <c r="EB37" s="461" t="str">
        <f>IF(DX37="","",ROUND(IF(EP37=3,0,IF(EP37=2,IF(DZ37=VLOOKUP(DZ37,'IN RPS-2015'!$I$2:$J$5,1),0,Main!$H$9)/2,IF(DZ37=VLOOKUP(DZ37,'IN RPS-2015'!$I$2:$J$5,1),0,Main!$H$9)))*(DAY(DY37)-DAY(DX37)+1)/DAY(EOMONTH(DX37,0)),0))</f>
        <v/>
      </c>
      <c r="EC37" s="461" t="str">
        <f>IF(DX37="","",IF(DZ37=VLOOKUP(DZ37,'IN RPS-2015'!$I$2:$J$5,1),0,ROUND(EA37*VLOOKUP(DX37,$DT$4:$DU$7,2)%,0)))</f>
        <v/>
      </c>
      <c r="ED37" s="461" t="str">
        <f>IF(DX37="","",IF(OR(EP37=3,DZ37=VLOOKUP(DZ37,'IN RPS-2015'!$I$2:$J$5,1)),0,ROUND(MIN(ROUND(DZ37*VLOOKUP(DX37,$B$1:$G$4,2)%,0),VLOOKUP(DX37,$B$2:$I$4,IF($DU$3=$I$29,7,8),TRUE))*(DAY(DY37)-DAY(DX37)+1)/DAY(EOMONTH(DX37,0)),0)))</f>
        <v/>
      </c>
      <c r="EE37" s="491" t="str">
        <f>IF(DX37="","",IF(Main!$C$26="UGC",0,IF(OR(DX37&lt;DATE(2010,4,1),$I$6=VLOOKUP(DX37,$B$2:$G$4,5,TRUE),DZ37=VLOOKUP(DZ37,'IN RPS-2015'!$I$2:$J$5,1)),0,ROUND(IF(EP37=3,0,IF(EP37=2,MIN(ROUND(DZ37*$G$13%,0),IF(DX37&lt;$I$152,$G$14,$G$15))/2,MIN(ROUND(DZ37*$G$13%,0),IF(DX37&lt;$I$152,$G$14,$G$15))))*(DAY(DY37)-DAY(DX37)+1)/DAY(EOMONTH(DX37,0)),0))))</f>
        <v/>
      </c>
      <c r="EF37" s="461" t="str">
        <f>IF(DX37="","",IF(Main!$C$26="UGC",0,IF(DZ37=VLOOKUP(DZ37,'IN RPS-2015'!$I$2:$J$5,1),0,ROUND(EA37*VLOOKUP(DX37,$DT$11:$DU$12,2)%,0))))</f>
        <v/>
      </c>
      <c r="EG37" s="461" t="str">
        <f>IF(DX37="","",IF(Main!$C$26="UGC",0,IF(DX37&lt;DATE(2010,4,1),0,IF(OR(EP37=2,EP37=3,DZ37=VLOOKUP(DZ37,'IN RPS-2015'!$I$2:$J$5,1)),0,ROUND(IF(DX37&lt;$I$152,VLOOKUP(DX37,$B$1:$G$4,4),VLOOKUP(VLOOKUP(DX37,$B$1:$G$4,4),Main!$CE$2:$CF$5,2,FALSE))*(DAY(DY37)-DAY(DX37)+1)/DAY(EOMONTH(DX37,0)),0)))))</f>
        <v/>
      </c>
      <c r="EH37" s="461" t="str">
        <f>IF(DX37="","",IF(OR(EP37=2,EP37=3,$D$31=$D$28,DZ37=VLOOKUP(DZ37,'IN RPS-2015'!$I$2:$J$5,1)),0,ROUND(MIN(IF(DX37&lt;$I$152,900,1350),ROUND(DZ37*VLOOKUP(DW37,$A$27:$C$29,3,TRUE)%,0))*IF(DW37=$A$36,$C$36,IF(DW37=$A$37,$C$37,IF(DW37=$A$38,$C$38,IF(DW37=$A$39,$C$39,IF(DW37=$A$40,$C$40,IF(DW37=$A$41,$C$41,1))))))*(DAY(DY37)-DAY(DX37)+1)/DAY(EOMONTH(DX37,0)),0)))</f>
        <v/>
      </c>
      <c r="EI37" s="461" t="str">
        <f>IF(DX37="","",IF(Main!$C$26="UGC",0,IF(OR(EP37=3,DZ37=VLOOKUP(DZ37,'IN RPS-2015'!$I$2:$J$5,1)),0,ROUND(IF(EP37=2,VLOOKUP(DZ37,IF($DU$3=$I$29,$A$20:$E$23,$F$144:$J$147),IF($B$19=VLOOKUP(DX37,$B$2:$G$4,3,TRUE),2,IF($C$19=VLOOKUP(DX37,$B$2:$G$4,3,TRUE),3,IF($D$19=VLOOKUP(DX37,$B$2:$G$4,3,TRUE),4,5))),TRUE),VLOOKUP(DZ37,IF($DU$3=$I$29,$A$20:$E$23,$F$144:$J$147),IF($B$19=VLOOKUP(DX37,$B$2:$G$4,3,TRUE),2,IF($C$19=VLOOKUP(DX37,$B$2:$G$4,3,TRUE),3,IF($D$19=VLOOKUP(DX37,$B$2:$G$4,3,TRUE),4,5))),TRUE))*(DAY(DY37)-DAY(DX37)+1)/DAY(EOMONTH(DX37,0)),0))))</f>
        <v/>
      </c>
      <c r="EJ37" s="461" t="str">
        <f>IF(DX37="","",IF(Main!$C$26="UGC",0,IF(OR(DW37&lt;DATE(2010,4,1),EP37=3,DZ37=VLOOKUP(DZ37,'IN RPS-2015'!$I$2:$J$5,1)),0,ROUND(IF(EP37=2,IF(DX37&lt;$I$152,Main!$L$9,Main!$CI$3)/2,IF(DX37&lt;$I$152,Main!$L$9,Main!$CI$3))*(DAY(DY37)-DAY(DX37)+1)/DAY(EOMONTH(DX37,0)),0))))</f>
        <v/>
      </c>
      <c r="EK37" s="461"/>
      <c r="EL37" s="461" t="str">
        <f>IF(DX37="","",IF(Main!$C$26="UGC",0,IF(OR(EP37=3,DZ37=VLOOKUP(DZ37,'IN RPS-2015'!$I$2:$J$5,1)),0,ROUND(IF(EP37=2,VLOOKUP(EA37,IF(DX37&lt;$I$152,$A$154:$E$159,$F$154:$J$159),IF($B$10=VLOOKUP(DW37,$B$2:$G$4,6,TRUE),2,IF($B$10=VLOOKUP(DW37,$B$2:$G$4,6,TRUE),3,IF($D$10=VLOOKUP(DW37,$B$2:$G$4,6,TRUE),4,5))))/2,VLOOKUP(EA37,IF(DX37&lt;$I$152,$A$154:$E$159,$F$154:$J$159),IF($B$10=VLOOKUP(DW37,$B$2:$G$4,6,TRUE),2,IF($B$10=VLOOKUP(DW37,$B$2:$G$4,6,TRUE),3,IF($D$10=VLOOKUP(DW37,$B$2:$G$4,6,TRUE),4,5)))))*(DAY(DY37)-DAY(DX37)+1)/DAY(EOMONTH(DX37,0)),0))))</f>
        <v/>
      </c>
      <c r="EM37" s="461">
        <f t="shared" si="79"/>
        <v>0</v>
      </c>
      <c r="EN37" s="464" t="str">
        <f>IF(DX37="","",IF(AND(Main!$F$22=Main!$CA$24,DX37&gt;$EN$1),ROUND(SUM(EA37,EC37)*10%,0),""))</f>
        <v/>
      </c>
      <c r="EO37" s="464" t="str">
        <f>IF(DW37="","",IF(EA37=0,0,IF(OR(Main!$H$10=Main!$BH$4,Main!$H$10=Main!$BH$5),0,LOOKUP(EM37*DAY(EOMONTH(DX37,0))/(DAY(DY37)-DAY(DX37)+1),$H$184:$I$189))))</f>
        <v/>
      </c>
      <c r="EP37" s="457">
        <f t="shared" si="62"/>
        <v>1</v>
      </c>
      <c r="ET37" s="461"/>
      <c r="EU37" s="499" t="str">
        <f t="shared" si="63"/>
        <v/>
      </c>
      <c r="EV37" s="500" t="str">
        <f t="shared" si="89"/>
        <v/>
      </c>
      <c r="EW37" s="484" t="str">
        <f>IF(EV37="","",MIN(EOMONTH(EV37,0),VLOOKUP(EV37,'IN RPS-2015'!$O$164:$P$202,2,TRUE)-1,LOOKUP(EV37,$E$47:$F$53)-1,IF(EV37&lt;$B$2,$B$2-1,'IN RPS-2015'!$Q$9),IF(EV37&lt;$B$3,$B$3-1,'IN RPS-2015'!$Q$9),IF(EV37&lt;$B$4,$B$4-1,'IN RPS-2015'!$Q$9),LOOKUP(EV37,$H$47:$I$53)))</f>
        <v/>
      </c>
      <c r="EX37" s="490" t="str">
        <f>IF(EV37="","",VLOOKUP(EV37,'IN RPS-2015'!$P$164:$AA$202,12))</f>
        <v/>
      </c>
      <c r="EY37" s="461" t="str">
        <f t="shared" si="80"/>
        <v/>
      </c>
      <c r="EZ37" s="461" t="str">
        <f>IF(EV37="","",ROUND(IF(FN37=3,0,IF(FN37=2,IF(EX37=VLOOKUP(EX37,'IN RPS-2015'!$I$2:$J$5,1),0,Main!$H$9)/2,IF(EX37=VLOOKUP(EX37,'IN RPS-2015'!$I$2:$J$5,1),0,Main!$H$9)))*(DAY(EW37)-DAY(EV37)+1)/DAY(EOMONTH(EV37,0)),0))</f>
        <v/>
      </c>
      <c r="FA37" s="461" t="str">
        <f>IF(EV37="","",IF(EX37=VLOOKUP(EX37,'IN RPS-2015'!$I$2:$J$5,1),0,ROUND(EY37*VLOOKUP(EV37,$ER$4:$ES$7,2)%,0)))</f>
        <v/>
      </c>
      <c r="FB37" s="461" t="str">
        <f>IF(EV37="","",IF(OR(FN37=3,EX37=VLOOKUP(EX37,'IN RPS-2015'!$I$2:$J$5,1)),0,ROUND(MIN(ROUND(EX37*VLOOKUP(EV37,$B$1:$G$4,2)%,0),VLOOKUP(EV37,$B$2:$I$4,IF($ES$3=$I$29,7,8),TRUE))*(DAY(EW37)-DAY(EV37)+1)/DAY(EOMONTH(EV37,0)),0)))</f>
        <v/>
      </c>
      <c r="FC37" s="491" t="str">
        <f>IF(EV37="","",IF(Main!$C$26="UGC",0,IF(OR(EV37&lt;DATE(2010,4,1),$I$6=VLOOKUP(EV37,$B$2:$G$4,5,TRUE),EX37=VLOOKUP(EX37,'IN RPS-2015'!$I$2:$J$5,1)),0,ROUND(IF(FN37=3,0,IF(FN37=2,MIN(ROUND(EX37*$G$13%,0),IF(EV37&lt;$J$152,$G$14,$G$15))/2,MIN(ROUND(EX37*$G$13%,0),IF(EV37&lt;$J$152,$G$14,$G$15))))*(DAY(EW37)-DAY(EV37)+1)/DAY(EOMONTH(EV37,0)),0))))</f>
        <v/>
      </c>
      <c r="FD37" s="461" t="str">
        <f>IF(EV37="","",IF(Main!$C$26="UGC",0,IF(EX37=VLOOKUP(EX37,'IN RPS-2015'!$I$2:$J$5,1),0,ROUND(EY37*VLOOKUP(EV37,$ER$11:$ES$12,2)%,0))))</f>
        <v/>
      </c>
      <c r="FE37" s="461" t="str">
        <f>IF(EV37="","",IF(Main!$C$26="UGC",0,IF(EV37&lt;DATE(2010,4,1),0,IF(OR(FN37=2,FN37=3,EX37=VLOOKUP(EX37,'IN RPS-2015'!$I$2:$J$5,1)),0,ROUND(IF(EV37&lt;$J$152,VLOOKUP(EV37,$B$1:$G$4,4),VLOOKUP(VLOOKUP(EV37,$B$1:$G$4,4),Main!$CE$2:$CF$5,2,FALSE))*(DAY(EW37)-DAY(EV37)+1)/DAY(EOMONTH(EV37,0)),0)))))</f>
        <v/>
      </c>
      <c r="FF37" s="461" t="str">
        <f>IF(EV37="","",IF(OR(FN37=2,FN37=3,$D$31=$D$28,EX37=VLOOKUP(EX37,'IN RPS-2015'!$I$2:$J$5,1)),0,ROUND(MIN(VLOOKUP(EU37,$A$27:$C$29,2,TRUE),ROUND(EX37*VLOOKUP(EU37,$A$27:$C$29,3,TRUE)%,0))*IF(EU37=$A$36,$C$36,IF(EU37=$A$37,$C$37,IF(EU37=$A$38,$C$38,IF(EU37=$A$39,$C$39,IF(EU37=$A$40,$C$40,IF(EU37=$A$41,$C$41,1))))))*(DAY(EW37)-DAY(EV37)+1)/DAY(EOMONTH(EV37,0)),0)))</f>
        <v/>
      </c>
      <c r="FG37" s="461" t="str">
        <f>IF(EV37="","",IF(Main!$C$26="UGC",0,IF(OR(FN37=3,EX37=VLOOKUP(EX37,'IN RPS-2015'!$I$2:$J$5,1)),0,ROUND(IF(FN37=2,VLOOKUP(EX37,IF($ES$3=$I$29,$A$20:$E$23,$F$144:$J$147),IF($B$19=VLOOKUP(EV37,$B$2:$G$4,3,TRUE),2,IF($C$19=VLOOKUP(EV37,$B$2:$G$4,3,TRUE),3,IF($D$19=VLOOKUP(EV37,$B$2:$G$4,3,TRUE),4,5))),TRUE),VLOOKUP(EX37,IF($ES$3=$I$29,$A$20:$E$23,$F$144:$J$147),IF($B$19=VLOOKUP(EV37,$B$2:$G$4,3,TRUE),2,IF($C$19=VLOOKUP(EV37,$B$2:$G$4,3,TRUE),3,IF($D$19=VLOOKUP(EV37,$B$2:$G$4,3,TRUE),4,5))),TRUE))*(DAY(EW37)-DAY(EV37)+1)/DAY(EOMONTH(EV37,0)),0))))</f>
        <v/>
      </c>
      <c r="FH37" s="461" t="str">
        <f>IF(EV37="","",IF(Main!$C$26="UGC",0,IF(OR(EU37&lt;DATE(2010,4,1),FN37=3,EX37=VLOOKUP(EX37,'IN RPS-2015'!$I$2:$J$5,1)),0,ROUND(IF(FN37=2,IF(EV37&lt;$J$152,Main!$L$9,Main!$CI$3)/2,IF(EV37&lt;$J$152,Main!$L$9,Main!$CI$3))*(DAY(EW37)-DAY(EV37)+1)/DAY(EOMONTH(EV37,0)),0))))</f>
        <v/>
      </c>
      <c r="FI37" s="461"/>
      <c r="FJ37" s="461" t="str">
        <f>IF(EV37="","",IF(Main!$C$26="UGC",0,IF(OR(FN37=3,EX37=VLOOKUP(EX37,'IN RPS-2015'!$I$2:$J$5,1)),0,ROUND(IF(FN37=2,VLOOKUP(EY37,IF(EV37&lt;$J$152,$A$154:$E$159,$F$154:$J$159),IF($B$10=VLOOKUP(EU37,$B$2:$G$4,6,TRUE),2,IF($B$10=VLOOKUP(EU37,$B$2:$G$4,6,TRUE),3,IF($D$10=VLOOKUP(EU37,$B$2:$G$4,6,TRUE),4,5))))/2,VLOOKUP(EY37,IF(EV37&lt;$J$152,$A$154:$E$159,$F$154:$J$159),IF($B$10=VLOOKUP(EU37,$B$2:$G$4,6,TRUE),2,IF($B$10=VLOOKUP(EU37,$B$2:$G$4,6,TRUE),3,IF($D$10=VLOOKUP(EU37,$B$2:$G$4,6,TRUE),4,5)))))*(DAY(EW37)-DAY(EV37)+1)/DAY(EOMONTH(EV37,0)),0))))</f>
        <v/>
      </c>
      <c r="FK37" s="461">
        <f t="shared" si="81"/>
        <v>0</v>
      </c>
      <c r="FL37" s="464" t="str">
        <f>IF(EV37="","",IF(AND(Main!$F$22=Main!$CA$24,EV37&gt;$FL$1),ROUND(SUM(EY37,FA37)*10%,0),""))</f>
        <v/>
      </c>
      <c r="FM37" s="464" t="str">
        <f>IF(EU37="","",IF(EY37=0,0,IF(OR(Main!$H$10=Main!$BH$4,Main!$H$10=Main!$BH$5),0,LOOKUP(FK37*DAY(EOMONTH(EV37,0))/(DAY(EW37)-DAY(EV37)+1),$H$184:$I$189))))</f>
        <v/>
      </c>
      <c r="FN37" s="457">
        <f t="shared" si="64"/>
        <v>1</v>
      </c>
    </row>
    <row r="38" spans="1:170">
      <c r="A38" s="459">
        <f>DATE(2015,6,1)</f>
        <v>42156</v>
      </c>
      <c r="B38" s="457">
        <f>IF(D32=D29,16,30)</f>
        <v>16</v>
      </c>
      <c r="C38" s="485">
        <f t="shared" si="91"/>
        <v>0.53333333333333333</v>
      </c>
      <c r="E38" s="2">
        <f>Main!AB4</f>
        <v>1</v>
      </c>
      <c r="F38" s="117">
        <f>Main!AC4</f>
        <v>42461</v>
      </c>
      <c r="G38" s="117">
        <f>Main!AD4</f>
        <v>42461</v>
      </c>
      <c r="K38" s="506">
        <f>DATE(2014,1,1)</f>
        <v>41640</v>
      </c>
      <c r="L38" s="169">
        <v>71.903999999999996</v>
      </c>
      <c r="M38" s="457">
        <v>100</v>
      </c>
      <c r="N38" s="457">
        <v>5.24</v>
      </c>
      <c r="AH38" s="461"/>
      <c r="AI38" s="499" t="str">
        <f t="shared" si="54"/>
        <v/>
      </c>
      <c r="AJ38" s="500" t="str">
        <f t="shared" si="84"/>
        <v/>
      </c>
      <c r="AK38" s="484" t="str">
        <f>IF(AJ38="","",MIN(EOMONTH(AJ38,0),VLOOKUP(AJ38,'IN RPS-2015'!$O$164:$P$202,2,TRUE)-1,LOOKUP(AJ38,$E$47:$F$53)-1,IF(AJ38&lt;$B$2,$B$2-1,'IN RPS-2015'!$Q$9),IF(AJ38&lt;$B$3,$B$3-1,'IN RPS-2015'!$Q$9),IF(AJ38&lt;$B$4,$B$4-1,'IN RPS-2015'!$Q$9),LOOKUP(AJ38,$H$47:$I$53)))</f>
        <v/>
      </c>
      <c r="AL38" s="490" t="str">
        <f>IF(AJ38="","",VLOOKUP(AJ38,'IN RPS-2015'!$P$164:$AA$202,9))</f>
        <v/>
      </c>
      <c r="AM38" s="461" t="str">
        <f t="shared" si="66"/>
        <v/>
      </c>
      <c r="AN38" s="461" t="str">
        <f>IF(AJ38="","",IF(AND($AG$3=$AG$1,AJ38&lt;=$AZ$1),0,ROUND(IF(BB38=3,0,IF(BB38=2,IF(AL38=VLOOKUP(AL38,'IN RPS-2015'!$I$2:$J$5,1),0,Main!$H$9)/2,IF(AL38=VLOOKUP(AL38,'IN RPS-2015'!$I$2:$J$5,1),0,Main!$H$9)))*(DAY(AK38)-DAY(AJ38)+1)/DAY(EOMONTH(AJ38,0)),0)))</f>
        <v/>
      </c>
      <c r="AO38" s="461" t="str">
        <f>IF(AJ38="","",IF(AND($AG$3=$AG$1,AJ38&lt;=$AZ$1),0,IF(AL38=VLOOKUP(AL38,'IN RPS-2015'!$I$2:$J$5,1),0,ROUND(AM38*VLOOKUP(AJ38,$AF$4:$AG$7,2)%,0))))</f>
        <v/>
      </c>
      <c r="AP38" s="461" t="str">
        <f>IF(AJ38="","",IF(AND($AG$3=$AG$1,AJ38&lt;=$AZ$1),0,IF(OR(BB38=3,AL38=VLOOKUP(AL38,'IN RPS-2015'!$I$2:$J$5,1)),0,ROUND(MIN(ROUND(AL38*VLOOKUP(AJ38,$B$1:$G$4,2)%,0),VLOOKUP(AJ38,$B$2:$I$4,IF($AG$3=$I$29,7,8),TRUE))*(DAY(AK38)-DAY(AJ38)+1)/DAY(EOMONTH(AJ38,0)),0))))</f>
        <v/>
      </c>
      <c r="AQ38" s="491" t="str">
        <f>IF(AJ38="","",IF(AND($AG$3=$AG$1,AJ38&lt;=$AZ$1),0,IF(Main!$C$26="UGC",0,IF(OR(AJ38&lt;DATE(2010,4,1),$I$6=VLOOKUP(AJ38,$B$2:$G$4,5,TRUE),AL38=VLOOKUP(AL38,'IN RPS-2015'!$I$2:$J$5,1)),0,ROUND(IF(BB38=3,0,IF(BB38=2,MIN(ROUND(AL38*$G$13%,0),IF(AJ38&lt;$J$152,$G$14,$G$15))/2,MIN(ROUND(AL38*$G$13%,0),IF(AJ38&lt;$J$152,$G$14,$G$15))))*(DAY(AK38)-DAY(AJ38)+1)/DAY(EOMONTH(AJ38,0)),0)))))</f>
        <v/>
      </c>
      <c r="AR38" s="461" t="str">
        <f>IF(AJ38="","",IF(AND($AG$3=$AG$1,AJ38&lt;=$AZ$1),0,IF(Main!$C$26="UGC",0,IF(AL38=VLOOKUP(AL38,'IN RPS-2015'!$I$2:$J$5,1),0,ROUND(AM38*VLOOKUP(AJ38,$AF$11:$AG$12,2)%,0)))))</f>
        <v/>
      </c>
      <c r="AS38" s="461" t="str">
        <f>IF(AJ38="","",IF(AND($AG$3=$AG$1,AJ38&lt;=$AZ$1),0,IF(Main!$C$26="UGC",0,IF(AJ38&lt;DATE(2010,4,1),0,IF(OR(BB38=2,BB38=3,AL38=VLOOKUP(AL38,'IN RPS-2015'!$I$2:$J$5,1)),0,ROUND(IF(AJ38&lt;$J$152,VLOOKUP(AJ38,$B$1:$G$4,4),VLOOKUP(VLOOKUP(AJ38,$B$1:$G$4,4),Main!$CE$2:$CF$5,2,FALSE))*(DAY(AK38)-DAY(AJ38)+1)/DAY(EOMONTH(AJ38,0)),0))))))</f>
        <v/>
      </c>
      <c r="AT38" s="461" t="str">
        <f>IF(AJ38="","",IF(AND($AG$3=$AG$1,AJ38&lt;=$AZ$1),0,IF(OR(BB38=2,BB38=3,$D$31=$D$28,AL38=VLOOKUP(AL38,'IN RPS-2015'!$I$2:$J$5,1)),0,ROUND(MIN(VLOOKUP(AI38,$A$27:$C$29,2,TRUE),ROUND(AL38*VLOOKUP(AI38,$A$27:$C$29,3,TRUE)%,0))*IF(AI38=$A$36,$C$36,IF(AI38=$A$37,$C$37,IF(AI38=$A$38,$C$38,IF(AI38=$A$39,$C$39,IF(AI38=$A$40,$C$40,IF(AI38=$A$41,$C$41,1))))))*(DAY(AK38)-DAY(AJ38)+1)/DAY(EOMONTH(AJ38,0)),0))))</f>
        <v/>
      </c>
      <c r="AU38" s="461" t="str">
        <f>IF(AJ38="","",IF(AND($AG$3=$AG$1,AJ38&lt;=$AZ$1),0,IF(Main!$C$26="UGC",0,IF(OR(BB38=3,AL38=VLOOKUP(AL38,'IN RPS-2015'!$I$2:$J$5,1)),0,ROUND(IF(BB38=2,VLOOKUP(AL38,IF($AG$3=$I$29,$A$20:$E$23,$F$144:$J$147),IF($B$19=VLOOKUP(AJ38,$B$2:$G$4,3,TRUE),2,IF($C$19=VLOOKUP(AJ38,$B$2:$G$4,3,TRUE),3,IF($D$19=VLOOKUP(AJ38,$B$2:$G$4,3,TRUE),4,5))),TRUE),VLOOKUP(AL38,IF($AG$3=$I$29,$A$20:$E$23,$F$144:$J$147),IF($B$19=VLOOKUP(AJ38,$B$2:$G$4,3,TRUE),2,IF($C$19=VLOOKUP(AJ38,$B$2:$G$4,3,TRUE),3,IF($D$19=VLOOKUP(AJ38,$B$2:$G$4,3,TRUE),4,5))),TRUE))*(DAY(AK38)-DAY(AJ38)+1)/DAY(EOMONTH(AJ38,0)),0)))))</f>
        <v/>
      </c>
      <c r="AV38" s="461" t="str">
        <f>IF(AJ38="","",IF(AND($AG$3=$AG$1,AJ38&lt;=$AZ$1),0,IF(Main!$C$26="UGC",0,IF(OR(AI38&lt;DATE(2010,4,1),BB38=3,AL38=VLOOKUP(AL38,'IN RPS-2015'!$I$2:$J$5,1)),0,ROUND(IF(BB38=2,IF(AJ38&lt;$J$152,Main!$L$9,Main!$CI$3)/2,IF(AJ38&lt;$J$152,Main!$L$9,Main!$CI$3))*(DAY(AK38)-DAY(AJ38)+1)/DAY(EOMONTH(AJ38,0)),0)))))</f>
        <v/>
      </c>
      <c r="AW38" s="461"/>
      <c r="AX38" s="461" t="str">
        <f>IF(AJ38="","",IF(AND($AG$3=$AG$1,AJ38&lt;=$AZ$1),0,IF(Main!$C$26="UGC",0,IF(OR(BB38=3,AL38=VLOOKUP(AL38,'IN RPS-2015'!$I$2:$J$5,1)),0,ROUND(IF(BB38=2,VLOOKUP(AM38,IF(AJ38&lt;$J$152,$A$154:$E$159,$F$154:$J$159),IF($B$10=VLOOKUP(AI38,$B$2:$G$4,6,TRUE),2,IF($B$10=VLOOKUP(AI38,$B$2:$G$4,6,TRUE),3,IF($D$10=VLOOKUP(AI38,$B$2:$G$4,6,TRUE),4,5))))/2,VLOOKUP(AM38,IF(AJ38&lt;$J$152,$A$154:$E$159,$F$154:$J$159),IF($B$10=VLOOKUP(AI38,$B$2:$G$4,6,TRUE),2,IF($B$10=VLOOKUP(AI38,$B$2:$G$4,6,TRUE),3,IF($D$10=VLOOKUP(AI38,$B$2:$G$4,6,TRUE),4,5)))))*(DAY(AK38)-DAY(AJ38)+1)/DAY(EOMONTH(AJ38,0)),0)))))</f>
        <v/>
      </c>
      <c r="AY38" s="461">
        <f t="shared" si="67"/>
        <v>0</v>
      </c>
      <c r="AZ38" s="464" t="str">
        <f>IF(AJ38="","",IF(AND($AG$3=$AG$1,AJ38&lt;=$AZ$1),0,IF(AND(Main!$F$22=Main!$CA$24,AJ38&gt;$AZ$1),ROUND(SUM(AM38,AO38)*10%,0),"")))</f>
        <v/>
      </c>
      <c r="BA38" s="464" t="str">
        <f>IF(AI38="","",IF(AND($AG$3=$AG$1,AJ38&lt;=$AZ$1),0,IF(OR(Main!$H$10=Main!$BH$4,Main!$H$10=Main!$BH$5),0,LOOKUP(AY38*DAY(EOMONTH(AJ38,0))/(DAY(AK38)-DAY(AJ38)+1),$H$184:$I$189))))</f>
        <v/>
      </c>
      <c r="BB38" s="497">
        <f t="shared" si="55"/>
        <v>1</v>
      </c>
      <c r="BC38" s="464"/>
      <c r="BD38" s="501" t="str">
        <f t="shared" si="56"/>
        <v/>
      </c>
      <c r="BE38" s="502" t="str">
        <f t="shared" si="85"/>
        <v/>
      </c>
      <c r="BF38" s="484" t="str">
        <f>IF(BE38="","",MIN(EOMONTH(BE38,0),VLOOKUP(BE38,'IN RPS-2015'!$O$164:$P$202,2,TRUE)-1,LOOKUP(BE38,$E$47:$F$53)-1,IF(BE38&lt;$B$2,$B$2-1,'IN RPS-2015'!$Q$9),IF(BE38&lt;$B$3,$B$3-1,'IN RPS-2015'!$Q$9),IF(BE38&lt;$B$4,$B$4-1,'IN RPS-2015'!$Q$9),LOOKUP(BE38,$H$47:$I$53)))</f>
        <v/>
      </c>
      <c r="BG38" s="493" t="str">
        <f>IF(BE38="","",VLOOKUP(BE38,'IN RPS-2015'!$P$164:$AA$202,10))</f>
        <v/>
      </c>
      <c r="BH38" s="461" t="str">
        <f t="shared" si="68"/>
        <v/>
      </c>
      <c r="BI38" s="461" t="str">
        <f>IF(BE38="","",IF(AND($AG$3=$AG$1,BE38&lt;=$AZ$1),0,ROUND(IF(BW38=3,0,IF(BW38=2,IF(BG38=VLOOKUP(BG38,'IN RPS-2015'!$I$2:$J$5,1),0,Main!$H$9)/2,IF(BG38=VLOOKUP(BG38,'IN RPS-2015'!$I$2:$J$5,1),0,Main!$H$9)))*(DAY(BF38)-DAY(BE38)+1)/DAY(EOMONTH(BE38,0)),0)))</f>
        <v/>
      </c>
      <c r="BJ38" s="461" t="str">
        <f>IF(BE38="","",IF(AND($AG$3=$AG$1,BE38&lt;=$AZ$1),0,IF(BG38=VLOOKUP(BG38,'IN RPS-2015'!$I$2:$J$5,1),0,ROUND(BH38*VLOOKUP(BE38,$AF$4:$AG$7,2)%,0))))</f>
        <v/>
      </c>
      <c r="BK38" s="461" t="str">
        <f>IF(BE38="","",IF(AND($AG$3=$AG$1,BE38&lt;=$AZ$1),0,IF(OR(BW38=3,BG38=VLOOKUP(BG38,'IN RPS-2015'!$I$2:$J$5,1)),0,ROUND(MIN(ROUND(BG38*VLOOKUP(BE38,$B$1:$G$4,2)%,0),VLOOKUP(BE38,$B$2:$I$4,IF($AG$3=$I$29,7,8),TRUE))*(DAY(BF38)-DAY(BE38)+1)/DAY(EOMONTH(BE38,0)),0))))</f>
        <v/>
      </c>
      <c r="BL38" s="491" t="str">
        <f>IF(BE38="","",IF(AND($AG$3=$AG$1,BE38&lt;=$AZ$1),0,IF(Main!$C$26="UGC",0,IF(OR(BE38&lt;DATE(2010,4,1),$I$6=VLOOKUP(BE38,$B$2:$G$4,5,TRUE),BG38=VLOOKUP(BG38,'IN RPS-2015'!$I$2:$J$5,1)),0,ROUND(IF(BW38=3,0,IF(BW38=2,MIN(ROUND(BG38*$G$13%,0),IF(BE38&lt;$J$152,$G$14,$G$15))/2,MIN(ROUND(BG38*$G$13%,0),IF(BE38&lt;$J$152,$G$14,$G$15))))*(DAY(BF38)-DAY(BE38)+1)/DAY(EOMONTH(BE38,0)),0)))))</f>
        <v/>
      </c>
      <c r="BM38" s="461" t="str">
        <f>IF(BE38="","",IF(AND($AG$3=$AG$1,BE38&lt;=$AZ$1),0,IF(Main!$C$26="UGC",0,IF(BG38=VLOOKUP(BG38,'IN RPS-2015'!$I$2:$J$5,1),0,ROUND(BH38*VLOOKUP(BE38,$AF$11:$AG$12,2)%,0)))))</f>
        <v/>
      </c>
      <c r="BN38" s="461" t="str">
        <f>IF(BE38="","",IF(AND($AG$3=$AG$1,BE38&lt;=$AZ$1),0,IF(Main!$C$26="UGC",0,IF(BE38&lt;DATE(2010,4,1),0,IF(OR(BW38=2,BW38=3,BG38=VLOOKUP(BG38,'IN RPS-2015'!$I$2:$J$5,1)),0,ROUND(IF(BE38&lt;$J$152,VLOOKUP(BE38,$B$1:$G$4,4),VLOOKUP(VLOOKUP(BE38,$B$1:$G$4,4),Main!$CE$2:$CF$5,2,FALSE))*(DAY(BF38)-DAY(BE38)+1)/DAY(EOMONTH(BE38,0)),0))))))</f>
        <v/>
      </c>
      <c r="BO38" s="461" t="str">
        <f>IF(BE38="","",IF(AND($AG$3=$AG$1,BE38&lt;=$AZ$1),0,IF(OR(BW38=2,BW38=3,$D$31=$D$28,BG38=VLOOKUP(BG38,'IN RPS-2015'!$I$2:$J$5,1)),0,ROUND(MIN(VLOOKUP(BD38,$A$27:$C$29,2,TRUE),ROUND(BG38*VLOOKUP(BD38,$A$27:$C$29,3,TRUE)%,0))*IF(BD38=$A$36,$C$36,IF(BD38=$A$37,$C$37,IF(BD38=$A$38,$C$38,IF(BD38=$A$39,$C$39,IF(BD38=$A$40,$C$40,IF(BD38=$A$41,$C$41,1))))))*(DAY(BF38)-DAY(BE38)+1)/DAY(EOMONTH(BE38,0)),0))))</f>
        <v/>
      </c>
      <c r="BP38" s="461" t="str">
        <f>IF(BE38="","",IF(AND($AG$3=$AG$1,BE38&lt;=$AZ$1),0,IF(Main!$C$26="UGC",0,IF(OR(BW38=3,BG38=VLOOKUP(BG38,'IN RPS-2015'!$I$2:$J$5,1)),0,ROUND(IF(BW38=2,VLOOKUP(BG38,IF($AG$3=$I$29,$A$20:$E$23,$F$144:$J$147),IF($B$19=VLOOKUP(BE38,$B$2:$G$4,3,TRUE),2,IF($C$19=VLOOKUP(BE38,$B$2:$G$4,3,TRUE),3,IF($D$19=VLOOKUP(BE38,$B$2:$G$4,3,TRUE),4,5))),TRUE),VLOOKUP(BG38,IF($AG$3=$I$29,$A$20:$E$23,$F$144:$J$147),IF($B$19=VLOOKUP(BE38,$B$2:$G$4,3,TRUE),2,IF($C$19=VLOOKUP(BE38,$B$2:$G$4,3,TRUE),3,IF($D$19=VLOOKUP(BE38,$B$2:$G$4,3,TRUE),4,5))),TRUE))*(DAY(BF38)-DAY(BE38)+1)/DAY(EOMONTH(BE38,0)),0)))))</f>
        <v/>
      </c>
      <c r="BQ38" s="461" t="str">
        <f>IF(BE38="","",IF(AND($AG$3=$AG$1,BE38&lt;=$AZ$1),0,IF(Main!$C$26="UGC",0,IF(OR(BD38&lt;DATE(2010,4,1),BW38=3,BG38=VLOOKUP(BG38,'IN RPS-2015'!$I$2:$J$5,1)),0,ROUND(IF(BW38=2,IF(BE38&lt;$J$152,Main!$L$9,Main!$CI$3)/2,IF(BE38&lt;$J$152,Main!$L$9,Main!$CI$3))*(DAY(BF38)-DAY(BE38)+1)/DAY(EOMONTH(BE38,0)),0)))))</f>
        <v/>
      </c>
      <c r="BR38" s="461"/>
      <c r="BS38" s="461" t="str">
        <f>IF(BE38="","",IF(AND($AG$3=$AG$1,BE38&lt;=$AZ$1),0,IF(Main!$C$26="UGC",0,IF(OR(BW38=3,BG38=VLOOKUP(BG38,'IN RPS-2015'!$I$2:$J$5,1)),0,ROUND(IF(BW38=2,VLOOKUP(BH38,IF(BE38&lt;$J$152,$A$154:$E$159,$F$154:$J$159),IF($B$10=VLOOKUP(BD38,$B$2:$G$4,6,TRUE),2,IF($B$10=VLOOKUP(BD38,$B$2:$G$4,6,TRUE),3,IF($D$10=VLOOKUP(BD38,$B$2:$G$4,6,TRUE),4,5))))/2,VLOOKUP(BH38,IF(BE38&lt;$J$152,$A$154:$E$159,$F$154:$J$159),IF($B$10=VLOOKUP(BD38,$B$2:$G$4,6,TRUE),2,IF($B$10=VLOOKUP(BD38,$B$2:$G$4,6,TRUE),3,IF($D$10=VLOOKUP(BD38,$B$2:$G$4,6,TRUE),4,5)))))*(DAY(BF38)-DAY(BE38)+1)/DAY(EOMONTH(BE38,0)),0)))))</f>
        <v/>
      </c>
      <c r="BT38" s="461">
        <f t="shared" si="69"/>
        <v>0</v>
      </c>
      <c r="BU38" s="464" t="str">
        <f>IF(BE38="","",IF(AND($AG$3=$AG$1,BE38&lt;=$AZ$1),0,IF(AND(Main!$F$22=Main!$CA$24,BE38&gt;$AZ$1),ROUND(SUM(BH38,BJ38)*10%,0),"")))</f>
        <v/>
      </c>
      <c r="BV38" s="464" t="str">
        <f>IF(BD38="","",IF(AND($AG$3=$AG$1,BE38&lt;=$AZ$1),0,IF(OR(Main!$H$10=Main!$BH$4,Main!$H$10=Main!$BH$5),0,LOOKUP(BT38*DAY(EOMONTH(BE38,0))/(DAY(BF38)-DAY(BE38)+1),$H$184:$I$189))))</f>
        <v/>
      </c>
      <c r="BW38" s="503">
        <f t="shared" si="70"/>
        <v>1</v>
      </c>
      <c r="BX38" s="457">
        <f t="shared" si="90"/>
        <v>0</v>
      </c>
      <c r="BY38" s="457"/>
      <c r="BZ38" s="457"/>
      <c r="CA38" s="457"/>
      <c r="CB38" s="461"/>
      <c r="CC38" s="499" t="str">
        <f t="shared" si="57"/>
        <v/>
      </c>
      <c r="CD38" s="500" t="str">
        <f t="shared" si="86"/>
        <v/>
      </c>
      <c r="CE38" s="484" t="str">
        <f>IF(CD38="","",MIN(EOMONTH(CD38,0),VLOOKUP(CD38,'IN RPS-2015'!$O$164:$P$202,2,TRUE)-1,LOOKUP(CD38,$E$47:$F$53)-1,IF(CD38&lt;$B$2,$B$2-1,'IN RPS-2015'!$Q$9),IF(CD38&lt;$B$3,$B$3-1,'IN RPS-2015'!$Q$9),IF(CD38&lt;$B$4,$B$4-1,'IN RPS-2015'!$Q$9),LOOKUP(CD38,$H$47:$I$53)))</f>
        <v/>
      </c>
      <c r="CF38" s="490" t="str">
        <f>IF(CD38="","",VLOOKUP(CD38,'IN RPS-2015'!$T$207:$Y$222,5))</f>
        <v/>
      </c>
      <c r="CG38" s="461" t="str">
        <f t="shared" si="72"/>
        <v/>
      </c>
      <c r="CH38" s="461" t="str">
        <f>IF(CD38="","",IF(AND($CA$3=$CA$1,CD38&lt;=$CT$1),0,ROUND(IF(CV38=3,0,IF(CV38=2,IF(CF38=VLOOKUP(CF38,'IN RPS-2015'!$I$2:$J$5,1),0,Main!$H$9)/2,IF(CF38=VLOOKUP(CF38,'IN RPS-2015'!$I$2:$J$5,1),0,Main!$H$9)))*(DAY(CE38)-DAY(CD38)+1)/DAY(EOMONTH(CD38,0)),0)))</f>
        <v/>
      </c>
      <c r="CI38" s="461" t="str">
        <f>IF(CD38="","",IF(AND($CA$3=$CA$1,CD38&lt;=$CT$1),0,IF(CF38=VLOOKUP(CF38,'IN RPS-2015'!$I$2:$J$5,1),0,ROUND(CG38*VLOOKUP(CD38,$BZ$4:$CA$7,2)%,0))))</f>
        <v/>
      </c>
      <c r="CJ38" s="461" t="str">
        <f>IF(CD38="","",IF(AND($CA$3=$CA$1,CD38&lt;=$CT$1),0,IF(OR(CV38=3,CF38=VLOOKUP(CF38,'IN RPS-2015'!$I$2:$J$5,1)),0,ROUND(MIN(ROUND(CF38*VLOOKUP(CD38,$B$1:$G$4,2)%,0),VLOOKUP(CD38,$B$2:$I$4,IF($CA$3=$I$29,7,8),TRUE))*(DAY(CE38)-DAY(CD38)+1)/DAY(EOMONTH(CD38,0)),0))))</f>
        <v/>
      </c>
      <c r="CK38" s="491" t="str">
        <f>IF(CD38="","",IF(AND($CA$3=$CA$1,CD38&lt;=$CT$1),0,IF(Main!$C$26="UGC",0,IF(OR(CD38&lt;DATE(2010,4,1),$I$6=VLOOKUP(CD38,$B$2:$G$4,5,TRUE),CF38=VLOOKUP(CF38,'IN RPS-2015'!$I$2:$J$5,1)),0,ROUND(IF(CV38=3,0,IF(CV38=2,MIN(ROUND(CF38*$G$13%,0),IF(CD38&lt;$J$152,$G$14,$G$15))/2,MIN(ROUND(CF38*$G$13%,0),IF(CD38&lt;$J$152,$G$14,$G$15))))*(DAY(CE38)-DAY(CD38)+1)/DAY(EOMONTH(CD38,0)),0)))))</f>
        <v/>
      </c>
      <c r="CL38" s="461" t="str">
        <f>IF(CD38="","",IF(AND($CA$3=$CA$1,CD38&lt;=$CT$1),0,IF(Main!$C$26="UGC",0,IF(CF38=VLOOKUP(CF38,'IN RPS-2015'!$I$2:$J$5,1),0,ROUND(CG38*VLOOKUP(CD38,$BZ$11:$CA$12,2)%,0)))))</f>
        <v/>
      </c>
      <c r="CM38" s="461" t="str">
        <f>IF(CD38="","",IF(AND($CA$3=$CA$1,CD38&lt;=$CT$1),0,IF(Main!$C$26="UGC",0,IF(CD38&lt;DATE(2010,4,1),0,IF(OR(CV38=2,CV38=3,CF38=VLOOKUP(CF38,'IN RPS-2015'!$I$2:$J$5,1)),0,ROUND(IF(CD38&lt;$J$152,VLOOKUP(CD38,$B$1:$G$4,4),VLOOKUP(VLOOKUP(CD38,$B$1:$G$4,4),Main!$CE$2:$CF$5,2,FALSE))*(DAY(CE38)-DAY(CD38)+1)/DAY(EOMONTH(CD38,0)),0))))))</f>
        <v/>
      </c>
      <c r="CN38" s="461" t="str">
        <f>IF(CD38="","",IF(AND($CA$3=$CA$1,CD38&lt;=$CT$1),0,IF(OR(CV38=2,CV38=3,$D$31=$D$28,CF38=VLOOKUP(CF38,'IN RPS-2015'!$I$2:$J$5,1)),0,ROUND(MIN(VLOOKUP(CC38,$A$27:$C$29,2,TRUE),ROUND(CF38*VLOOKUP(CC38,$A$27:$C$29,3,TRUE)%,0))*IF(CC38=$A$36,$C$36,IF(CC38=$A$37,$C$37,IF(CC38=$A$38,$C$38,IF(CC38=$A$39,$C$39,IF(CC38=$A$40,$C$40,IF(CC38=$A$41,$C$41,1))))))*(DAY(CE38)-DAY(CD38)+1)/DAY(EOMONTH(CD38,0)),0))))</f>
        <v/>
      </c>
      <c r="CO38" s="461" t="str">
        <f>IF(CD38="","",IF(AND($CA$3=$CA$1,CD38&lt;=$CT$1),0,IF(Main!$C$26="UGC",0,IF(OR(CV38=3,CF38=VLOOKUP(CF38,'IN RPS-2015'!$I$2:$J$5,1)),0,ROUND(IF(CV38=2,VLOOKUP(CF38,IF($CA$3=$I$29,$A$20:$E$23,$F$144:$J$147),IF($B$19=VLOOKUP(CD38,$B$2:$G$4,3,TRUE),2,IF($C$19=VLOOKUP(CD38,$B$2:$G$4,3,TRUE),3,IF($D$19=VLOOKUP(CD38,$B$2:$G$4,3,TRUE),4,5))),TRUE),VLOOKUP(CF38,IF($CA$3=$I$29,$A$20:$E$23,$F$144:$J$147),IF($B$19=VLOOKUP(CD38,$B$2:$G$4,3,TRUE),2,IF($C$19=VLOOKUP(CD38,$B$2:$G$4,3,TRUE),3,IF($D$19=VLOOKUP(CD38,$B$2:$G$4,3,TRUE),4,5))),TRUE))*(DAY(CE38)-DAY(CD38)+1)/DAY(EOMONTH(CD38,0)),0)))))</f>
        <v/>
      </c>
      <c r="CP38" s="461" t="str">
        <f>IF(CD38="","",IF(AND($CA$3=$CA$1,CD38&lt;=$CT$1),0,IF(Main!$C$26="UGC",0,IF(OR(CC38&lt;DATE(2010,4,1),CV38=3,CF38=VLOOKUP(CF38,'IN RPS-2015'!$I$2:$J$5,1)),0,ROUND(IF(CV38=2,IF(CD38&lt;$J$152,Main!$L$9,Main!$CI$3)/2,IF(CD38&lt;$J$152,Main!$L$9,Main!$CI$3))*(DAY(CE38)-DAY(CD38)+1)/DAY(EOMONTH(CD38,0)),0)))))</f>
        <v/>
      </c>
      <c r="CQ38" s="461"/>
      <c r="CR38" s="461" t="str">
        <f>IF(CD38="","",IF(AND($CA$3=$CA$1,CD38&lt;=$CT$1),0,IF(Main!$C$26="UGC",0,IF(OR(CV38=3,CF38=VLOOKUP(CF38,'IN RPS-2015'!$I$2:$J$5,1)),0,ROUND(IF(CV38=2,VLOOKUP(CG38,IF(CD38&lt;$J$152,$A$154:$E$159,$F$154:$J$159),IF($B$10=VLOOKUP(CC38,$B$2:$G$4,6,TRUE),2,IF($B$10=VLOOKUP(CC38,$B$2:$G$4,6,TRUE),3,IF($D$10=VLOOKUP(CC38,$B$2:$G$4,6,TRUE),4,5))))/2,VLOOKUP(CG38,IF(CD38&lt;$J$152,$A$154:$E$159,$F$154:$J$159),IF($B$10=VLOOKUP(CC38,$B$2:$G$4,6,TRUE),2,IF($B$10=VLOOKUP(CC38,$B$2:$G$4,6,TRUE),3,IF($D$10=VLOOKUP(CC38,$B$2:$G$4,6,TRUE),4,5)))))*(DAY(CE38)-DAY(CD38)+1)/DAY(EOMONTH(CD38,0)),0)))))</f>
        <v/>
      </c>
      <c r="CS38" s="461">
        <f t="shared" si="73"/>
        <v>0</v>
      </c>
      <c r="CT38" s="464" t="str">
        <f>IF(CD38="","",IF(AND($CA$3=$CA$1,CD38&lt;=$CT$1),0,IF(AND(Main!$F$22=Main!$CA$24,CD38&gt;$CT$1),ROUND(SUM(CG38,CI38)*10%,0),"")))</f>
        <v/>
      </c>
      <c r="CU38" s="464" t="str">
        <f>IF(CC38="","",IF(CG38=0,0,IF(OR(Main!$H$10=Main!$BH$4,Main!$H$10=Main!$BH$5),0,LOOKUP(CS38*DAY(EOMONTH(CD38,0))/(DAY(CE38)-DAY(CD38)+1),$H$184:$I$189))))</f>
        <v/>
      </c>
      <c r="CV38" s="457">
        <f t="shared" si="74"/>
        <v>1</v>
      </c>
      <c r="CW38" s="464"/>
      <c r="CX38" s="501" t="str">
        <f t="shared" si="59"/>
        <v/>
      </c>
      <c r="CY38" s="502" t="str">
        <f t="shared" si="87"/>
        <v/>
      </c>
      <c r="CZ38" s="484" t="str">
        <f>IF(CY38="","",MIN(EOMONTH(CY38,0),VLOOKUP(CY38,'IN RPS-2015'!$O$164:$P$202,2,TRUE)-1,LOOKUP(CY38,$E$47:$F$53)-1,IF(CY38&lt;$B$2,$B$2-1,'IN RPS-2015'!$Q$9),IF(CY38&lt;$B$3,$B$3-1,'IN RPS-2015'!$Q$9),IF(CY38&lt;$B$4,$B$4-1,'IN RPS-2015'!$Q$9),LOOKUP(CY38,$H$47:$I$53)))</f>
        <v/>
      </c>
      <c r="DA38" s="493" t="str">
        <f>IF(CY38="","",VLOOKUP(CY38,'IN RPS-2015'!$T$207:$Y$222,6))</f>
        <v/>
      </c>
      <c r="DB38" s="461" t="str">
        <f t="shared" si="75"/>
        <v/>
      </c>
      <c r="DC38" s="461" t="str">
        <f>IF(CY38="","",IF(AND($CA$3=$CA$1,CY38&lt;=$CT$1),0,ROUND(IF(DQ38=3,0,IF(DQ38=2,IF(DA38=VLOOKUP(DA38,'IN RPS-2015'!$I$2:$J$5,1),0,Main!$H$9)/2,IF(DA38=VLOOKUP(DA38,'IN RPS-2015'!$I$2:$J$5,1),0,Main!$H$9)))*(DAY(CZ38)-DAY(CY38)+1)/DAY(EOMONTH(CY38,0)),0)))</f>
        <v/>
      </c>
      <c r="DD38" s="461" t="str">
        <f>IF(CY38="","",IF(AND($CA$3=$CA$1,CY38&lt;=$CT$1),0,IF(DA38=VLOOKUP(DA38,'IN RPS-2015'!$I$2:$J$5,1),0,ROUND(DB38*VLOOKUP(CY38,$BZ$4:$CA$7,2)%,0))))</f>
        <v/>
      </c>
      <c r="DE38" s="461" t="str">
        <f>IF(CY38="","",IF(AND($CA$3=$CA$1,CY38&lt;=$CT$1),0,IF(OR(DQ38=3,DA38=VLOOKUP(DA38,'IN RPS-2015'!$I$2:$J$5,1)),0,ROUND(MIN(ROUND(DA38*VLOOKUP(CY38,$B$1:$G$4,2)%,0),VLOOKUP(CY38,$B$2:$I$4,IF($CA$3=$I$29,7,8),TRUE))*(DAY(CZ38)-DAY(CY38)+1)/DAY(EOMONTH(CY38,0)),0))))</f>
        <v/>
      </c>
      <c r="DF38" s="491" t="str">
        <f>IF(CY38="","",IF(AND($CA$3=$CA$1,CY38&lt;=$CT$1),0,IF(Main!$C$26="UGC",0,IF(OR(CY38&lt;DATE(2010,4,1),$I$6=VLOOKUP(CY38,$B$2:$G$4,5,TRUE),DA38=VLOOKUP(DA38,'IN RPS-2015'!$I$2:$J$5,1)),0,ROUND(IF(DQ38=3,0,IF(DQ38=2,MIN(ROUND(DA38*$G$13%,0),IF(CY38&lt;$J$152,$G$14,$G$15))/2,MIN(ROUND(DA38*$G$13%,0),IF(CY38&lt;$J$152,$G$14,$G$15))))*(DAY(CZ38)-DAY(CY38)+1)/DAY(EOMONTH(CY38,0)),0)))))</f>
        <v/>
      </c>
      <c r="DG38" s="461" t="str">
        <f>IF(CY38="","",IF(AND($CA$3=$CA$1,CY38&lt;=$CT$1),0,IF(Main!$C$26="UGC",0,IF(DA38=VLOOKUP(DA38,'IN RPS-2015'!$I$2:$J$5,1),0,ROUND(DB38*VLOOKUP(CY38,$BZ$11:$CA$12,2)%,0)))))</f>
        <v/>
      </c>
      <c r="DH38" s="461" t="str">
        <f>IF(CY38="","",IF(AND($CA$3=$CA$1,CY38&lt;=$CT$1),0,IF(Main!$C$26="UGC",0,IF(CY38&lt;DATE(2010,4,1),0,IF(OR(DQ38=2,DQ38=3,DA38=VLOOKUP(DA38,'IN RPS-2015'!$I$2:$J$5,1)),0,ROUND(IF(CY38&lt;$J$152,VLOOKUP(CY38,$B$1:$G$4,4),VLOOKUP(VLOOKUP(CY38,$B$1:$G$4,4),Main!$CE$2:$CF$5,2,FALSE))*(DAY(CZ38)-DAY(CY38)+1)/DAY(EOMONTH(CY38,0)),0))))))</f>
        <v/>
      </c>
      <c r="DI38" s="461" t="str">
        <f>IF(CY38="","",IF(AND($CA$3=$CA$1,CY38&lt;=$CT$1),0,IF(OR(DQ38=2,DQ38=3,$D$31=$D$28,DA38=VLOOKUP(DA38,'IN RPS-2015'!$I$2:$J$5,1)),0,ROUND(MIN(VLOOKUP(CX38,$A$27:$C$29,2,TRUE),ROUND(DA38*VLOOKUP(CX38,$A$27:$C$29,3,TRUE)%,0))*IF(CX38=$A$36,$C$36,IF(CX38=$A$37,$C$37,IF(CX38=$A$38,$C$38,IF(CX38=$A$39,$C$39,IF(CX38=$A$40,$C$40,IF(CX38=$A$41,$C$41,1))))))*(DAY(CZ38)-DAY(CY38)+1)/DAY(EOMONTH(CY38,0)),0))))</f>
        <v/>
      </c>
      <c r="DJ38" s="461" t="str">
        <f>IF(CY38="","",IF(AND($CA$3=$CA$1,CY38&lt;=$CT$1),0,IF(Main!$C$26="UGC",0,IF(OR(DQ38=3,DA38=VLOOKUP(DA38,'IN RPS-2015'!$I$2:$J$5,1)),0,ROUND(IF(DQ38=2,VLOOKUP(DA38,IF($CA$3=$I$29,$A$20:$E$23,$F$144:$J$147),IF($B$19=VLOOKUP(CY38,$B$2:$G$4,3,TRUE),2,IF($C$19=VLOOKUP(CY38,$B$2:$G$4,3,TRUE),3,IF($D$19=VLOOKUP(CY38,$B$2:$G$4,3,TRUE),4,5))),TRUE),VLOOKUP(DA38,IF($CA$3=$I$29,$A$20:$E$23,$F$144:$J$147),IF($B$19=VLOOKUP(CY38,$B$2:$G$4,3,TRUE),2,IF($C$19=VLOOKUP(CY38,$B$2:$G$4,3,TRUE),3,IF($D$19=VLOOKUP(CY38,$B$2:$G$4,3,TRUE),4,5))),TRUE))*(DAY(CZ38)-DAY(CY38)+1)/DAY(EOMONTH(CY38,0)),0)))))</f>
        <v/>
      </c>
      <c r="DK38" s="461" t="str">
        <f>IF(CY38="","",IF(AND($CA$3=$CA$1,CY38&lt;=$CT$1),0,IF(Main!$C$26="UGC",0,IF(OR(CX38&lt;DATE(2010,4,1),DQ38=3,DA38=VLOOKUP(DA38,'IN RPS-2015'!$I$2:$J$5,1)),0,ROUND(IF(DQ38=2,IF(CY38&lt;$J$152,Main!$L$9,Main!$CI$3)/2,IF(CY38&lt;$J$152,Main!$L$9,Main!$CI$3))*(DAY(CZ38)-DAY(CY38)+1)/DAY(EOMONTH(CY38,0)),0)))))</f>
        <v/>
      </c>
      <c r="DL38" s="461"/>
      <c r="DM38" s="461" t="str">
        <f>IF(CY38="","",IF(AND($CA$3=$CA$1,CY38&lt;=$CT$1),0,IF(Main!$C$26="UGC",0,IF(OR(DQ38=3,DA38=VLOOKUP(DA38,'IN RPS-2015'!$I$2:$J$5,1)),0,ROUND(IF(DQ38=2,VLOOKUP(DB38,IF(CY38&lt;$J$152,$A$154:$E$159,$F$154:$J$159),IF($B$10=VLOOKUP(CX38,$B$2:$G$4,6,TRUE),2,IF($B$10=VLOOKUP(CX38,$B$2:$G$4,6,TRUE),3,IF($D$10=VLOOKUP(CX38,$B$2:$G$4,6,TRUE),4,5))))/2,VLOOKUP(DB38,IF(CY38&lt;$J$152,$A$154:$E$159,$F$154:$J$159),IF($B$10=VLOOKUP(CX38,$B$2:$G$4,6,TRUE),2,IF($B$10=VLOOKUP(CX38,$B$2:$G$4,6,TRUE),3,IF($D$10=VLOOKUP(CX38,$B$2:$G$4,6,TRUE),4,5)))))*(DAY(CZ38)-DAY(CY38)+1)/DAY(EOMONTH(CY38,0)),0)))))</f>
        <v/>
      </c>
      <c r="DN38" s="461">
        <f t="shared" si="76"/>
        <v>0</v>
      </c>
      <c r="DO38" s="464" t="str">
        <f>IF(CY38="","",IF(AND($CA$3=$CA$1,CY38&lt;=$CT$1),0,IF(AND(Main!$F$22=Main!$CA$24,CY38&gt;$CT$1),ROUND(SUM(DB38,DD38)*10%,0),"")))</f>
        <v/>
      </c>
      <c r="DP38" s="464" t="str">
        <f>IF(CX38="","",IF(AND($CA$3=$CA$1,CY38&lt;=$CT$1),0,IF(OR(Main!$H$10=Main!$BH$4,Main!$H$10=Main!$BH$5),0,LOOKUP(DN38*DAY(EOMONTH(CY38,0))/(DAY(CZ38)-DAY(CY38)+1),$H$184:$I$189))))</f>
        <v/>
      </c>
      <c r="DQ38" s="457">
        <f t="shared" si="60"/>
        <v>1</v>
      </c>
      <c r="DR38" s="457">
        <f t="shared" si="77"/>
        <v>0</v>
      </c>
      <c r="DS38" s="457"/>
      <c r="DT38" s="457"/>
      <c r="DU38" s="457"/>
      <c r="DV38" s="461"/>
      <c r="DW38" s="499" t="str">
        <f t="shared" si="61"/>
        <v/>
      </c>
      <c r="DX38" s="500" t="str">
        <f t="shared" si="88"/>
        <v/>
      </c>
      <c r="DY38" s="484" t="str">
        <f>IF(DX38="","",MIN(EOMONTH(DX38,0),VLOOKUP(DX38,'IN RPS-2015'!$O$164:$P$202,2,TRUE)-1,LOOKUP(DX38,$E$47:$F$53)-1,IF(DX38&lt;$B$2,$B$2-1,'IN RPS-2015'!$Q$9),IF(DX38&lt;$B$3,$B$3-1,'IN RPS-2015'!$Q$9),IF(DX38&lt;$B$4,$B$4-1,'IN RPS-2015'!$Q$9),LOOKUP(DX38,$H$47:$I$53)))</f>
        <v/>
      </c>
      <c r="DZ38" s="490" t="str">
        <f>IF(DX38="","",VLOOKUP(DX38,'IN RPS-2015'!$P$164:$AA$202,11))</f>
        <v/>
      </c>
      <c r="EA38" s="461" t="str">
        <f t="shared" si="78"/>
        <v/>
      </c>
      <c r="EB38" s="461" t="str">
        <f>IF(DX38="","",ROUND(IF(EP38=3,0,IF(EP38=2,IF(DZ38=VLOOKUP(DZ38,'IN RPS-2015'!$I$2:$J$5,1),0,Main!$H$9)/2,IF(DZ38=VLOOKUP(DZ38,'IN RPS-2015'!$I$2:$J$5,1),0,Main!$H$9)))*(DAY(DY38)-DAY(DX38)+1)/DAY(EOMONTH(DX38,0)),0))</f>
        <v/>
      </c>
      <c r="EC38" s="461" t="str">
        <f>IF(DX38="","",IF(DZ38=VLOOKUP(DZ38,'IN RPS-2015'!$I$2:$J$5,1),0,ROUND(EA38*VLOOKUP(DX38,$DT$4:$DU$7,2)%,0)))</f>
        <v/>
      </c>
      <c r="ED38" s="461" t="str">
        <f>IF(DX38="","",IF(OR(EP38=3,DZ38=VLOOKUP(DZ38,'IN RPS-2015'!$I$2:$J$5,1)),0,ROUND(MIN(ROUND(DZ38*VLOOKUP(DX38,$B$1:$G$4,2)%,0),VLOOKUP(DX38,$B$2:$I$4,IF($DU$3=$I$29,7,8),TRUE))*(DAY(DY38)-DAY(DX38)+1)/DAY(EOMONTH(DX38,0)),0)))</f>
        <v/>
      </c>
      <c r="EE38" s="491" t="str">
        <f>IF(DX38="","",IF(Main!$C$26="UGC",0,IF(OR(DX38&lt;DATE(2010,4,1),$I$6=VLOOKUP(DX38,$B$2:$G$4,5,TRUE),DZ38=VLOOKUP(DZ38,'IN RPS-2015'!$I$2:$J$5,1)),0,ROUND(IF(EP38=3,0,IF(EP38=2,MIN(ROUND(DZ38*$G$13%,0),IF(DX38&lt;$I$152,$G$14,$G$15))/2,MIN(ROUND(DZ38*$G$13%,0),IF(DX38&lt;$I$152,$G$14,$G$15))))*(DAY(DY38)-DAY(DX38)+1)/DAY(EOMONTH(DX38,0)),0))))</f>
        <v/>
      </c>
      <c r="EF38" s="461" t="str">
        <f>IF(DX38="","",IF(Main!$C$26="UGC",0,IF(DZ38=VLOOKUP(DZ38,'IN RPS-2015'!$I$2:$J$5,1),0,ROUND(EA38*VLOOKUP(DX38,$DT$11:$DU$12,2)%,0))))</f>
        <v/>
      </c>
      <c r="EG38" s="461" t="str">
        <f>IF(DX38="","",IF(Main!$C$26="UGC",0,IF(DX38&lt;DATE(2010,4,1),0,IF(OR(EP38=2,EP38=3,DZ38=VLOOKUP(DZ38,'IN RPS-2015'!$I$2:$J$5,1)),0,ROUND(IF(DX38&lt;$I$152,VLOOKUP(DX38,$B$1:$G$4,4),VLOOKUP(VLOOKUP(DX38,$B$1:$G$4,4),Main!$CE$2:$CF$5,2,FALSE))*(DAY(DY38)-DAY(DX38)+1)/DAY(EOMONTH(DX38,0)),0)))))</f>
        <v/>
      </c>
      <c r="EH38" s="461" t="str">
        <f>IF(DX38="","",IF(OR(EP38=2,EP38=3,$D$31=$D$28,DZ38=VLOOKUP(DZ38,'IN RPS-2015'!$I$2:$J$5,1)),0,ROUND(MIN(IF(DX38&lt;$I$152,900,1350),ROUND(DZ38*VLOOKUP(DW38,$A$27:$C$29,3,TRUE)%,0))*IF(DW38=$A$36,$C$36,IF(DW38=$A$37,$C$37,IF(DW38=$A$38,$C$38,IF(DW38=$A$39,$C$39,IF(DW38=$A$40,$C$40,IF(DW38=$A$41,$C$41,1))))))*(DAY(DY38)-DAY(DX38)+1)/DAY(EOMONTH(DX38,0)),0)))</f>
        <v/>
      </c>
      <c r="EI38" s="461" t="str">
        <f>IF(DX38="","",IF(Main!$C$26="UGC",0,IF(OR(EP38=3,DZ38=VLOOKUP(DZ38,'IN RPS-2015'!$I$2:$J$5,1)),0,ROUND(IF(EP38=2,VLOOKUP(DZ38,IF($DU$3=$I$29,$A$20:$E$23,$F$144:$J$147),IF($B$19=VLOOKUP(DX38,$B$2:$G$4,3,TRUE),2,IF($C$19=VLOOKUP(DX38,$B$2:$G$4,3,TRUE),3,IF($D$19=VLOOKUP(DX38,$B$2:$G$4,3,TRUE),4,5))),TRUE),VLOOKUP(DZ38,IF($DU$3=$I$29,$A$20:$E$23,$F$144:$J$147),IF($B$19=VLOOKUP(DX38,$B$2:$G$4,3,TRUE),2,IF($C$19=VLOOKUP(DX38,$B$2:$G$4,3,TRUE),3,IF($D$19=VLOOKUP(DX38,$B$2:$G$4,3,TRUE),4,5))),TRUE))*(DAY(DY38)-DAY(DX38)+1)/DAY(EOMONTH(DX38,0)),0))))</f>
        <v/>
      </c>
      <c r="EJ38" s="461" t="str">
        <f>IF(DX38="","",IF(Main!$C$26="UGC",0,IF(OR(DW38&lt;DATE(2010,4,1),EP38=3,DZ38=VLOOKUP(DZ38,'IN RPS-2015'!$I$2:$J$5,1)),0,ROUND(IF(EP38=2,IF(DX38&lt;$I$152,Main!$L$9,Main!$CI$3)/2,IF(DX38&lt;$I$152,Main!$L$9,Main!$CI$3))*(DAY(DY38)-DAY(DX38)+1)/DAY(EOMONTH(DX38,0)),0))))</f>
        <v/>
      </c>
      <c r="EK38" s="461"/>
      <c r="EL38" s="461" t="str">
        <f>IF(DX38="","",IF(Main!$C$26="UGC",0,IF(OR(EP38=3,DZ38=VLOOKUP(DZ38,'IN RPS-2015'!$I$2:$J$5,1)),0,ROUND(IF(EP38=2,VLOOKUP(EA38,IF(DX38&lt;$I$152,$A$154:$E$159,$F$154:$J$159),IF($B$10=VLOOKUP(DW38,$B$2:$G$4,6,TRUE),2,IF($B$10=VLOOKUP(DW38,$B$2:$G$4,6,TRUE),3,IF($D$10=VLOOKUP(DW38,$B$2:$G$4,6,TRUE),4,5))))/2,VLOOKUP(EA38,IF(DX38&lt;$I$152,$A$154:$E$159,$F$154:$J$159),IF($B$10=VLOOKUP(DW38,$B$2:$G$4,6,TRUE),2,IF($B$10=VLOOKUP(DW38,$B$2:$G$4,6,TRUE),3,IF($D$10=VLOOKUP(DW38,$B$2:$G$4,6,TRUE),4,5)))))*(DAY(DY38)-DAY(DX38)+1)/DAY(EOMONTH(DX38,0)),0))))</f>
        <v/>
      </c>
      <c r="EM38" s="461">
        <f t="shared" si="79"/>
        <v>0</v>
      </c>
      <c r="EN38" s="464" t="str">
        <f>IF(DX38="","",IF(AND(Main!$F$22=Main!$CA$24,DX38&gt;$EN$1),ROUND(SUM(EA38,EC38)*10%,0),""))</f>
        <v/>
      </c>
      <c r="EO38" s="464" t="str">
        <f>IF(DW38="","",IF(EA38=0,0,IF(OR(Main!$H$10=Main!$BH$4,Main!$H$10=Main!$BH$5),0,LOOKUP(EM38*DAY(EOMONTH(DX38,0))/(DAY(DY38)-DAY(DX38)+1),$H$184:$I$189))))</f>
        <v/>
      </c>
      <c r="EP38" s="457">
        <f t="shared" si="62"/>
        <v>1</v>
      </c>
      <c r="ET38" s="461"/>
      <c r="EU38" s="499" t="str">
        <f t="shared" si="63"/>
        <v/>
      </c>
      <c r="EV38" s="500" t="str">
        <f t="shared" si="89"/>
        <v/>
      </c>
      <c r="EW38" s="484" t="str">
        <f>IF(EV38="","",MIN(EOMONTH(EV38,0),VLOOKUP(EV38,'IN RPS-2015'!$O$164:$P$202,2,TRUE)-1,LOOKUP(EV38,$E$47:$F$53)-1,IF(EV38&lt;$B$2,$B$2-1,'IN RPS-2015'!$Q$9),IF(EV38&lt;$B$3,$B$3-1,'IN RPS-2015'!$Q$9),IF(EV38&lt;$B$4,$B$4-1,'IN RPS-2015'!$Q$9),LOOKUP(EV38,$H$47:$I$53)))</f>
        <v/>
      </c>
      <c r="EX38" s="490" t="str">
        <f>IF(EV38="","",VLOOKUP(EV38,'IN RPS-2015'!$P$164:$AA$202,12))</f>
        <v/>
      </c>
      <c r="EY38" s="461" t="str">
        <f t="shared" si="80"/>
        <v/>
      </c>
      <c r="EZ38" s="461" t="str">
        <f>IF(EV38="","",ROUND(IF(FN38=3,0,IF(FN38=2,IF(EX38=VLOOKUP(EX38,'IN RPS-2015'!$I$2:$J$5,1),0,Main!$H$9)/2,IF(EX38=VLOOKUP(EX38,'IN RPS-2015'!$I$2:$J$5,1),0,Main!$H$9)))*(DAY(EW38)-DAY(EV38)+1)/DAY(EOMONTH(EV38,0)),0))</f>
        <v/>
      </c>
      <c r="FA38" s="461" t="str">
        <f>IF(EV38="","",IF(EX38=VLOOKUP(EX38,'IN RPS-2015'!$I$2:$J$5,1),0,ROUND(EY38*VLOOKUP(EV38,$ER$4:$ES$7,2)%,0)))</f>
        <v/>
      </c>
      <c r="FB38" s="461" t="str">
        <f>IF(EV38="","",IF(OR(FN38=3,EX38=VLOOKUP(EX38,'IN RPS-2015'!$I$2:$J$5,1)),0,ROUND(MIN(ROUND(EX38*VLOOKUP(EV38,$B$1:$G$4,2)%,0),VLOOKUP(EV38,$B$2:$I$4,IF($ES$3=$I$29,7,8),TRUE))*(DAY(EW38)-DAY(EV38)+1)/DAY(EOMONTH(EV38,0)),0)))</f>
        <v/>
      </c>
      <c r="FC38" s="491" t="str">
        <f>IF(EV38="","",IF(Main!$C$26="UGC",0,IF(OR(EV38&lt;DATE(2010,4,1),$I$6=VLOOKUP(EV38,$B$2:$G$4,5,TRUE),EX38=VLOOKUP(EX38,'IN RPS-2015'!$I$2:$J$5,1)),0,ROUND(IF(FN38=3,0,IF(FN38=2,MIN(ROUND(EX38*$G$13%,0),IF(EV38&lt;$J$152,$G$14,$G$15))/2,MIN(ROUND(EX38*$G$13%,0),IF(EV38&lt;$J$152,$G$14,$G$15))))*(DAY(EW38)-DAY(EV38)+1)/DAY(EOMONTH(EV38,0)),0))))</f>
        <v/>
      </c>
      <c r="FD38" s="461" t="str">
        <f>IF(EV38="","",IF(Main!$C$26="UGC",0,IF(EX38=VLOOKUP(EX38,'IN RPS-2015'!$I$2:$J$5,1),0,ROUND(EY38*VLOOKUP(EV38,$ER$11:$ES$12,2)%,0))))</f>
        <v/>
      </c>
      <c r="FE38" s="461" t="str">
        <f>IF(EV38="","",IF(Main!$C$26="UGC",0,IF(EV38&lt;DATE(2010,4,1),0,IF(OR(FN38=2,FN38=3,EX38=VLOOKUP(EX38,'IN RPS-2015'!$I$2:$J$5,1)),0,ROUND(IF(EV38&lt;$J$152,VLOOKUP(EV38,$B$1:$G$4,4),VLOOKUP(VLOOKUP(EV38,$B$1:$G$4,4),Main!$CE$2:$CF$5,2,FALSE))*(DAY(EW38)-DAY(EV38)+1)/DAY(EOMONTH(EV38,0)),0)))))</f>
        <v/>
      </c>
      <c r="FF38" s="461" t="str">
        <f>IF(EV38="","",IF(OR(FN38=2,FN38=3,$D$31=$D$28,EX38=VLOOKUP(EX38,'IN RPS-2015'!$I$2:$J$5,1)),0,ROUND(MIN(VLOOKUP(EU38,$A$27:$C$29,2,TRUE),ROUND(EX38*VLOOKUP(EU38,$A$27:$C$29,3,TRUE)%,0))*IF(EU38=$A$36,$C$36,IF(EU38=$A$37,$C$37,IF(EU38=$A$38,$C$38,IF(EU38=$A$39,$C$39,IF(EU38=$A$40,$C$40,IF(EU38=$A$41,$C$41,1))))))*(DAY(EW38)-DAY(EV38)+1)/DAY(EOMONTH(EV38,0)),0)))</f>
        <v/>
      </c>
      <c r="FG38" s="461" t="str">
        <f>IF(EV38="","",IF(Main!$C$26="UGC",0,IF(OR(FN38=3,EX38=VLOOKUP(EX38,'IN RPS-2015'!$I$2:$J$5,1)),0,ROUND(IF(FN38=2,VLOOKUP(EX38,IF($ES$3=$I$29,$A$20:$E$23,$F$144:$J$147),IF($B$19=VLOOKUP(EV38,$B$2:$G$4,3,TRUE),2,IF($C$19=VLOOKUP(EV38,$B$2:$G$4,3,TRUE),3,IF($D$19=VLOOKUP(EV38,$B$2:$G$4,3,TRUE),4,5))),TRUE),VLOOKUP(EX38,IF($ES$3=$I$29,$A$20:$E$23,$F$144:$J$147),IF($B$19=VLOOKUP(EV38,$B$2:$G$4,3,TRUE),2,IF($C$19=VLOOKUP(EV38,$B$2:$G$4,3,TRUE),3,IF($D$19=VLOOKUP(EV38,$B$2:$G$4,3,TRUE),4,5))),TRUE))*(DAY(EW38)-DAY(EV38)+1)/DAY(EOMONTH(EV38,0)),0))))</f>
        <v/>
      </c>
      <c r="FH38" s="461" t="str">
        <f>IF(EV38="","",IF(Main!$C$26="UGC",0,IF(OR(EU38&lt;DATE(2010,4,1),FN38=3,EX38=VLOOKUP(EX38,'IN RPS-2015'!$I$2:$J$5,1)),0,ROUND(IF(FN38=2,IF(EV38&lt;$J$152,Main!$L$9,Main!$CI$3)/2,IF(EV38&lt;$J$152,Main!$L$9,Main!$CI$3))*(DAY(EW38)-DAY(EV38)+1)/DAY(EOMONTH(EV38,0)),0))))</f>
        <v/>
      </c>
      <c r="FI38" s="461"/>
      <c r="FJ38" s="461" t="str">
        <f>IF(EV38="","",IF(Main!$C$26="UGC",0,IF(OR(FN38=3,EX38=VLOOKUP(EX38,'IN RPS-2015'!$I$2:$J$5,1)),0,ROUND(IF(FN38=2,VLOOKUP(EY38,IF(EV38&lt;$J$152,$A$154:$E$159,$F$154:$J$159),IF($B$10=VLOOKUP(EU38,$B$2:$G$4,6,TRUE),2,IF($B$10=VLOOKUP(EU38,$B$2:$G$4,6,TRUE),3,IF($D$10=VLOOKUP(EU38,$B$2:$G$4,6,TRUE),4,5))))/2,VLOOKUP(EY38,IF(EV38&lt;$J$152,$A$154:$E$159,$F$154:$J$159),IF($B$10=VLOOKUP(EU38,$B$2:$G$4,6,TRUE),2,IF($B$10=VLOOKUP(EU38,$B$2:$G$4,6,TRUE),3,IF($D$10=VLOOKUP(EU38,$B$2:$G$4,6,TRUE),4,5)))))*(DAY(EW38)-DAY(EV38)+1)/DAY(EOMONTH(EV38,0)),0))))</f>
        <v/>
      </c>
      <c r="FK38" s="461">
        <f t="shared" si="81"/>
        <v>0</v>
      </c>
      <c r="FL38" s="464" t="str">
        <f>IF(EV38="","",IF(AND(Main!$F$22=Main!$CA$24,EV38&gt;$FL$1),ROUND(SUM(EY38,FA38)*10%,0),""))</f>
        <v/>
      </c>
      <c r="FM38" s="464" t="str">
        <f>IF(EU38="","",IF(EY38=0,0,IF(OR(Main!$H$10=Main!$BH$4,Main!$H$10=Main!$BH$5),0,LOOKUP(FK38*DAY(EOMONTH(EV38,0))/(DAY(EW38)-DAY(EV38)+1),$H$184:$I$189))))</f>
        <v/>
      </c>
      <c r="FN38" s="457">
        <f t="shared" si="64"/>
        <v>1</v>
      </c>
    </row>
    <row r="39" spans="1:170">
      <c r="A39" s="459">
        <f>DATE(2016,4,1)</f>
        <v>42461</v>
      </c>
      <c r="B39" s="457">
        <f>IF(D32=D29,23,30)</f>
        <v>23</v>
      </c>
      <c r="C39" s="485">
        <f t="shared" si="91"/>
        <v>0.76666666666666672</v>
      </c>
      <c r="E39" s="2">
        <f>Main!AB5</f>
        <v>1</v>
      </c>
      <c r="F39" s="117">
        <f>Main!AC5</f>
        <v>42461</v>
      </c>
      <c r="G39" s="117">
        <f>Main!AD5</f>
        <v>42461</v>
      </c>
      <c r="K39" s="168">
        <f>DATE(2014,7,1)</f>
        <v>41821</v>
      </c>
      <c r="L39" s="169">
        <v>77.896000000000001</v>
      </c>
      <c r="M39" s="457">
        <v>107</v>
      </c>
      <c r="N39" s="457">
        <v>8.9079999999999995</v>
      </c>
      <c r="AH39" s="461"/>
      <c r="AI39" s="499" t="str">
        <f t="shared" si="54"/>
        <v/>
      </c>
      <c r="AJ39" s="500" t="str">
        <f t="shared" si="84"/>
        <v/>
      </c>
      <c r="AK39" s="484" t="str">
        <f>IF(AJ39="","",MIN(EOMONTH(AJ39,0),VLOOKUP(AJ39,'IN RPS-2015'!$O$164:$P$202,2,TRUE)-1,LOOKUP(AJ39,$E$47:$F$53)-1,IF(AJ39&lt;$B$2,$B$2-1,'IN RPS-2015'!$Q$9),IF(AJ39&lt;$B$3,$B$3-1,'IN RPS-2015'!$Q$9),IF(AJ39&lt;$B$4,$B$4-1,'IN RPS-2015'!$Q$9),LOOKUP(AJ39,$H$47:$I$53)))</f>
        <v/>
      </c>
      <c r="AL39" s="490" t="str">
        <f>IF(AJ39="","",VLOOKUP(AJ39,'IN RPS-2015'!$P$164:$AA$202,9))</f>
        <v/>
      </c>
      <c r="AM39" s="461" t="str">
        <f t="shared" si="66"/>
        <v/>
      </c>
      <c r="AN39" s="461" t="str">
        <f>IF(AJ39="","",IF(AND($AG$3=$AG$1,AJ39&lt;=$AZ$1),0,ROUND(IF(BB39=3,0,IF(BB39=2,IF(AL39=VLOOKUP(AL39,'IN RPS-2015'!$I$2:$J$5,1),0,Main!$H$9)/2,IF(AL39=VLOOKUP(AL39,'IN RPS-2015'!$I$2:$J$5,1),0,Main!$H$9)))*(DAY(AK39)-DAY(AJ39)+1)/DAY(EOMONTH(AJ39,0)),0)))</f>
        <v/>
      </c>
      <c r="AO39" s="461" t="str">
        <f>IF(AJ39="","",IF(AND($AG$3=$AG$1,AJ39&lt;=$AZ$1),0,IF(AL39=VLOOKUP(AL39,'IN RPS-2015'!$I$2:$J$5,1),0,ROUND(AM39*VLOOKUP(AJ39,$AF$4:$AG$7,2)%,0))))</f>
        <v/>
      </c>
      <c r="AP39" s="461" t="str">
        <f>IF(AJ39="","",IF(AND($AG$3=$AG$1,AJ39&lt;=$AZ$1),0,IF(OR(BB39=3,AL39=VLOOKUP(AL39,'IN RPS-2015'!$I$2:$J$5,1)),0,ROUND(MIN(ROUND(AL39*VLOOKUP(AJ39,$B$1:$G$4,2)%,0),VLOOKUP(AJ39,$B$2:$I$4,IF($AG$3=$I$29,7,8),TRUE))*(DAY(AK39)-DAY(AJ39)+1)/DAY(EOMONTH(AJ39,0)),0))))</f>
        <v/>
      </c>
      <c r="AQ39" s="491" t="str">
        <f>IF(AJ39="","",IF(AND($AG$3=$AG$1,AJ39&lt;=$AZ$1),0,IF(Main!$C$26="UGC",0,IF(OR(AJ39&lt;DATE(2010,4,1),$I$6=VLOOKUP(AJ39,$B$2:$G$4,5,TRUE),AL39=VLOOKUP(AL39,'IN RPS-2015'!$I$2:$J$5,1)),0,ROUND(IF(BB39=3,0,IF(BB39=2,MIN(ROUND(AL39*$G$13%,0),IF(AJ39&lt;$J$152,$G$14,$G$15))/2,MIN(ROUND(AL39*$G$13%,0),IF(AJ39&lt;$J$152,$G$14,$G$15))))*(DAY(AK39)-DAY(AJ39)+1)/DAY(EOMONTH(AJ39,0)),0)))))</f>
        <v/>
      </c>
      <c r="AR39" s="461" t="str">
        <f>IF(AJ39="","",IF(AND($AG$3=$AG$1,AJ39&lt;=$AZ$1),0,IF(Main!$C$26="UGC",0,IF(AL39=VLOOKUP(AL39,'IN RPS-2015'!$I$2:$J$5,1),0,ROUND(AM39*VLOOKUP(AJ39,$AF$11:$AG$12,2)%,0)))))</f>
        <v/>
      </c>
      <c r="AS39" s="461" t="str">
        <f>IF(AJ39="","",IF(AND($AG$3=$AG$1,AJ39&lt;=$AZ$1),0,IF(Main!$C$26="UGC",0,IF(AJ39&lt;DATE(2010,4,1),0,IF(OR(BB39=2,BB39=3,AL39=VLOOKUP(AL39,'IN RPS-2015'!$I$2:$J$5,1)),0,ROUND(IF(AJ39&lt;$J$152,VLOOKUP(AJ39,$B$1:$G$4,4),VLOOKUP(VLOOKUP(AJ39,$B$1:$G$4,4),Main!$CE$2:$CF$5,2,FALSE))*(DAY(AK39)-DAY(AJ39)+1)/DAY(EOMONTH(AJ39,0)),0))))))</f>
        <v/>
      </c>
      <c r="AT39" s="461" t="str">
        <f>IF(AJ39="","",IF(AND($AG$3=$AG$1,AJ39&lt;=$AZ$1),0,IF(OR(BB39=2,BB39=3,$D$31=$D$28,AL39=VLOOKUP(AL39,'IN RPS-2015'!$I$2:$J$5,1)),0,ROUND(MIN(VLOOKUP(AI39,$A$27:$C$29,2,TRUE),ROUND(AL39*VLOOKUP(AI39,$A$27:$C$29,3,TRUE)%,0))*IF(AI39=$A$36,$C$36,IF(AI39=$A$37,$C$37,IF(AI39=$A$38,$C$38,IF(AI39=$A$39,$C$39,IF(AI39=$A$40,$C$40,IF(AI39=$A$41,$C$41,1))))))*(DAY(AK39)-DAY(AJ39)+1)/DAY(EOMONTH(AJ39,0)),0))))</f>
        <v/>
      </c>
      <c r="AU39" s="461" t="str">
        <f>IF(AJ39="","",IF(AND($AG$3=$AG$1,AJ39&lt;=$AZ$1),0,IF(Main!$C$26="UGC",0,IF(OR(BB39=3,AL39=VLOOKUP(AL39,'IN RPS-2015'!$I$2:$J$5,1)),0,ROUND(IF(BB39=2,VLOOKUP(AL39,IF($AG$3=$I$29,$A$20:$E$23,$F$144:$J$147),IF($B$19=VLOOKUP(AJ39,$B$2:$G$4,3,TRUE),2,IF($C$19=VLOOKUP(AJ39,$B$2:$G$4,3,TRUE),3,IF($D$19=VLOOKUP(AJ39,$B$2:$G$4,3,TRUE),4,5))),TRUE),VLOOKUP(AL39,IF($AG$3=$I$29,$A$20:$E$23,$F$144:$J$147),IF($B$19=VLOOKUP(AJ39,$B$2:$G$4,3,TRUE),2,IF($C$19=VLOOKUP(AJ39,$B$2:$G$4,3,TRUE),3,IF($D$19=VLOOKUP(AJ39,$B$2:$G$4,3,TRUE),4,5))),TRUE))*(DAY(AK39)-DAY(AJ39)+1)/DAY(EOMONTH(AJ39,0)),0)))))</f>
        <v/>
      </c>
      <c r="AV39" s="461" t="str">
        <f>IF(AJ39="","",IF(AND($AG$3=$AG$1,AJ39&lt;=$AZ$1),0,IF(Main!$C$26="UGC",0,IF(OR(AI39&lt;DATE(2010,4,1),BB39=3,AL39=VLOOKUP(AL39,'IN RPS-2015'!$I$2:$J$5,1)),0,ROUND(IF(BB39=2,IF(AJ39&lt;$J$152,Main!$L$9,Main!$CI$3)/2,IF(AJ39&lt;$J$152,Main!$L$9,Main!$CI$3))*(DAY(AK39)-DAY(AJ39)+1)/DAY(EOMONTH(AJ39,0)),0)))))</f>
        <v/>
      </c>
      <c r="AW39" s="461"/>
      <c r="AX39" s="461" t="str">
        <f>IF(AJ39="","",IF(AND($AG$3=$AG$1,AJ39&lt;=$AZ$1),0,IF(Main!$C$26="UGC",0,IF(OR(BB39=3,AL39=VLOOKUP(AL39,'IN RPS-2015'!$I$2:$J$5,1)),0,ROUND(IF(BB39=2,VLOOKUP(AM39,IF(AJ39&lt;$J$152,$A$154:$E$159,$F$154:$J$159),IF($B$10=VLOOKUP(AI39,$B$2:$G$4,6,TRUE),2,IF($B$10=VLOOKUP(AI39,$B$2:$G$4,6,TRUE),3,IF($D$10=VLOOKUP(AI39,$B$2:$G$4,6,TRUE),4,5))))/2,VLOOKUP(AM39,IF(AJ39&lt;$J$152,$A$154:$E$159,$F$154:$J$159),IF($B$10=VLOOKUP(AI39,$B$2:$G$4,6,TRUE),2,IF($B$10=VLOOKUP(AI39,$B$2:$G$4,6,TRUE),3,IF($D$10=VLOOKUP(AI39,$B$2:$G$4,6,TRUE),4,5)))))*(DAY(AK39)-DAY(AJ39)+1)/DAY(EOMONTH(AJ39,0)),0)))))</f>
        <v/>
      </c>
      <c r="AY39" s="461">
        <f t="shared" si="67"/>
        <v>0</v>
      </c>
      <c r="AZ39" s="464" t="str">
        <f>IF(AJ39="","",IF(AND($AG$3=$AG$1,AJ39&lt;=$AZ$1),0,IF(AND(Main!$F$22=Main!$CA$24,AJ39&gt;$AZ$1),ROUND(SUM(AM39,AO39)*10%,0),"")))</f>
        <v/>
      </c>
      <c r="BA39" s="464" t="str">
        <f>IF(AI39="","",IF(AND($AG$3=$AG$1,AJ39&lt;=$AZ$1),0,IF(OR(Main!$H$10=Main!$BH$4,Main!$H$10=Main!$BH$5),0,LOOKUP(AY39*DAY(EOMONTH(AJ39,0))/(DAY(AK39)-DAY(AJ39)+1),$H$184:$I$189))))</f>
        <v/>
      </c>
      <c r="BB39" s="497">
        <f t="shared" si="55"/>
        <v>1</v>
      </c>
      <c r="BC39" s="464"/>
      <c r="BD39" s="501" t="str">
        <f t="shared" si="56"/>
        <v/>
      </c>
      <c r="BE39" s="502" t="str">
        <f t="shared" si="85"/>
        <v/>
      </c>
      <c r="BF39" s="484" t="str">
        <f>IF(BE39="","",MIN(EOMONTH(BE39,0),VLOOKUP(BE39,'IN RPS-2015'!$O$164:$P$202,2,TRUE)-1,LOOKUP(BE39,$E$47:$F$53)-1,IF(BE39&lt;$B$2,$B$2-1,'IN RPS-2015'!$Q$9),IF(BE39&lt;$B$3,$B$3-1,'IN RPS-2015'!$Q$9),IF(BE39&lt;$B$4,$B$4-1,'IN RPS-2015'!$Q$9),LOOKUP(BE39,$H$47:$I$53)))</f>
        <v/>
      </c>
      <c r="BG39" s="493" t="str">
        <f>IF(BE39="","",VLOOKUP(BE39,'IN RPS-2015'!$P$164:$AA$202,10))</f>
        <v/>
      </c>
      <c r="BH39" s="461" t="str">
        <f t="shared" si="68"/>
        <v/>
      </c>
      <c r="BI39" s="461" t="str">
        <f>IF(BE39="","",IF(AND($AG$3=$AG$1,BE39&lt;=$AZ$1),0,ROUND(IF(BW39=3,0,IF(BW39=2,IF(BG39=VLOOKUP(BG39,'IN RPS-2015'!$I$2:$J$5,1),0,Main!$H$9)/2,IF(BG39=VLOOKUP(BG39,'IN RPS-2015'!$I$2:$J$5,1),0,Main!$H$9)))*(DAY(BF39)-DAY(BE39)+1)/DAY(EOMONTH(BE39,0)),0)))</f>
        <v/>
      </c>
      <c r="BJ39" s="461" t="str">
        <f>IF(BE39="","",IF(AND($AG$3=$AG$1,BE39&lt;=$AZ$1),0,IF(BG39=VLOOKUP(BG39,'IN RPS-2015'!$I$2:$J$5,1),0,ROUND(BH39*VLOOKUP(BE39,$AF$4:$AG$7,2)%,0))))</f>
        <v/>
      </c>
      <c r="BK39" s="461" t="str">
        <f>IF(BE39="","",IF(AND($AG$3=$AG$1,BE39&lt;=$AZ$1),0,IF(OR(BW39=3,BG39=VLOOKUP(BG39,'IN RPS-2015'!$I$2:$J$5,1)),0,ROUND(MIN(ROUND(BG39*VLOOKUP(BE39,$B$1:$G$4,2)%,0),VLOOKUP(BE39,$B$2:$I$4,IF($AG$3=$I$29,7,8),TRUE))*(DAY(BF39)-DAY(BE39)+1)/DAY(EOMONTH(BE39,0)),0))))</f>
        <v/>
      </c>
      <c r="BL39" s="491" t="str">
        <f>IF(BE39="","",IF(AND($AG$3=$AG$1,BE39&lt;=$AZ$1),0,IF(Main!$C$26="UGC",0,IF(OR(BE39&lt;DATE(2010,4,1),$I$6=VLOOKUP(BE39,$B$2:$G$4,5,TRUE),BG39=VLOOKUP(BG39,'IN RPS-2015'!$I$2:$J$5,1)),0,ROUND(IF(BW39=3,0,IF(BW39=2,MIN(ROUND(BG39*$G$13%,0),IF(BE39&lt;$J$152,$G$14,$G$15))/2,MIN(ROUND(BG39*$G$13%,0),IF(BE39&lt;$J$152,$G$14,$G$15))))*(DAY(BF39)-DAY(BE39)+1)/DAY(EOMONTH(BE39,0)),0)))))</f>
        <v/>
      </c>
      <c r="BM39" s="461" t="str">
        <f>IF(BE39="","",IF(AND($AG$3=$AG$1,BE39&lt;=$AZ$1),0,IF(Main!$C$26="UGC",0,IF(BG39=VLOOKUP(BG39,'IN RPS-2015'!$I$2:$J$5,1),0,ROUND(BH39*VLOOKUP(BE39,$AF$11:$AG$12,2)%,0)))))</f>
        <v/>
      </c>
      <c r="BN39" s="461" t="str">
        <f>IF(BE39="","",IF(AND($AG$3=$AG$1,BE39&lt;=$AZ$1),0,IF(Main!$C$26="UGC",0,IF(BE39&lt;DATE(2010,4,1),0,IF(OR(BW39=2,BW39=3,BG39=VLOOKUP(BG39,'IN RPS-2015'!$I$2:$J$5,1)),0,ROUND(IF(BE39&lt;$J$152,VLOOKUP(BE39,$B$1:$G$4,4),VLOOKUP(VLOOKUP(BE39,$B$1:$G$4,4),Main!$CE$2:$CF$5,2,FALSE))*(DAY(BF39)-DAY(BE39)+1)/DAY(EOMONTH(BE39,0)),0))))))</f>
        <v/>
      </c>
      <c r="BO39" s="461" t="str">
        <f>IF(BE39="","",IF(AND($AG$3=$AG$1,BE39&lt;=$AZ$1),0,IF(OR(BW39=2,BW39=3,$D$31=$D$28,BG39=VLOOKUP(BG39,'IN RPS-2015'!$I$2:$J$5,1)),0,ROUND(MIN(VLOOKUP(BD39,$A$27:$C$29,2,TRUE),ROUND(BG39*VLOOKUP(BD39,$A$27:$C$29,3,TRUE)%,0))*IF(BD39=$A$36,$C$36,IF(BD39=$A$37,$C$37,IF(BD39=$A$38,$C$38,IF(BD39=$A$39,$C$39,IF(BD39=$A$40,$C$40,IF(BD39=$A$41,$C$41,1))))))*(DAY(BF39)-DAY(BE39)+1)/DAY(EOMONTH(BE39,0)),0))))</f>
        <v/>
      </c>
      <c r="BP39" s="461" t="str">
        <f>IF(BE39="","",IF(AND($AG$3=$AG$1,BE39&lt;=$AZ$1),0,IF(Main!$C$26="UGC",0,IF(OR(BW39=3,BG39=VLOOKUP(BG39,'IN RPS-2015'!$I$2:$J$5,1)),0,ROUND(IF(BW39=2,VLOOKUP(BG39,IF($AG$3=$I$29,$A$20:$E$23,$F$144:$J$147),IF($B$19=VLOOKUP(BE39,$B$2:$G$4,3,TRUE),2,IF($C$19=VLOOKUP(BE39,$B$2:$G$4,3,TRUE),3,IF($D$19=VLOOKUP(BE39,$B$2:$G$4,3,TRUE),4,5))),TRUE),VLOOKUP(BG39,IF($AG$3=$I$29,$A$20:$E$23,$F$144:$J$147),IF($B$19=VLOOKUP(BE39,$B$2:$G$4,3,TRUE),2,IF($C$19=VLOOKUP(BE39,$B$2:$G$4,3,TRUE),3,IF($D$19=VLOOKUP(BE39,$B$2:$G$4,3,TRUE),4,5))),TRUE))*(DAY(BF39)-DAY(BE39)+1)/DAY(EOMONTH(BE39,0)),0)))))</f>
        <v/>
      </c>
      <c r="BQ39" s="461" t="str">
        <f>IF(BE39="","",IF(AND($AG$3=$AG$1,BE39&lt;=$AZ$1),0,IF(Main!$C$26="UGC",0,IF(OR(BD39&lt;DATE(2010,4,1),BW39=3,BG39=VLOOKUP(BG39,'IN RPS-2015'!$I$2:$J$5,1)),0,ROUND(IF(BW39=2,IF(BE39&lt;$J$152,Main!$L$9,Main!$CI$3)/2,IF(BE39&lt;$J$152,Main!$L$9,Main!$CI$3))*(DAY(BF39)-DAY(BE39)+1)/DAY(EOMONTH(BE39,0)),0)))))</f>
        <v/>
      </c>
      <c r="BR39" s="461"/>
      <c r="BS39" s="461" t="str">
        <f>IF(BE39="","",IF(AND($AG$3=$AG$1,BE39&lt;=$AZ$1),0,IF(Main!$C$26="UGC",0,IF(OR(BW39=3,BG39=VLOOKUP(BG39,'IN RPS-2015'!$I$2:$J$5,1)),0,ROUND(IF(BW39=2,VLOOKUP(BH39,IF(BE39&lt;$J$152,$A$154:$E$159,$F$154:$J$159),IF($B$10=VLOOKUP(BD39,$B$2:$G$4,6,TRUE),2,IF($B$10=VLOOKUP(BD39,$B$2:$G$4,6,TRUE),3,IF($D$10=VLOOKUP(BD39,$B$2:$G$4,6,TRUE),4,5))))/2,VLOOKUP(BH39,IF(BE39&lt;$J$152,$A$154:$E$159,$F$154:$J$159),IF($B$10=VLOOKUP(BD39,$B$2:$G$4,6,TRUE),2,IF($B$10=VLOOKUP(BD39,$B$2:$G$4,6,TRUE),3,IF($D$10=VLOOKUP(BD39,$B$2:$G$4,6,TRUE),4,5)))))*(DAY(BF39)-DAY(BE39)+1)/DAY(EOMONTH(BE39,0)),0)))))</f>
        <v/>
      </c>
      <c r="BT39" s="461">
        <f t="shared" si="69"/>
        <v>0</v>
      </c>
      <c r="BU39" s="464" t="str">
        <f>IF(BE39="","",IF(AND($AG$3=$AG$1,BE39&lt;=$AZ$1),0,IF(AND(Main!$F$22=Main!$CA$24,BE39&gt;$AZ$1),ROUND(SUM(BH39,BJ39)*10%,0),"")))</f>
        <v/>
      </c>
      <c r="BV39" s="464" t="str">
        <f>IF(BD39="","",IF(AND($AG$3=$AG$1,BE39&lt;=$AZ$1),0,IF(OR(Main!$H$10=Main!$BH$4,Main!$H$10=Main!$BH$5),0,LOOKUP(BT39*DAY(EOMONTH(BE39,0))/(DAY(BF39)-DAY(BE39)+1),$H$184:$I$189))))</f>
        <v/>
      </c>
      <c r="BW39" s="503">
        <f t="shared" si="70"/>
        <v>1</v>
      </c>
      <c r="BX39" s="457">
        <f t="shared" si="90"/>
        <v>0</v>
      </c>
      <c r="BY39" s="457"/>
      <c r="BZ39" s="457"/>
      <c r="CA39" s="457"/>
      <c r="CB39" s="461"/>
      <c r="CC39" s="499" t="str">
        <f t="shared" si="57"/>
        <v/>
      </c>
      <c r="CD39" s="500" t="str">
        <f t="shared" si="86"/>
        <v/>
      </c>
      <c r="CE39" s="484" t="str">
        <f>IF(CD39="","",MIN(EOMONTH(CD39,0),VLOOKUP(CD39,'IN RPS-2015'!$O$164:$P$202,2,TRUE)-1,LOOKUP(CD39,$E$47:$F$53)-1,IF(CD39&lt;$B$2,$B$2-1,'IN RPS-2015'!$Q$9),IF(CD39&lt;$B$3,$B$3-1,'IN RPS-2015'!$Q$9),IF(CD39&lt;$B$4,$B$4-1,'IN RPS-2015'!$Q$9),LOOKUP(CD39,$H$47:$I$53)))</f>
        <v/>
      </c>
      <c r="CF39" s="490" t="str">
        <f>IF(CD39="","",VLOOKUP(CD39,'IN RPS-2015'!$T$207:$Y$222,5))</f>
        <v/>
      </c>
      <c r="CG39" s="461" t="str">
        <f t="shared" si="72"/>
        <v/>
      </c>
      <c r="CH39" s="461" t="str">
        <f>IF(CD39="","",IF(AND($CA$3=$CA$1,CD39&lt;=$CT$1),0,ROUND(IF(CV39=3,0,IF(CV39=2,IF(CF39=VLOOKUP(CF39,'IN RPS-2015'!$I$2:$J$5,1),0,Main!$H$9)/2,IF(CF39=VLOOKUP(CF39,'IN RPS-2015'!$I$2:$J$5,1),0,Main!$H$9)))*(DAY(CE39)-DAY(CD39)+1)/DAY(EOMONTH(CD39,0)),0)))</f>
        <v/>
      </c>
      <c r="CI39" s="461" t="str">
        <f>IF(CD39="","",IF(AND($CA$3=$CA$1,CD39&lt;=$CT$1),0,IF(CF39=VLOOKUP(CF39,'IN RPS-2015'!$I$2:$J$5,1),0,ROUND(CG39*VLOOKUP(CD39,$BZ$4:$CA$7,2)%,0))))</f>
        <v/>
      </c>
      <c r="CJ39" s="461" t="str">
        <f>IF(CD39="","",IF(AND($CA$3=$CA$1,CD39&lt;=$CT$1),0,IF(OR(CV39=3,CF39=VLOOKUP(CF39,'IN RPS-2015'!$I$2:$J$5,1)),0,ROUND(MIN(ROUND(CF39*VLOOKUP(CD39,$B$1:$G$4,2)%,0),VLOOKUP(CD39,$B$2:$I$4,IF($CA$3=$I$29,7,8),TRUE))*(DAY(CE39)-DAY(CD39)+1)/DAY(EOMONTH(CD39,0)),0))))</f>
        <v/>
      </c>
      <c r="CK39" s="491" t="str">
        <f>IF(CD39="","",IF(AND($CA$3=$CA$1,CD39&lt;=$CT$1),0,IF(Main!$C$26="UGC",0,IF(OR(CD39&lt;DATE(2010,4,1),$I$6=VLOOKUP(CD39,$B$2:$G$4,5,TRUE),CF39=VLOOKUP(CF39,'IN RPS-2015'!$I$2:$J$5,1)),0,ROUND(IF(CV39=3,0,IF(CV39=2,MIN(ROUND(CF39*$G$13%,0),IF(CD39&lt;$J$152,$G$14,$G$15))/2,MIN(ROUND(CF39*$G$13%,0),IF(CD39&lt;$J$152,$G$14,$G$15))))*(DAY(CE39)-DAY(CD39)+1)/DAY(EOMONTH(CD39,0)),0)))))</f>
        <v/>
      </c>
      <c r="CL39" s="461" t="str">
        <f>IF(CD39="","",IF(AND($CA$3=$CA$1,CD39&lt;=$CT$1),0,IF(Main!$C$26="UGC",0,IF(CF39=VLOOKUP(CF39,'IN RPS-2015'!$I$2:$J$5,1),0,ROUND(CG39*VLOOKUP(CD39,$BZ$11:$CA$12,2)%,0)))))</f>
        <v/>
      </c>
      <c r="CM39" s="461" t="str">
        <f>IF(CD39="","",IF(AND($CA$3=$CA$1,CD39&lt;=$CT$1),0,IF(Main!$C$26="UGC",0,IF(CD39&lt;DATE(2010,4,1),0,IF(OR(CV39=2,CV39=3,CF39=VLOOKUP(CF39,'IN RPS-2015'!$I$2:$J$5,1)),0,ROUND(IF(CD39&lt;$J$152,VLOOKUP(CD39,$B$1:$G$4,4),VLOOKUP(VLOOKUP(CD39,$B$1:$G$4,4),Main!$CE$2:$CF$5,2,FALSE))*(DAY(CE39)-DAY(CD39)+1)/DAY(EOMONTH(CD39,0)),0))))))</f>
        <v/>
      </c>
      <c r="CN39" s="461" t="str">
        <f>IF(CD39="","",IF(AND($CA$3=$CA$1,CD39&lt;=$CT$1),0,IF(OR(CV39=2,CV39=3,$D$31=$D$28,CF39=VLOOKUP(CF39,'IN RPS-2015'!$I$2:$J$5,1)),0,ROUND(MIN(VLOOKUP(CC39,$A$27:$C$29,2,TRUE),ROUND(CF39*VLOOKUP(CC39,$A$27:$C$29,3,TRUE)%,0))*IF(CC39=$A$36,$C$36,IF(CC39=$A$37,$C$37,IF(CC39=$A$38,$C$38,IF(CC39=$A$39,$C$39,IF(CC39=$A$40,$C$40,IF(CC39=$A$41,$C$41,1))))))*(DAY(CE39)-DAY(CD39)+1)/DAY(EOMONTH(CD39,0)),0))))</f>
        <v/>
      </c>
      <c r="CO39" s="461" t="str">
        <f>IF(CD39="","",IF(AND($CA$3=$CA$1,CD39&lt;=$CT$1),0,IF(Main!$C$26="UGC",0,IF(OR(CV39=3,CF39=VLOOKUP(CF39,'IN RPS-2015'!$I$2:$J$5,1)),0,ROUND(IF(CV39=2,VLOOKUP(CF39,IF($CA$3=$I$29,$A$20:$E$23,$F$144:$J$147),IF($B$19=VLOOKUP(CD39,$B$2:$G$4,3,TRUE),2,IF($C$19=VLOOKUP(CD39,$B$2:$G$4,3,TRUE),3,IF($D$19=VLOOKUP(CD39,$B$2:$G$4,3,TRUE),4,5))),TRUE),VLOOKUP(CF39,IF($CA$3=$I$29,$A$20:$E$23,$F$144:$J$147),IF($B$19=VLOOKUP(CD39,$B$2:$G$4,3,TRUE),2,IF($C$19=VLOOKUP(CD39,$B$2:$G$4,3,TRUE),3,IF($D$19=VLOOKUP(CD39,$B$2:$G$4,3,TRUE),4,5))),TRUE))*(DAY(CE39)-DAY(CD39)+1)/DAY(EOMONTH(CD39,0)),0)))))</f>
        <v/>
      </c>
      <c r="CP39" s="461" t="str">
        <f>IF(CD39="","",IF(AND($CA$3=$CA$1,CD39&lt;=$CT$1),0,IF(Main!$C$26="UGC",0,IF(OR(CC39&lt;DATE(2010,4,1),CV39=3,CF39=VLOOKUP(CF39,'IN RPS-2015'!$I$2:$J$5,1)),0,ROUND(IF(CV39=2,IF(CD39&lt;$J$152,Main!$L$9,Main!$CI$3)/2,IF(CD39&lt;$J$152,Main!$L$9,Main!$CI$3))*(DAY(CE39)-DAY(CD39)+1)/DAY(EOMONTH(CD39,0)),0)))))</f>
        <v/>
      </c>
      <c r="CQ39" s="461"/>
      <c r="CR39" s="461" t="str">
        <f>IF(CD39="","",IF(AND($CA$3=$CA$1,CD39&lt;=$CT$1),0,IF(Main!$C$26="UGC",0,IF(OR(CV39=3,CF39=VLOOKUP(CF39,'IN RPS-2015'!$I$2:$J$5,1)),0,ROUND(IF(CV39=2,VLOOKUP(CG39,IF(CD39&lt;$J$152,$A$154:$E$159,$F$154:$J$159),IF($B$10=VLOOKUP(CC39,$B$2:$G$4,6,TRUE),2,IF($B$10=VLOOKUP(CC39,$B$2:$G$4,6,TRUE),3,IF($D$10=VLOOKUP(CC39,$B$2:$G$4,6,TRUE),4,5))))/2,VLOOKUP(CG39,IF(CD39&lt;$J$152,$A$154:$E$159,$F$154:$J$159),IF($B$10=VLOOKUP(CC39,$B$2:$G$4,6,TRUE),2,IF($B$10=VLOOKUP(CC39,$B$2:$G$4,6,TRUE),3,IF($D$10=VLOOKUP(CC39,$B$2:$G$4,6,TRUE),4,5)))))*(DAY(CE39)-DAY(CD39)+1)/DAY(EOMONTH(CD39,0)),0)))))</f>
        <v/>
      </c>
      <c r="CS39" s="461">
        <f t="shared" si="73"/>
        <v>0</v>
      </c>
      <c r="CT39" s="464" t="str">
        <f>IF(CD39="","",IF(AND($CA$3=$CA$1,CD39&lt;=$CT$1),0,IF(AND(Main!$F$22=Main!$CA$24,CD39&gt;$CT$1),ROUND(SUM(CG39,CI39)*10%,0),"")))</f>
        <v/>
      </c>
      <c r="CU39" s="464" t="str">
        <f>IF(CC39="","",IF(CG39=0,0,IF(OR(Main!$H$10=Main!$BH$4,Main!$H$10=Main!$BH$5),0,LOOKUP(CS39*DAY(EOMONTH(CD39,0))/(DAY(CE39)-DAY(CD39)+1),$H$184:$I$189))))</f>
        <v/>
      </c>
      <c r="CV39" s="457">
        <f t="shared" si="74"/>
        <v>1</v>
      </c>
      <c r="CW39" s="464"/>
      <c r="CX39" s="501" t="str">
        <f t="shared" si="59"/>
        <v/>
      </c>
      <c r="CY39" s="502" t="str">
        <f t="shared" si="87"/>
        <v/>
      </c>
      <c r="CZ39" s="484" t="str">
        <f>IF(CY39="","",MIN(EOMONTH(CY39,0),VLOOKUP(CY39,'IN RPS-2015'!$O$164:$P$202,2,TRUE)-1,LOOKUP(CY39,$E$47:$F$53)-1,IF(CY39&lt;$B$2,$B$2-1,'IN RPS-2015'!$Q$9),IF(CY39&lt;$B$3,$B$3-1,'IN RPS-2015'!$Q$9),IF(CY39&lt;$B$4,$B$4-1,'IN RPS-2015'!$Q$9),LOOKUP(CY39,$H$47:$I$53)))</f>
        <v/>
      </c>
      <c r="DA39" s="493" t="str">
        <f>IF(CY39="","",VLOOKUP(CY39,'IN RPS-2015'!$T$207:$Y$222,6))</f>
        <v/>
      </c>
      <c r="DB39" s="461" t="str">
        <f t="shared" si="75"/>
        <v/>
      </c>
      <c r="DC39" s="461" t="str">
        <f>IF(CY39="","",IF(AND($CA$3=$CA$1,CY39&lt;=$CT$1),0,ROUND(IF(DQ39=3,0,IF(DQ39=2,IF(DA39=VLOOKUP(DA39,'IN RPS-2015'!$I$2:$J$5,1),0,Main!$H$9)/2,IF(DA39=VLOOKUP(DA39,'IN RPS-2015'!$I$2:$J$5,1),0,Main!$H$9)))*(DAY(CZ39)-DAY(CY39)+1)/DAY(EOMONTH(CY39,0)),0)))</f>
        <v/>
      </c>
      <c r="DD39" s="461" t="str">
        <f>IF(CY39="","",IF(AND($CA$3=$CA$1,CY39&lt;=$CT$1),0,IF(DA39=VLOOKUP(DA39,'IN RPS-2015'!$I$2:$J$5,1),0,ROUND(DB39*VLOOKUP(CY39,$BZ$4:$CA$7,2)%,0))))</f>
        <v/>
      </c>
      <c r="DE39" s="461" t="str">
        <f>IF(CY39="","",IF(AND($CA$3=$CA$1,CY39&lt;=$CT$1),0,IF(OR(DQ39=3,DA39=VLOOKUP(DA39,'IN RPS-2015'!$I$2:$J$5,1)),0,ROUND(MIN(ROUND(DA39*VLOOKUP(CY39,$B$1:$G$4,2)%,0),VLOOKUP(CY39,$B$2:$I$4,IF($CA$3=$I$29,7,8),TRUE))*(DAY(CZ39)-DAY(CY39)+1)/DAY(EOMONTH(CY39,0)),0))))</f>
        <v/>
      </c>
      <c r="DF39" s="491" t="str">
        <f>IF(CY39="","",IF(AND($CA$3=$CA$1,CY39&lt;=$CT$1),0,IF(Main!$C$26="UGC",0,IF(OR(CY39&lt;DATE(2010,4,1),$I$6=VLOOKUP(CY39,$B$2:$G$4,5,TRUE),DA39=VLOOKUP(DA39,'IN RPS-2015'!$I$2:$J$5,1)),0,ROUND(IF(DQ39=3,0,IF(DQ39=2,MIN(ROUND(DA39*$G$13%,0),IF(CY39&lt;$J$152,$G$14,$G$15))/2,MIN(ROUND(DA39*$G$13%,0),IF(CY39&lt;$J$152,$G$14,$G$15))))*(DAY(CZ39)-DAY(CY39)+1)/DAY(EOMONTH(CY39,0)),0)))))</f>
        <v/>
      </c>
      <c r="DG39" s="461" t="str">
        <f>IF(CY39="","",IF(AND($CA$3=$CA$1,CY39&lt;=$CT$1),0,IF(Main!$C$26="UGC",0,IF(DA39=VLOOKUP(DA39,'IN RPS-2015'!$I$2:$J$5,1),0,ROUND(DB39*VLOOKUP(CY39,$BZ$11:$CA$12,2)%,0)))))</f>
        <v/>
      </c>
      <c r="DH39" s="461" t="str">
        <f>IF(CY39="","",IF(AND($CA$3=$CA$1,CY39&lt;=$CT$1),0,IF(Main!$C$26="UGC",0,IF(CY39&lt;DATE(2010,4,1),0,IF(OR(DQ39=2,DQ39=3,DA39=VLOOKUP(DA39,'IN RPS-2015'!$I$2:$J$5,1)),0,ROUND(IF(CY39&lt;$J$152,VLOOKUP(CY39,$B$1:$G$4,4),VLOOKUP(VLOOKUP(CY39,$B$1:$G$4,4),Main!$CE$2:$CF$5,2,FALSE))*(DAY(CZ39)-DAY(CY39)+1)/DAY(EOMONTH(CY39,0)),0))))))</f>
        <v/>
      </c>
      <c r="DI39" s="461" t="str">
        <f>IF(CY39="","",IF(AND($CA$3=$CA$1,CY39&lt;=$CT$1),0,IF(OR(DQ39=2,DQ39=3,$D$31=$D$28,DA39=VLOOKUP(DA39,'IN RPS-2015'!$I$2:$J$5,1)),0,ROUND(MIN(VLOOKUP(CX39,$A$27:$C$29,2,TRUE),ROUND(DA39*VLOOKUP(CX39,$A$27:$C$29,3,TRUE)%,0))*IF(CX39=$A$36,$C$36,IF(CX39=$A$37,$C$37,IF(CX39=$A$38,$C$38,IF(CX39=$A$39,$C$39,IF(CX39=$A$40,$C$40,IF(CX39=$A$41,$C$41,1))))))*(DAY(CZ39)-DAY(CY39)+1)/DAY(EOMONTH(CY39,0)),0))))</f>
        <v/>
      </c>
      <c r="DJ39" s="461" t="str">
        <f>IF(CY39="","",IF(AND($CA$3=$CA$1,CY39&lt;=$CT$1),0,IF(Main!$C$26="UGC",0,IF(OR(DQ39=3,DA39=VLOOKUP(DA39,'IN RPS-2015'!$I$2:$J$5,1)),0,ROUND(IF(DQ39=2,VLOOKUP(DA39,IF($CA$3=$I$29,$A$20:$E$23,$F$144:$J$147),IF($B$19=VLOOKUP(CY39,$B$2:$G$4,3,TRUE),2,IF($C$19=VLOOKUP(CY39,$B$2:$G$4,3,TRUE),3,IF($D$19=VLOOKUP(CY39,$B$2:$G$4,3,TRUE),4,5))),TRUE),VLOOKUP(DA39,IF($CA$3=$I$29,$A$20:$E$23,$F$144:$J$147),IF($B$19=VLOOKUP(CY39,$B$2:$G$4,3,TRUE),2,IF($C$19=VLOOKUP(CY39,$B$2:$G$4,3,TRUE),3,IF($D$19=VLOOKUP(CY39,$B$2:$G$4,3,TRUE),4,5))),TRUE))*(DAY(CZ39)-DAY(CY39)+1)/DAY(EOMONTH(CY39,0)),0)))))</f>
        <v/>
      </c>
      <c r="DK39" s="461" t="str">
        <f>IF(CY39="","",IF(AND($CA$3=$CA$1,CY39&lt;=$CT$1),0,IF(Main!$C$26="UGC",0,IF(OR(CX39&lt;DATE(2010,4,1),DQ39=3,DA39=VLOOKUP(DA39,'IN RPS-2015'!$I$2:$J$5,1)),0,ROUND(IF(DQ39=2,IF(CY39&lt;$J$152,Main!$L$9,Main!$CI$3)/2,IF(CY39&lt;$J$152,Main!$L$9,Main!$CI$3))*(DAY(CZ39)-DAY(CY39)+1)/DAY(EOMONTH(CY39,0)),0)))))</f>
        <v/>
      </c>
      <c r="DL39" s="461"/>
      <c r="DM39" s="461" t="str">
        <f>IF(CY39="","",IF(AND($CA$3=$CA$1,CY39&lt;=$CT$1),0,IF(Main!$C$26="UGC",0,IF(OR(DQ39=3,DA39=VLOOKUP(DA39,'IN RPS-2015'!$I$2:$J$5,1)),0,ROUND(IF(DQ39=2,VLOOKUP(DB39,IF(CY39&lt;$J$152,$A$154:$E$159,$F$154:$J$159),IF($B$10=VLOOKUP(CX39,$B$2:$G$4,6,TRUE),2,IF($B$10=VLOOKUP(CX39,$B$2:$G$4,6,TRUE),3,IF($D$10=VLOOKUP(CX39,$B$2:$G$4,6,TRUE),4,5))))/2,VLOOKUP(DB39,IF(CY39&lt;$J$152,$A$154:$E$159,$F$154:$J$159),IF($B$10=VLOOKUP(CX39,$B$2:$G$4,6,TRUE),2,IF($B$10=VLOOKUP(CX39,$B$2:$G$4,6,TRUE),3,IF($D$10=VLOOKUP(CX39,$B$2:$G$4,6,TRUE),4,5)))))*(DAY(CZ39)-DAY(CY39)+1)/DAY(EOMONTH(CY39,0)),0)))))</f>
        <v/>
      </c>
      <c r="DN39" s="461">
        <f t="shared" si="76"/>
        <v>0</v>
      </c>
      <c r="DO39" s="464" t="str">
        <f>IF(CY39="","",IF(AND($CA$3=$CA$1,CY39&lt;=$CT$1),0,IF(AND(Main!$F$22=Main!$CA$24,CY39&gt;$CT$1),ROUND(SUM(DB39,DD39)*10%,0),"")))</f>
        <v/>
      </c>
      <c r="DP39" s="464" t="str">
        <f>IF(CX39="","",IF(AND($CA$3=$CA$1,CY39&lt;=$CT$1),0,IF(OR(Main!$H$10=Main!$BH$4,Main!$H$10=Main!$BH$5),0,LOOKUP(DN39*DAY(EOMONTH(CY39,0))/(DAY(CZ39)-DAY(CY39)+1),$H$184:$I$189))))</f>
        <v/>
      </c>
      <c r="DQ39" s="457">
        <f t="shared" si="60"/>
        <v>1</v>
      </c>
      <c r="DR39" s="457">
        <f t="shared" si="77"/>
        <v>0</v>
      </c>
      <c r="DS39" s="457"/>
      <c r="DT39" s="457"/>
      <c r="DU39" s="457"/>
      <c r="DV39" s="461"/>
      <c r="DW39" s="499" t="str">
        <f t="shared" si="61"/>
        <v/>
      </c>
      <c r="DX39" s="500" t="str">
        <f t="shared" si="88"/>
        <v/>
      </c>
      <c r="DY39" s="484" t="str">
        <f>IF(DX39="","",MIN(EOMONTH(DX39,0),VLOOKUP(DX39,'IN RPS-2015'!$O$164:$P$202,2,TRUE)-1,LOOKUP(DX39,$E$47:$F$53)-1,IF(DX39&lt;$B$2,$B$2-1,'IN RPS-2015'!$Q$9),IF(DX39&lt;$B$3,$B$3-1,'IN RPS-2015'!$Q$9),IF(DX39&lt;$B$4,$B$4-1,'IN RPS-2015'!$Q$9),LOOKUP(DX39,$H$47:$I$53)))</f>
        <v/>
      </c>
      <c r="DZ39" s="490" t="str">
        <f>IF(DX39="","",VLOOKUP(DX39,'IN RPS-2015'!$P$164:$AA$202,11))</f>
        <v/>
      </c>
      <c r="EA39" s="461" t="str">
        <f t="shared" si="78"/>
        <v/>
      </c>
      <c r="EB39" s="461" t="str">
        <f>IF(DX39="","",ROUND(IF(EP39=3,0,IF(EP39=2,IF(DZ39=VLOOKUP(DZ39,'IN RPS-2015'!$I$2:$J$5,1),0,Main!$H$9)/2,IF(DZ39=VLOOKUP(DZ39,'IN RPS-2015'!$I$2:$J$5,1),0,Main!$H$9)))*(DAY(DY39)-DAY(DX39)+1)/DAY(EOMONTH(DX39,0)),0))</f>
        <v/>
      </c>
      <c r="EC39" s="461" t="str">
        <f>IF(DX39="","",IF(DZ39=VLOOKUP(DZ39,'IN RPS-2015'!$I$2:$J$5,1),0,ROUND(EA39*VLOOKUP(DX39,$DT$4:$DU$7,2)%,0)))</f>
        <v/>
      </c>
      <c r="ED39" s="461" t="str">
        <f>IF(DX39="","",IF(OR(EP39=3,DZ39=VLOOKUP(DZ39,'IN RPS-2015'!$I$2:$J$5,1)),0,ROUND(MIN(ROUND(DZ39*VLOOKUP(DX39,$B$1:$G$4,2)%,0),VLOOKUP(DX39,$B$2:$I$4,IF($DU$3=$I$29,7,8),TRUE))*(DAY(DY39)-DAY(DX39)+1)/DAY(EOMONTH(DX39,0)),0)))</f>
        <v/>
      </c>
      <c r="EE39" s="491" t="str">
        <f>IF(DX39="","",IF(Main!$C$26="UGC",0,IF(OR(DX39&lt;DATE(2010,4,1),$I$6=VLOOKUP(DX39,$B$2:$G$4,5,TRUE),DZ39=VLOOKUP(DZ39,'IN RPS-2015'!$I$2:$J$5,1)),0,ROUND(IF(EP39=3,0,IF(EP39=2,MIN(ROUND(DZ39*$G$13%,0),IF(DX39&lt;$I$152,$G$14,$G$15))/2,MIN(ROUND(DZ39*$G$13%,0),IF(DX39&lt;$I$152,$G$14,$G$15))))*(DAY(DY39)-DAY(DX39)+1)/DAY(EOMONTH(DX39,0)),0))))</f>
        <v/>
      </c>
      <c r="EF39" s="461" t="str">
        <f>IF(DX39="","",IF(Main!$C$26="UGC",0,IF(DZ39=VLOOKUP(DZ39,'IN RPS-2015'!$I$2:$J$5,1),0,ROUND(EA39*VLOOKUP(DX39,$DT$11:$DU$12,2)%,0))))</f>
        <v/>
      </c>
      <c r="EG39" s="461" t="str">
        <f>IF(DX39="","",IF(Main!$C$26="UGC",0,IF(DX39&lt;DATE(2010,4,1),0,IF(OR(EP39=2,EP39=3,DZ39=VLOOKUP(DZ39,'IN RPS-2015'!$I$2:$J$5,1)),0,ROUND(IF(DX39&lt;$I$152,VLOOKUP(DX39,$B$1:$G$4,4),VLOOKUP(VLOOKUP(DX39,$B$1:$G$4,4),Main!$CE$2:$CF$5,2,FALSE))*(DAY(DY39)-DAY(DX39)+1)/DAY(EOMONTH(DX39,0)),0)))))</f>
        <v/>
      </c>
      <c r="EH39" s="461" t="str">
        <f>IF(DX39="","",IF(OR(EP39=2,EP39=3,$D$31=$D$28,DZ39=VLOOKUP(DZ39,'IN RPS-2015'!$I$2:$J$5,1)),0,ROUND(MIN(IF(DX39&lt;$I$152,900,1350),ROUND(DZ39*VLOOKUP(DW39,$A$27:$C$29,3,TRUE)%,0))*IF(DW39=$A$36,$C$36,IF(DW39=$A$37,$C$37,IF(DW39=$A$38,$C$38,IF(DW39=$A$39,$C$39,IF(DW39=$A$40,$C$40,IF(DW39=$A$41,$C$41,1))))))*(DAY(DY39)-DAY(DX39)+1)/DAY(EOMONTH(DX39,0)),0)))</f>
        <v/>
      </c>
      <c r="EI39" s="461" t="str">
        <f>IF(DX39="","",IF(Main!$C$26="UGC",0,IF(OR(EP39=3,DZ39=VLOOKUP(DZ39,'IN RPS-2015'!$I$2:$J$5,1)),0,ROUND(IF(EP39=2,VLOOKUP(DZ39,IF($DU$3=$I$29,$A$20:$E$23,$F$144:$J$147),IF($B$19=VLOOKUP(DX39,$B$2:$G$4,3,TRUE),2,IF($C$19=VLOOKUP(DX39,$B$2:$G$4,3,TRUE),3,IF($D$19=VLOOKUP(DX39,$B$2:$G$4,3,TRUE),4,5))),TRUE),VLOOKUP(DZ39,IF($DU$3=$I$29,$A$20:$E$23,$F$144:$J$147),IF($B$19=VLOOKUP(DX39,$B$2:$G$4,3,TRUE),2,IF($C$19=VLOOKUP(DX39,$B$2:$G$4,3,TRUE),3,IF($D$19=VLOOKUP(DX39,$B$2:$G$4,3,TRUE),4,5))),TRUE))*(DAY(DY39)-DAY(DX39)+1)/DAY(EOMONTH(DX39,0)),0))))</f>
        <v/>
      </c>
      <c r="EJ39" s="461" t="str">
        <f>IF(DX39="","",IF(Main!$C$26="UGC",0,IF(OR(DW39&lt;DATE(2010,4,1),EP39=3,DZ39=VLOOKUP(DZ39,'IN RPS-2015'!$I$2:$J$5,1)),0,ROUND(IF(EP39=2,IF(DX39&lt;$I$152,Main!$L$9,Main!$CI$3)/2,IF(DX39&lt;$I$152,Main!$L$9,Main!$CI$3))*(DAY(DY39)-DAY(DX39)+1)/DAY(EOMONTH(DX39,0)),0))))</f>
        <v/>
      </c>
      <c r="EK39" s="461"/>
      <c r="EL39" s="461" t="str">
        <f>IF(DX39="","",IF(Main!$C$26="UGC",0,IF(OR(EP39=3,DZ39=VLOOKUP(DZ39,'IN RPS-2015'!$I$2:$J$5,1)),0,ROUND(IF(EP39=2,VLOOKUP(EA39,IF(DX39&lt;$I$152,$A$154:$E$159,$F$154:$J$159),IF($B$10=VLOOKUP(DW39,$B$2:$G$4,6,TRUE),2,IF($B$10=VLOOKUP(DW39,$B$2:$G$4,6,TRUE),3,IF($D$10=VLOOKUP(DW39,$B$2:$G$4,6,TRUE),4,5))))/2,VLOOKUP(EA39,IF(DX39&lt;$I$152,$A$154:$E$159,$F$154:$J$159),IF($B$10=VLOOKUP(DW39,$B$2:$G$4,6,TRUE),2,IF($B$10=VLOOKUP(DW39,$B$2:$G$4,6,TRUE),3,IF($D$10=VLOOKUP(DW39,$B$2:$G$4,6,TRUE),4,5)))))*(DAY(DY39)-DAY(DX39)+1)/DAY(EOMONTH(DX39,0)),0))))</f>
        <v/>
      </c>
      <c r="EM39" s="461">
        <f t="shared" si="79"/>
        <v>0</v>
      </c>
      <c r="EN39" s="464" t="str">
        <f>IF(DX39="","",IF(AND(Main!$F$22=Main!$CA$24,DX39&gt;$EN$1),ROUND(SUM(EA39,EC39)*10%,0),""))</f>
        <v/>
      </c>
      <c r="EO39" s="464" t="str">
        <f>IF(DW39="","",IF(EA39=0,0,IF(OR(Main!$H$10=Main!$BH$4,Main!$H$10=Main!$BH$5),0,LOOKUP(EM39*DAY(EOMONTH(DX39,0))/(DAY(DY39)-DAY(DX39)+1),$H$184:$I$189))))</f>
        <v/>
      </c>
      <c r="EP39" s="457">
        <f t="shared" si="62"/>
        <v>1</v>
      </c>
      <c r="ET39" s="461"/>
      <c r="EU39" s="499" t="str">
        <f t="shared" si="63"/>
        <v/>
      </c>
      <c r="EV39" s="500" t="str">
        <f t="shared" si="89"/>
        <v/>
      </c>
      <c r="EW39" s="484" t="str">
        <f>IF(EV39="","",MIN(EOMONTH(EV39,0),VLOOKUP(EV39,'IN RPS-2015'!$O$164:$P$202,2,TRUE)-1,LOOKUP(EV39,$E$47:$F$53)-1,IF(EV39&lt;$B$2,$B$2-1,'IN RPS-2015'!$Q$9),IF(EV39&lt;$B$3,$B$3-1,'IN RPS-2015'!$Q$9),IF(EV39&lt;$B$4,$B$4-1,'IN RPS-2015'!$Q$9),LOOKUP(EV39,$H$47:$I$53)))</f>
        <v/>
      </c>
      <c r="EX39" s="490" t="str">
        <f>IF(EV39="","",VLOOKUP(EV39,'IN RPS-2015'!$P$164:$AA$202,12))</f>
        <v/>
      </c>
      <c r="EY39" s="461" t="str">
        <f t="shared" si="80"/>
        <v/>
      </c>
      <c r="EZ39" s="461" t="str">
        <f>IF(EV39="","",ROUND(IF(FN39=3,0,IF(FN39=2,IF(EX39=VLOOKUP(EX39,'IN RPS-2015'!$I$2:$J$5,1),0,Main!$H$9)/2,IF(EX39=VLOOKUP(EX39,'IN RPS-2015'!$I$2:$J$5,1),0,Main!$H$9)))*(DAY(EW39)-DAY(EV39)+1)/DAY(EOMONTH(EV39,0)),0))</f>
        <v/>
      </c>
      <c r="FA39" s="461" t="str">
        <f>IF(EV39="","",IF(EX39=VLOOKUP(EX39,'IN RPS-2015'!$I$2:$J$5,1),0,ROUND(EY39*VLOOKUP(EV39,$ER$4:$ES$7,2)%,0)))</f>
        <v/>
      </c>
      <c r="FB39" s="461" t="str">
        <f>IF(EV39="","",IF(OR(FN39=3,EX39=VLOOKUP(EX39,'IN RPS-2015'!$I$2:$J$5,1)),0,ROUND(MIN(ROUND(EX39*VLOOKUP(EV39,$B$1:$G$4,2)%,0),VLOOKUP(EV39,$B$2:$I$4,IF($ES$3=$I$29,7,8),TRUE))*(DAY(EW39)-DAY(EV39)+1)/DAY(EOMONTH(EV39,0)),0)))</f>
        <v/>
      </c>
      <c r="FC39" s="491" t="str">
        <f>IF(EV39="","",IF(Main!$C$26="UGC",0,IF(OR(EV39&lt;DATE(2010,4,1),$I$6=VLOOKUP(EV39,$B$2:$G$4,5,TRUE),EX39=VLOOKUP(EX39,'IN RPS-2015'!$I$2:$J$5,1)),0,ROUND(IF(FN39=3,0,IF(FN39=2,MIN(ROUND(EX39*$G$13%,0),IF(EV39&lt;$J$152,$G$14,$G$15))/2,MIN(ROUND(EX39*$G$13%,0),IF(EV39&lt;$J$152,$G$14,$G$15))))*(DAY(EW39)-DAY(EV39)+1)/DAY(EOMONTH(EV39,0)),0))))</f>
        <v/>
      </c>
      <c r="FD39" s="461" t="str">
        <f>IF(EV39="","",IF(Main!$C$26="UGC",0,IF(EX39=VLOOKUP(EX39,'IN RPS-2015'!$I$2:$J$5,1),0,ROUND(EY39*VLOOKUP(EV39,$ER$11:$ES$12,2)%,0))))</f>
        <v/>
      </c>
      <c r="FE39" s="461" t="str">
        <f>IF(EV39="","",IF(Main!$C$26="UGC",0,IF(EV39&lt;DATE(2010,4,1),0,IF(OR(FN39=2,FN39=3,EX39=VLOOKUP(EX39,'IN RPS-2015'!$I$2:$J$5,1)),0,ROUND(IF(EV39&lt;$J$152,VLOOKUP(EV39,$B$1:$G$4,4),VLOOKUP(VLOOKUP(EV39,$B$1:$G$4,4),Main!$CE$2:$CF$5,2,FALSE))*(DAY(EW39)-DAY(EV39)+1)/DAY(EOMONTH(EV39,0)),0)))))</f>
        <v/>
      </c>
      <c r="FF39" s="461" t="str">
        <f>IF(EV39="","",IF(OR(FN39=2,FN39=3,$D$31=$D$28,EX39=VLOOKUP(EX39,'IN RPS-2015'!$I$2:$J$5,1)),0,ROUND(MIN(VLOOKUP(EU39,$A$27:$C$29,2,TRUE),ROUND(EX39*VLOOKUP(EU39,$A$27:$C$29,3,TRUE)%,0))*IF(EU39=$A$36,$C$36,IF(EU39=$A$37,$C$37,IF(EU39=$A$38,$C$38,IF(EU39=$A$39,$C$39,IF(EU39=$A$40,$C$40,IF(EU39=$A$41,$C$41,1))))))*(DAY(EW39)-DAY(EV39)+1)/DAY(EOMONTH(EV39,0)),0)))</f>
        <v/>
      </c>
      <c r="FG39" s="461" t="str">
        <f>IF(EV39="","",IF(Main!$C$26="UGC",0,IF(OR(FN39=3,EX39=VLOOKUP(EX39,'IN RPS-2015'!$I$2:$J$5,1)),0,ROUND(IF(FN39=2,VLOOKUP(EX39,IF($ES$3=$I$29,$A$20:$E$23,$F$144:$J$147),IF($B$19=VLOOKUP(EV39,$B$2:$G$4,3,TRUE),2,IF($C$19=VLOOKUP(EV39,$B$2:$G$4,3,TRUE),3,IF($D$19=VLOOKUP(EV39,$B$2:$G$4,3,TRUE),4,5))),TRUE),VLOOKUP(EX39,IF($ES$3=$I$29,$A$20:$E$23,$F$144:$J$147),IF($B$19=VLOOKUP(EV39,$B$2:$G$4,3,TRUE),2,IF($C$19=VLOOKUP(EV39,$B$2:$G$4,3,TRUE),3,IF($D$19=VLOOKUP(EV39,$B$2:$G$4,3,TRUE),4,5))),TRUE))*(DAY(EW39)-DAY(EV39)+1)/DAY(EOMONTH(EV39,0)),0))))</f>
        <v/>
      </c>
      <c r="FH39" s="461" t="str">
        <f>IF(EV39="","",IF(Main!$C$26="UGC",0,IF(OR(EU39&lt;DATE(2010,4,1),FN39=3,EX39=VLOOKUP(EX39,'IN RPS-2015'!$I$2:$J$5,1)),0,ROUND(IF(FN39=2,IF(EV39&lt;$J$152,Main!$L$9,Main!$CI$3)/2,IF(EV39&lt;$J$152,Main!$L$9,Main!$CI$3))*(DAY(EW39)-DAY(EV39)+1)/DAY(EOMONTH(EV39,0)),0))))</f>
        <v/>
      </c>
      <c r="FI39" s="461"/>
      <c r="FJ39" s="461" t="str">
        <f>IF(EV39="","",IF(Main!$C$26="UGC",0,IF(OR(FN39=3,EX39=VLOOKUP(EX39,'IN RPS-2015'!$I$2:$J$5,1)),0,ROUND(IF(FN39=2,VLOOKUP(EY39,IF(EV39&lt;$J$152,$A$154:$E$159,$F$154:$J$159),IF($B$10=VLOOKUP(EU39,$B$2:$G$4,6,TRUE),2,IF($B$10=VLOOKUP(EU39,$B$2:$G$4,6,TRUE),3,IF($D$10=VLOOKUP(EU39,$B$2:$G$4,6,TRUE),4,5))))/2,VLOOKUP(EY39,IF(EV39&lt;$J$152,$A$154:$E$159,$F$154:$J$159),IF($B$10=VLOOKUP(EU39,$B$2:$G$4,6,TRUE),2,IF($B$10=VLOOKUP(EU39,$B$2:$G$4,6,TRUE),3,IF($D$10=VLOOKUP(EU39,$B$2:$G$4,6,TRUE),4,5)))))*(DAY(EW39)-DAY(EV39)+1)/DAY(EOMONTH(EV39,0)),0))))</f>
        <v/>
      </c>
      <c r="FK39" s="461">
        <f t="shared" si="81"/>
        <v>0</v>
      </c>
      <c r="FL39" s="464" t="str">
        <f>IF(EV39="","",IF(AND(Main!$F$22=Main!$CA$24,EV39&gt;$FL$1),ROUND(SUM(EY39,FA39)*10%,0),""))</f>
        <v/>
      </c>
      <c r="FM39" s="464" t="str">
        <f>IF(EU39="","",IF(EY39=0,0,IF(OR(Main!$H$10=Main!$BH$4,Main!$H$10=Main!$BH$5),0,LOOKUP(FK39*DAY(EOMONTH(EV39,0))/(DAY(EW39)-DAY(EV39)+1),$H$184:$I$189))))</f>
        <v/>
      </c>
      <c r="FN39" s="457">
        <f t="shared" si="64"/>
        <v>1</v>
      </c>
    </row>
    <row r="40" spans="1:170">
      <c r="A40" s="459">
        <f>DATE(2016,5,1)</f>
        <v>42491</v>
      </c>
      <c r="B40" s="457">
        <f>IF(D32=D29,0,31)</f>
        <v>0</v>
      </c>
      <c r="C40" s="485">
        <f t="shared" si="91"/>
        <v>0</v>
      </c>
      <c r="E40" s="2">
        <f>Main!AB6</f>
        <v>1</v>
      </c>
      <c r="F40" s="117">
        <f>Main!AC6</f>
        <v>42461</v>
      </c>
      <c r="G40" s="117">
        <f>Main!AD6</f>
        <v>42461</v>
      </c>
      <c r="K40" s="170">
        <f>Main!H19</f>
        <v>42461</v>
      </c>
      <c r="L40" s="169">
        <f>L39</f>
        <v>77.896000000000001</v>
      </c>
      <c r="M40" s="457">
        <v>107</v>
      </c>
      <c r="N40" s="457">
        <f>N39</f>
        <v>8.9079999999999995</v>
      </c>
      <c r="AH40" s="461"/>
      <c r="AI40" s="499" t="str">
        <f t="shared" si="54"/>
        <v/>
      </c>
      <c r="AJ40" s="500" t="str">
        <f t="shared" si="84"/>
        <v/>
      </c>
      <c r="AK40" s="484" t="str">
        <f>IF(AJ40="","",MIN(EOMONTH(AJ40,0),VLOOKUP(AJ40,'IN RPS-2015'!$O$164:$P$202,2,TRUE)-1,LOOKUP(AJ40,$E$47:$F$53)-1,IF(AJ40&lt;$B$2,$B$2-1,'IN RPS-2015'!$Q$9),IF(AJ40&lt;$B$3,$B$3-1,'IN RPS-2015'!$Q$9),IF(AJ40&lt;$B$4,$B$4-1,'IN RPS-2015'!$Q$9),LOOKUP(AJ40,$H$47:$I$53)))</f>
        <v/>
      </c>
      <c r="AL40" s="490" t="str">
        <f>IF(AJ40="","",VLOOKUP(AJ40,'IN RPS-2015'!$P$164:$AA$202,9))</f>
        <v/>
      </c>
      <c r="AM40" s="461" t="str">
        <f t="shared" si="66"/>
        <v/>
      </c>
      <c r="AN40" s="461" t="str">
        <f>IF(AJ40="","",IF(AND($AG$3=$AG$1,AJ40&lt;=$AZ$1),0,ROUND(IF(BB40=3,0,IF(BB40=2,IF(AL40=VLOOKUP(AL40,'IN RPS-2015'!$I$2:$J$5,1),0,Main!$H$9)/2,IF(AL40=VLOOKUP(AL40,'IN RPS-2015'!$I$2:$J$5,1),0,Main!$H$9)))*(DAY(AK40)-DAY(AJ40)+1)/DAY(EOMONTH(AJ40,0)),0)))</f>
        <v/>
      </c>
      <c r="AO40" s="461" t="str">
        <f>IF(AJ40="","",IF(AND($AG$3=$AG$1,AJ40&lt;=$AZ$1),0,IF(AL40=VLOOKUP(AL40,'IN RPS-2015'!$I$2:$J$5,1),0,ROUND(AM40*VLOOKUP(AJ40,$AF$4:$AG$7,2)%,0))))</f>
        <v/>
      </c>
      <c r="AP40" s="461" t="str">
        <f>IF(AJ40="","",IF(AND($AG$3=$AG$1,AJ40&lt;=$AZ$1),0,IF(OR(BB40=3,AL40=VLOOKUP(AL40,'IN RPS-2015'!$I$2:$J$5,1)),0,ROUND(MIN(ROUND(AL40*VLOOKUP(AJ40,$B$1:$G$4,2)%,0),VLOOKUP(AJ40,$B$2:$I$4,IF($AG$3=$I$29,7,8),TRUE))*(DAY(AK40)-DAY(AJ40)+1)/DAY(EOMONTH(AJ40,0)),0))))</f>
        <v/>
      </c>
      <c r="AQ40" s="491" t="str">
        <f>IF(AJ40="","",IF(AND($AG$3=$AG$1,AJ40&lt;=$AZ$1),0,IF(Main!$C$26="UGC",0,IF(OR(AJ40&lt;DATE(2010,4,1),$I$6=VLOOKUP(AJ40,$B$2:$G$4,5,TRUE),AL40=VLOOKUP(AL40,'IN RPS-2015'!$I$2:$J$5,1)),0,ROUND(IF(BB40=3,0,IF(BB40=2,MIN(ROUND(AL40*$G$13%,0),IF(AJ40&lt;$J$152,$G$14,$G$15))/2,MIN(ROUND(AL40*$G$13%,0),IF(AJ40&lt;$J$152,$G$14,$G$15))))*(DAY(AK40)-DAY(AJ40)+1)/DAY(EOMONTH(AJ40,0)),0)))))</f>
        <v/>
      </c>
      <c r="AR40" s="461" t="str">
        <f>IF(AJ40="","",IF(AND($AG$3=$AG$1,AJ40&lt;=$AZ$1),0,IF(Main!$C$26="UGC",0,IF(AL40=VLOOKUP(AL40,'IN RPS-2015'!$I$2:$J$5,1),0,ROUND(AM40*VLOOKUP(AJ40,$AF$11:$AG$12,2)%,0)))))</f>
        <v/>
      </c>
      <c r="AS40" s="461" t="str">
        <f>IF(AJ40="","",IF(AND($AG$3=$AG$1,AJ40&lt;=$AZ$1),0,IF(Main!$C$26="UGC",0,IF(AJ40&lt;DATE(2010,4,1),0,IF(OR(BB40=2,BB40=3,AL40=VLOOKUP(AL40,'IN RPS-2015'!$I$2:$J$5,1)),0,ROUND(IF(AJ40&lt;$J$152,VLOOKUP(AJ40,$B$1:$G$4,4),VLOOKUP(VLOOKUP(AJ40,$B$1:$G$4,4),Main!$CE$2:$CF$5,2,FALSE))*(DAY(AK40)-DAY(AJ40)+1)/DAY(EOMONTH(AJ40,0)),0))))))</f>
        <v/>
      </c>
      <c r="AT40" s="461" t="str">
        <f>IF(AJ40="","",IF(AND($AG$3=$AG$1,AJ40&lt;=$AZ$1),0,IF(OR(BB40=2,BB40=3,$D$31=$D$28,AL40=VLOOKUP(AL40,'IN RPS-2015'!$I$2:$J$5,1)),0,ROUND(MIN(VLOOKUP(AI40,$A$27:$C$29,2,TRUE),ROUND(AL40*VLOOKUP(AI40,$A$27:$C$29,3,TRUE)%,0))*IF(AI40=$A$36,$C$36,IF(AI40=$A$37,$C$37,IF(AI40=$A$38,$C$38,IF(AI40=$A$39,$C$39,IF(AI40=$A$40,$C$40,IF(AI40=$A$41,$C$41,1))))))*(DAY(AK40)-DAY(AJ40)+1)/DAY(EOMONTH(AJ40,0)),0))))</f>
        <v/>
      </c>
      <c r="AU40" s="461" t="str">
        <f>IF(AJ40="","",IF(AND($AG$3=$AG$1,AJ40&lt;=$AZ$1),0,IF(Main!$C$26="UGC",0,IF(OR(BB40=3,AL40=VLOOKUP(AL40,'IN RPS-2015'!$I$2:$J$5,1)),0,ROUND(IF(BB40=2,VLOOKUP(AL40,IF($AG$3=$I$29,$A$20:$E$23,$F$144:$J$147),IF($B$19=VLOOKUP(AJ40,$B$2:$G$4,3,TRUE),2,IF($C$19=VLOOKUP(AJ40,$B$2:$G$4,3,TRUE),3,IF($D$19=VLOOKUP(AJ40,$B$2:$G$4,3,TRUE),4,5))),TRUE),VLOOKUP(AL40,IF($AG$3=$I$29,$A$20:$E$23,$F$144:$J$147),IF($B$19=VLOOKUP(AJ40,$B$2:$G$4,3,TRUE),2,IF($C$19=VLOOKUP(AJ40,$B$2:$G$4,3,TRUE),3,IF($D$19=VLOOKUP(AJ40,$B$2:$G$4,3,TRUE),4,5))),TRUE))*(DAY(AK40)-DAY(AJ40)+1)/DAY(EOMONTH(AJ40,0)),0)))))</f>
        <v/>
      </c>
      <c r="AV40" s="461" t="str">
        <f>IF(AJ40="","",IF(AND($AG$3=$AG$1,AJ40&lt;=$AZ$1),0,IF(Main!$C$26="UGC",0,IF(OR(AI40&lt;DATE(2010,4,1),BB40=3,AL40=VLOOKUP(AL40,'IN RPS-2015'!$I$2:$J$5,1)),0,ROUND(IF(BB40=2,IF(AJ40&lt;$J$152,Main!$L$9,Main!$CI$3)/2,IF(AJ40&lt;$J$152,Main!$L$9,Main!$CI$3))*(DAY(AK40)-DAY(AJ40)+1)/DAY(EOMONTH(AJ40,0)),0)))))</f>
        <v/>
      </c>
      <c r="AW40" s="461"/>
      <c r="AX40" s="461" t="str">
        <f>IF(AJ40="","",IF(AND($AG$3=$AG$1,AJ40&lt;=$AZ$1),0,IF(Main!$C$26="UGC",0,IF(OR(BB40=3,AL40=VLOOKUP(AL40,'IN RPS-2015'!$I$2:$J$5,1)),0,ROUND(IF(BB40=2,VLOOKUP(AM40,IF(AJ40&lt;$J$152,$A$154:$E$159,$F$154:$J$159),IF($B$10=VLOOKUP(AI40,$B$2:$G$4,6,TRUE),2,IF($B$10=VLOOKUP(AI40,$B$2:$G$4,6,TRUE),3,IF($D$10=VLOOKUP(AI40,$B$2:$G$4,6,TRUE),4,5))))/2,VLOOKUP(AM40,IF(AJ40&lt;$J$152,$A$154:$E$159,$F$154:$J$159),IF($B$10=VLOOKUP(AI40,$B$2:$G$4,6,TRUE),2,IF($B$10=VLOOKUP(AI40,$B$2:$G$4,6,TRUE),3,IF($D$10=VLOOKUP(AI40,$B$2:$G$4,6,TRUE),4,5)))))*(DAY(AK40)-DAY(AJ40)+1)/DAY(EOMONTH(AJ40,0)),0)))))</f>
        <v/>
      </c>
      <c r="AY40" s="461">
        <f t="shared" si="67"/>
        <v>0</v>
      </c>
      <c r="AZ40" s="464" t="str">
        <f>IF(AJ40="","",IF(AND($AG$3=$AG$1,AJ40&lt;=$AZ$1),0,IF(AND(Main!$F$22=Main!$CA$24,AJ40&gt;$AZ$1),ROUND(SUM(AM40,AO40)*10%,0),"")))</f>
        <v/>
      </c>
      <c r="BA40" s="464" t="str">
        <f>IF(AI40="","",IF(AND($AG$3=$AG$1,AJ40&lt;=$AZ$1),0,IF(OR(Main!$H$10=Main!$BH$4,Main!$H$10=Main!$BH$5),0,LOOKUP(AY40*DAY(EOMONTH(AJ40,0))/(DAY(AK40)-DAY(AJ40)+1),$H$184:$I$189))))</f>
        <v/>
      </c>
      <c r="BB40" s="497">
        <f t="shared" si="55"/>
        <v>1</v>
      </c>
      <c r="BC40" s="464"/>
      <c r="BD40" s="501" t="str">
        <f t="shared" si="56"/>
        <v/>
      </c>
      <c r="BE40" s="502" t="str">
        <f t="shared" si="85"/>
        <v/>
      </c>
      <c r="BF40" s="484" t="str">
        <f>IF(BE40="","",MIN(EOMONTH(BE40,0),VLOOKUP(BE40,'IN RPS-2015'!$O$164:$P$202,2,TRUE)-1,LOOKUP(BE40,$E$47:$F$53)-1,IF(BE40&lt;$B$2,$B$2-1,'IN RPS-2015'!$Q$9),IF(BE40&lt;$B$3,$B$3-1,'IN RPS-2015'!$Q$9),IF(BE40&lt;$B$4,$B$4-1,'IN RPS-2015'!$Q$9),LOOKUP(BE40,$H$47:$I$53)))</f>
        <v/>
      </c>
      <c r="BG40" s="493" t="str">
        <f>IF(BE40="","",VLOOKUP(BE40,'IN RPS-2015'!$P$164:$AA$202,10))</f>
        <v/>
      </c>
      <c r="BH40" s="461" t="str">
        <f t="shared" si="68"/>
        <v/>
      </c>
      <c r="BI40" s="461" t="str">
        <f>IF(BE40="","",IF(AND($AG$3=$AG$1,BE40&lt;=$AZ$1),0,ROUND(IF(BW40=3,0,IF(BW40=2,IF(BG40=VLOOKUP(BG40,'IN RPS-2015'!$I$2:$J$5,1),0,Main!$H$9)/2,IF(BG40=VLOOKUP(BG40,'IN RPS-2015'!$I$2:$J$5,1),0,Main!$H$9)))*(DAY(BF40)-DAY(BE40)+1)/DAY(EOMONTH(BE40,0)),0)))</f>
        <v/>
      </c>
      <c r="BJ40" s="461" t="str">
        <f>IF(BE40="","",IF(AND($AG$3=$AG$1,BE40&lt;=$AZ$1),0,IF(BG40=VLOOKUP(BG40,'IN RPS-2015'!$I$2:$J$5,1),0,ROUND(BH40*VLOOKUP(BE40,$AF$4:$AG$7,2)%,0))))</f>
        <v/>
      </c>
      <c r="BK40" s="461" t="str">
        <f>IF(BE40="","",IF(AND($AG$3=$AG$1,BE40&lt;=$AZ$1),0,IF(OR(BW40=3,BG40=VLOOKUP(BG40,'IN RPS-2015'!$I$2:$J$5,1)),0,ROUND(MIN(ROUND(BG40*VLOOKUP(BE40,$B$1:$G$4,2)%,0),VLOOKUP(BE40,$B$2:$I$4,IF($AG$3=$I$29,7,8),TRUE))*(DAY(BF40)-DAY(BE40)+1)/DAY(EOMONTH(BE40,0)),0))))</f>
        <v/>
      </c>
      <c r="BL40" s="491" t="str">
        <f>IF(BE40="","",IF(AND($AG$3=$AG$1,BE40&lt;=$AZ$1),0,IF(Main!$C$26="UGC",0,IF(OR(BE40&lt;DATE(2010,4,1),$I$6=VLOOKUP(BE40,$B$2:$G$4,5,TRUE),BG40=VLOOKUP(BG40,'IN RPS-2015'!$I$2:$J$5,1)),0,ROUND(IF(BW40=3,0,IF(BW40=2,MIN(ROUND(BG40*$G$13%,0),IF(BE40&lt;$J$152,$G$14,$G$15))/2,MIN(ROUND(BG40*$G$13%,0),IF(BE40&lt;$J$152,$G$14,$G$15))))*(DAY(BF40)-DAY(BE40)+1)/DAY(EOMONTH(BE40,0)),0)))))</f>
        <v/>
      </c>
      <c r="BM40" s="461" t="str">
        <f>IF(BE40="","",IF(AND($AG$3=$AG$1,BE40&lt;=$AZ$1),0,IF(Main!$C$26="UGC",0,IF(BG40=VLOOKUP(BG40,'IN RPS-2015'!$I$2:$J$5,1),0,ROUND(BH40*VLOOKUP(BE40,$AF$11:$AG$12,2)%,0)))))</f>
        <v/>
      </c>
      <c r="BN40" s="461" t="str">
        <f>IF(BE40="","",IF(AND($AG$3=$AG$1,BE40&lt;=$AZ$1),0,IF(Main!$C$26="UGC",0,IF(BE40&lt;DATE(2010,4,1),0,IF(OR(BW40=2,BW40=3,BG40=VLOOKUP(BG40,'IN RPS-2015'!$I$2:$J$5,1)),0,ROUND(IF(BE40&lt;$J$152,VLOOKUP(BE40,$B$1:$G$4,4),VLOOKUP(VLOOKUP(BE40,$B$1:$G$4,4),Main!$CE$2:$CF$5,2,FALSE))*(DAY(BF40)-DAY(BE40)+1)/DAY(EOMONTH(BE40,0)),0))))))</f>
        <v/>
      </c>
      <c r="BO40" s="461" t="str">
        <f>IF(BE40="","",IF(AND($AG$3=$AG$1,BE40&lt;=$AZ$1),0,IF(OR(BW40=2,BW40=3,$D$31=$D$28,BG40=VLOOKUP(BG40,'IN RPS-2015'!$I$2:$J$5,1)),0,ROUND(MIN(VLOOKUP(BD40,$A$27:$C$29,2,TRUE),ROUND(BG40*VLOOKUP(BD40,$A$27:$C$29,3,TRUE)%,0))*IF(BD40=$A$36,$C$36,IF(BD40=$A$37,$C$37,IF(BD40=$A$38,$C$38,IF(BD40=$A$39,$C$39,IF(BD40=$A$40,$C$40,IF(BD40=$A$41,$C$41,1))))))*(DAY(BF40)-DAY(BE40)+1)/DAY(EOMONTH(BE40,0)),0))))</f>
        <v/>
      </c>
      <c r="BP40" s="461" t="str">
        <f>IF(BE40="","",IF(AND($AG$3=$AG$1,BE40&lt;=$AZ$1),0,IF(Main!$C$26="UGC",0,IF(OR(BW40=3,BG40=VLOOKUP(BG40,'IN RPS-2015'!$I$2:$J$5,1)),0,ROUND(IF(BW40=2,VLOOKUP(BG40,IF($AG$3=$I$29,$A$20:$E$23,$F$144:$J$147),IF($B$19=VLOOKUP(BE40,$B$2:$G$4,3,TRUE),2,IF($C$19=VLOOKUP(BE40,$B$2:$G$4,3,TRUE),3,IF($D$19=VLOOKUP(BE40,$B$2:$G$4,3,TRUE),4,5))),TRUE),VLOOKUP(BG40,IF($AG$3=$I$29,$A$20:$E$23,$F$144:$J$147),IF($B$19=VLOOKUP(BE40,$B$2:$G$4,3,TRUE),2,IF($C$19=VLOOKUP(BE40,$B$2:$G$4,3,TRUE),3,IF($D$19=VLOOKUP(BE40,$B$2:$G$4,3,TRUE),4,5))),TRUE))*(DAY(BF40)-DAY(BE40)+1)/DAY(EOMONTH(BE40,0)),0)))))</f>
        <v/>
      </c>
      <c r="BQ40" s="461" t="str">
        <f>IF(BE40="","",IF(AND($AG$3=$AG$1,BE40&lt;=$AZ$1),0,IF(Main!$C$26="UGC",0,IF(OR(BD40&lt;DATE(2010,4,1),BW40=3,BG40=VLOOKUP(BG40,'IN RPS-2015'!$I$2:$J$5,1)),0,ROUND(IF(BW40=2,IF(BE40&lt;$J$152,Main!$L$9,Main!$CI$3)/2,IF(BE40&lt;$J$152,Main!$L$9,Main!$CI$3))*(DAY(BF40)-DAY(BE40)+1)/DAY(EOMONTH(BE40,0)),0)))))</f>
        <v/>
      </c>
      <c r="BR40" s="461"/>
      <c r="BS40" s="461" t="str">
        <f>IF(BE40="","",IF(AND($AG$3=$AG$1,BE40&lt;=$AZ$1),0,IF(Main!$C$26="UGC",0,IF(OR(BW40=3,BG40=VLOOKUP(BG40,'IN RPS-2015'!$I$2:$J$5,1)),0,ROUND(IF(BW40=2,VLOOKUP(BH40,IF(BE40&lt;$J$152,$A$154:$E$159,$F$154:$J$159),IF($B$10=VLOOKUP(BD40,$B$2:$G$4,6,TRUE),2,IF($B$10=VLOOKUP(BD40,$B$2:$G$4,6,TRUE),3,IF($D$10=VLOOKUP(BD40,$B$2:$G$4,6,TRUE),4,5))))/2,VLOOKUP(BH40,IF(BE40&lt;$J$152,$A$154:$E$159,$F$154:$J$159),IF($B$10=VLOOKUP(BD40,$B$2:$G$4,6,TRUE),2,IF($B$10=VLOOKUP(BD40,$B$2:$G$4,6,TRUE),3,IF($D$10=VLOOKUP(BD40,$B$2:$G$4,6,TRUE),4,5)))))*(DAY(BF40)-DAY(BE40)+1)/DAY(EOMONTH(BE40,0)),0)))))</f>
        <v/>
      </c>
      <c r="BT40" s="461">
        <f t="shared" si="69"/>
        <v>0</v>
      </c>
      <c r="BU40" s="464" t="str">
        <f>IF(BE40="","",IF(AND($AG$3=$AG$1,BE40&lt;=$AZ$1),0,IF(AND(Main!$F$22=Main!$CA$24,BE40&gt;$AZ$1),ROUND(SUM(BH40,BJ40)*10%,0),"")))</f>
        <v/>
      </c>
      <c r="BV40" s="464" t="str">
        <f>IF(BD40="","",IF(AND($AG$3=$AG$1,BE40&lt;=$AZ$1),0,IF(OR(Main!$H$10=Main!$BH$4,Main!$H$10=Main!$BH$5),0,LOOKUP(BT40*DAY(EOMONTH(BE40,0))/(DAY(BF40)-DAY(BE40)+1),$H$184:$I$189))))</f>
        <v/>
      </c>
      <c r="BW40" s="503">
        <f t="shared" si="70"/>
        <v>1</v>
      </c>
      <c r="BX40" s="457">
        <f t="shared" si="90"/>
        <v>0</v>
      </c>
      <c r="BY40" s="457"/>
      <c r="BZ40" s="457"/>
      <c r="CA40" s="457"/>
      <c r="CB40" s="461"/>
      <c r="CC40" s="499" t="str">
        <f t="shared" si="57"/>
        <v/>
      </c>
      <c r="CD40" s="500" t="str">
        <f t="shared" si="86"/>
        <v/>
      </c>
      <c r="CE40" s="484" t="str">
        <f>IF(CD40="","",MIN(EOMONTH(CD40,0),VLOOKUP(CD40,'IN RPS-2015'!$O$164:$P$202,2,TRUE)-1,LOOKUP(CD40,$E$47:$F$53)-1,IF(CD40&lt;$B$2,$B$2-1,'IN RPS-2015'!$Q$9),IF(CD40&lt;$B$3,$B$3-1,'IN RPS-2015'!$Q$9),IF(CD40&lt;$B$4,$B$4-1,'IN RPS-2015'!$Q$9),LOOKUP(CD40,$H$47:$I$53)))</f>
        <v/>
      </c>
      <c r="CF40" s="490" t="str">
        <f>IF(CD40="","",VLOOKUP(CD40,'IN RPS-2015'!$T$207:$Y$222,5))</f>
        <v/>
      </c>
      <c r="CG40" s="461" t="str">
        <f t="shared" si="72"/>
        <v/>
      </c>
      <c r="CH40" s="461" t="str">
        <f>IF(CD40="","",IF(AND($CA$3=$CA$1,CD40&lt;=$CT$1),0,ROUND(IF(CV40=3,0,IF(CV40=2,IF(CF40=VLOOKUP(CF40,'IN RPS-2015'!$I$2:$J$5,1),0,Main!$H$9)/2,IF(CF40=VLOOKUP(CF40,'IN RPS-2015'!$I$2:$J$5,1),0,Main!$H$9)))*(DAY(CE40)-DAY(CD40)+1)/DAY(EOMONTH(CD40,0)),0)))</f>
        <v/>
      </c>
      <c r="CI40" s="461" t="str">
        <f>IF(CD40="","",IF(AND($CA$3=$CA$1,CD40&lt;=$CT$1),0,IF(CF40=VLOOKUP(CF40,'IN RPS-2015'!$I$2:$J$5,1),0,ROUND(CG40*VLOOKUP(CD40,$BZ$4:$CA$7,2)%,0))))</f>
        <v/>
      </c>
      <c r="CJ40" s="461" t="str">
        <f>IF(CD40="","",IF(AND($CA$3=$CA$1,CD40&lt;=$CT$1),0,IF(OR(CV40=3,CF40=VLOOKUP(CF40,'IN RPS-2015'!$I$2:$J$5,1)),0,ROUND(MIN(ROUND(CF40*VLOOKUP(CD40,$B$1:$G$4,2)%,0),VLOOKUP(CD40,$B$2:$I$4,IF($CA$3=$I$29,7,8),TRUE))*(DAY(CE40)-DAY(CD40)+1)/DAY(EOMONTH(CD40,0)),0))))</f>
        <v/>
      </c>
      <c r="CK40" s="491" t="str">
        <f>IF(CD40="","",IF(AND($CA$3=$CA$1,CD40&lt;=$CT$1),0,IF(Main!$C$26="UGC",0,IF(OR(CD40&lt;DATE(2010,4,1),$I$6=VLOOKUP(CD40,$B$2:$G$4,5,TRUE),CF40=VLOOKUP(CF40,'IN RPS-2015'!$I$2:$J$5,1)),0,ROUND(IF(CV40=3,0,IF(CV40=2,MIN(ROUND(CF40*$G$13%,0),IF(CD40&lt;$J$152,$G$14,$G$15))/2,MIN(ROUND(CF40*$G$13%,0),IF(CD40&lt;$J$152,$G$14,$G$15))))*(DAY(CE40)-DAY(CD40)+1)/DAY(EOMONTH(CD40,0)),0)))))</f>
        <v/>
      </c>
      <c r="CL40" s="461" t="str">
        <f>IF(CD40="","",IF(AND($CA$3=$CA$1,CD40&lt;=$CT$1),0,IF(Main!$C$26="UGC",0,IF(CF40=VLOOKUP(CF40,'IN RPS-2015'!$I$2:$J$5,1),0,ROUND(CG40*VLOOKUP(CD40,$BZ$11:$CA$12,2)%,0)))))</f>
        <v/>
      </c>
      <c r="CM40" s="461" t="str">
        <f>IF(CD40="","",IF(AND($CA$3=$CA$1,CD40&lt;=$CT$1),0,IF(Main!$C$26="UGC",0,IF(CD40&lt;DATE(2010,4,1),0,IF(OR(CV40=2,CV40=3,CF40=VLOOKUP(CF40,'IN RPS-2015'!$I$2:$J$5,1)),0,ROUND(IF(CD40&lt;$J$152,VLOOKUP(CD40,$B$1:$G$4,4),VLOOKUP(VLOOKUP(CD40,$B$1:$G$4,4),Main!$CE$2:$CF$5,2,FALSE))*(DAY(CE40)-DAY(CD40)+1)/DAY(EOMONTH(CD40,0)),0))))))</f>
        <v/>
      </c>
      <c r="CN40" s="461" t="str">
        <f>IF(CD40="","",IF(AND($CA$3=$CA$1,CD40&lt;=$CT$1),0,IF(OR(CV40=2,CV40=3,$D$31=$D$28,CF40=VLOOKUP(CF40,'IN RPS-2015'!$I$2:$J$5,1)),0,ROUND(MIN(VLOOKUP(CC40,$A$27:$C$29,2,TRUE),ROUND(CF40*VLOOKUP(CC40,$A$27:$C$29,3,TRUE)%,0))*IF(CC40=$A$36,$C$36,IF(CC40=$A$37,$C$37,IF(CC40=$A$38,$C$38,IF(CC40=$A$39,$C$39,IF(CC40=$A$40,$C$40,IF(CC40=$A$41,$C$41,1))))))*(DAY(CE40)-DAY(CD40)+1)/DAY(EOMONTH(CD40,0)),0))))</f>
        <v/>
      </c>
      <c r="CO40" s="461" t="str">
        <f>IF(CD40="","",IF(AND($CA$3=$CA$1,CD40&lt;=$CT$1),0,IF(Main!$C$26="UGC",0,IF(OR(CV40=3,CF40=VLOOKUP(CF40,'IN RPS-2015'!$I$2:$J$5,1)),0,ROUND(IF(CV40=2,VLOOKUP(CF40,IF($CA$3=$I$29,$A$20:$E$23,$F$144:$J$147),IF($B$19=VLOOKUP(CD40,$B$2:$G$4,3,TRUE),2,IF($C$19=VLOOKUP(CD40,$B$2:$G$4,3,TRUE),3,IF($D$19=VLOOKUP(CD40,$B$2:$G$4,3,TRUE),4,5))),TRUE),VLOOKUP(CF40,IF($CA$3=$I$29,$A$20:$E$23,$F$144:$J$147),IF($B$19=VLOOKUP(CD40,$B$2:$G$4,3,TRUE),2,IF($C$19=VLOOKUP(CD40,$B$2:$G$4,3,TRUE),3,IF($D$19=VLOOKUP(CD40,$B$2:$G$4,3,TRUE),4,5))),TRUE))*(DAY(CE40)-DAY(CD40)+1)/DAY(EOMONTH(CD40,0)),0)))))</f>
        <v/>
      </c>
      <c r="CP40" s="461" t="str">
        <f>IF(CD40="","",IF(AND($CA$3=$CA$1,CD40&lt;=$CT$1),0,IF(Main!$C$26="UGC",0,IF(OR(CC40&lt;DATE(2010,4,1),CV40=3,CF40=VLOOKUP(CF40,'IN RPS-2015'!$I$2:$J$5,1)),0,ROUND(IF(CV40=2,IF(CD40&lt;$J$152,Main!$L$9,Main!$CI$3)/2,IF(CD40&lt;$J$152,Main!$L$9,Main!$CI$3))*(DAY(CE40)-DAY(CD40)+1)/DAY(EOMONTH(CD40,0)),0)))))</f>
        <v/>
      </c>
      <c r="CQ40" s="461"/>
      <c r="CR40" s="461" t="str">
        <f>IF(CD40="","",IF(AND($CA$3=$CA$1,CD40&lt;=$CT$1),0,IF(Main!$C$26="UGC",0,IF(OR(CV40=3,CF40=VLOOKUP(CF40,'IN RPS-2015'!$I$2:$J$5,1)),0,ROUND(IF(CV40=2,VLOOKUP(CG40,IF(CD40&lt;$J$152,$A$154:$E$159,$F$154:$J$159),IF($B$10=VLOOKUP(CC40,$B$2:$G$4,6,TRUE),2,IF($B$10=VLOOKUP(CC40,$B$2:$G$4,6,TRUE),3,IF($D$10=VLOOKUP(CC40,$B$2:$G$4,6,TRUE),4,5))))/2,VLOOKUP(CG40,IF(CD40&lt;$J$152,$A$154:$E$159,$F$154:$J$159),IF($B$10=VLOOKUP(CC40,$B$2:$G$4,6,TRUE),2,IF($B$10=VLOOKUP(CC40,$B$2:$G$4,6,TRUE),3,IF($D$10=VLOOKUP(CC40,$B$2:$G$4,6,TRUE),4,5)))))*(DAY(CE40)-DAY(CD40)+1)/DAY(EOMONTH(CD40,0)),0)))))</f>
        <v/>
      </c>
      <c r="CS40" s="461">
        <f t="shared" si="73"/>
        <v>0</v>
      </c>
      <c r="CT40" s="464" t="str">
        <f>IF(CD40="","",IF(AND($CA$3=$CA$1,CD40&lt;=$CT$1),0,IF(AND(Main!$F$22=Main!$CA$24,CD40&gt;$CT$1),ROUND(SUM(CG40,CI40)*10%,0),"")))</f>
        <v/>
      </c>
      <c r="CU40" s="464" t="str">
        <f>IF(CC40="","",IF(CG40=0,0,IF(OR(Main!$H$10=Main!$BH$4,Main!$H$10=Main!$BH$5),0,LOOKUP(CS40*DAY(EOMONTH(CD40,0))/(DAY(CE40)-DAY(CD40)+1),$H$184:$I$189))))</f>
        <v/>
      </c>
      <c r="CV40" s="457">
        <f t="shared" si="74"/>
        <v>1</v>
      </c>
      <c r="CW40" s="464"/>
      <c r="CX40" s="501" t="str">
        <f t="shared" si="59"/>
        <v/>
      </c>
      <c r="CY40" s="502" t="str">
        <f t="shared" si="87"/>
        <v/>
      </c>
      <c r="CZ40" s="484" t="str">
        <f>IF(CY40="","",MIN(EOMONTH(CY40,0),VLOOKUP(CY40,'IN RPS-2015'!$O$164:$P$202,2,TRUE)-1,LOOKUP(CY40,$E$47:$F$53)-1,IF(CY40&lt;$B$2,$B$2-1,'IN RPS-2015'!$Q$9),IF(CY40&lt;$B$3,$B$3-1,'IN RPS-2015'!$Q$9),IF(CY40&lt;$B$4,$B$4-1,'IN RPS-2015'!$Q$9),LOOKUP(CY40,$H$47:$I$53)))</f>
        <v/>
      </c>
      <c r="DA40" s="493" t="str">
        <f>IF(CY40="","",VLOOKUP(CY40,'IN RPS-2015'!$T$207:$Y$222,6))</f>
        <v/>
      </c>
      <c r="DB40" s="461" t="str">
        <f t="shared" si="75"/>
        <v/>
      </c>
      <c r="DC40" s="461" t="str">
        <f>IF(CY40="","",IF(AND($CA$3=$CA$1,CY40&lt;=$CT$1),0,ROUND(IF(DQ40=3,0,IF(DQ40=2,IF(DA40=VLOOKUP(DA40,'IN RPS-2015'!$I$2:$J$5,1),0,Main!$H$9)/2,IF(DA40=VLOOKUP(DA40,'IN RPS-2015'!$I$2:$J$5,1),0,Main!$H$9)))*(DAY(CZ40)-DAY(CY40)+1)/DAY(EOMONTH(CY40,0)),0)))</f>
        <v/>
      </c>
      <c r="DD40" s="461" t="str">
        <f>IF(CY40="","",IF(AND($CA$3=$CA$1,CY40&lt;=$CT$1),0,IF(DA40=VLOOKUP(DA40,'IN RPS-2015'!$I$2:$J$5,1),0,ROUND(DB40*VLOOKUP(CY40,$BZ$4:$CA$7,2)%,0))))</f>
        <v/>
      </c>
      <c r="DE40" s="461" t="str">
        <f>IF(CY40="","",IF(AND($CA$3=$CA$1,CY40&lt;=$CT$1),0,IF(OR(DQ40=3,DA40=VLOOKUP(DA40,'IN RPS-2015'!$I$2:$J$5,1)),0,ROUND(MIN(ROUND(DA40*VLOOKUP(CY40,$B$1:$G$4,2)%,0),VLOOKUP(CY40,$B$2:$I$4,IF($CA$3=$I$29,7,8),TRUE))*(DAY(CZ40)-DAY(CY40)+1)/DAY(EOMONTH(CY40,0)),0))))</f>
        <v/>
      </c>
      <c r="DF40" s="491" t="str">
        <f>IF(CY40="","",IF(AND($CA$3=$CA$1,CY40&lt;=$CT$1),0,IF(Main!$C$26="UGC",0,IF(OR(CY40&lt;DATE(2010,4,1),$I$6=VLOOKUP(CY40,$B$2:$G$4,5,TRUE),DA40=VLOOKUP(DA40,'IN RPS-2015'!$I$2:$J$5,1)),0,ROUND(IF(DQ40=3,0,IF(DQ40=2,MIN(ROUND(DA40*$G$13%,0),IF(CY40&lt;$J$152,$G$14,$G$15))/2,MIN(ROUND(DA40*$G$13%,0),IF(CY40&lt;$J$152,$G$14,$G$15))))*(DAY(CZ40)-DAY(CY40)+1)/DAY(EOMONTH(CY40,0)),0)))))</f>
        <v/>
      </c>
      <c r="DG40" s="461" t="str">
        <f>IF(CY40="","",IF(AND($CA$3=$CA$1,CY40&lt;=$CT$1),0,IF(Main!$C$26="UGC",0,IF(DA40=VLOOKUP(DA40,'IN RPS-2015'!$I$2:$J$5,1),0,ROUND(DB40*VLOOKUP(CY40,$BZ$11:$CA$12,2)%,0)))))</f>
        <v/>
      </c>
      <c r="DH40" s="461" t="str">
        <f>IF(CY40="","",IF(AND($CA$3=$CA$1,CY40&lt;=$CT$1),0,IF(Main!$C$26="UGC",0,IF(CY40&lt;DATE(2010,4,1),0,IF(OR(DQ40=2,DQ40=3,DA40=VLOOKUP(DA40,'IN RPS-2015'!$I$2:$J$5,1)),0,ROUND(IF(CY40&lt;$J$152,VLOOKUP(CY40,$B$1:$G$4,4),VLOOKUP(VLOOKUP(CY40,$B$1:$G$4,4),Main!$CE$2:$CF$5,2,FALSE))*(DAY(CZ40)-DAY(CY40)+1)/DAY(EOMONTH(CY40,0)),0))))))</f>
        <v/>
      </c>
      <c r="DI40" s="461" t="str">
        <f>IF(CY40="","",IF(AND($CA$3=$CA$1,CY40&lt;=$CT$1),0,IF(OR(DQ40=2,DQ40=3,$D$31=$D$28,DA40=VLOOKUP(DA40,'IN RPS-2015'!$I$2:$J$5,1)),0,ROUND(MIN(VLOOKUP(CX40,$A$27:$C$29,2,TRUE),ROUND(DA40*VLOOKUP(CX40,$A$27:$C$29,3,TRUE)%,0))*IF(CX40=$A$36,$C$36,IF(CX40=$A$37,$C$37,IF(CX40=$A$38,$C$38,IF(CX40=$A$39,$C$39,IF(CX40=$A$40,$C$40,IF(CX40=$A$41,$C$41,1))))))*(DAY(CZ40)-DAY(CY40)+1)/DAY(EOMONTH(CY40,0)),0))))</f>
        <v/>
      </c>
      <c r="DJ40" s="461" t="str">
        <f>IF(CY40="","",IF(AND($CA$3=$CA$1,CY40&lt;=$CT$1),0,IF(Main!$C$26="UGC",0,IF(OR(DQ40=3,DA40=VLOOKUP(DA40,'IN RPS-2015'!$I$2:$J$5,1)),0,ROUND(IF(DQ40=2,VLOOKUP(DA40,IF($CA$3=$I$29,$A$20:$E$23,$F$144:$J$147),IF($B$19=VLOOKUP(CY40,$B$2:$G$4,3,TRUE),2,IF($C$19=VLOOKUP(CY40,$B$2:$G$4,3,TRUE),3,IF($D$19=VLOOKUP(CY40,$B$2:$G$4,3,TRUE),4,5))),TRUE),VLOOKUP(DA40,IF($CA$3=$I$29,$A$20:$E$23,$F$144:$J$147),IF($B$19=VLOOKUP(CY40,$B$2:$G$4,3,TRUE),2,IF($C$19=VLOOKUP(CY40,$B$2:$G$4,3,TRUE),3,IF($D$19=VLOOKUP(CY40,$B$2:$G$4,3,TRUE),4,5))),TRUE))*(DAY(CZ40)-DAY(CY40)+1)/DAY(EOMONTH(CY40,0)),0)))))</f>
        <v/>
      </c>
      <c r="DK40" s="461" t="str">
        <f>IF(CY40="","",IF(AND($CA$3=$CA$1,CY40&lt;=$CT$1),0,IF(Main!$C$26="UGC",0,IF(OR(CX40&lt;DATE(2010,4,1),DQ40=3,DA40=VLOOKUP(DA40,'IN RPS-2015'!$I$2:$J$5,1)),0,ROUND(IF(DQ40=2,IF(CY40&lt;$J$152,Main!$L$9,Main!$CI$3)/2,IF(CY40&lt;$J$152,Main!$L$9,Main!$CI$3))*(DAY(CZ40)-DAY(CY40)+1)/DAY(EOMONTH(CY40,0)),0)))))</f>
        <v/>
      </c>
      <c r="DL40" s="461"/>
      <c r="DM40" s="461" t="str">
        <f>IF(CY40="","",IF(AND($CA$3=$CA$1,CY40&lt;=$CT$1),0,IF(Main!$C$26="UGC",0,IF(OR(DQ40=3,DA40=VLOOKUP(DA40,'IN RPS-2015'!$I$2:$J$5,1)),0,ROUND(IF(DQ40=2,VLOOKUP(DB40,IF(CY40&lt;$J$152,$A$154:$E$159,$F$154:$J$159),IF($B$10=VLOOKUP(CX40,$B$2:$G$4,6,TRUE),2,IF($B$10=VLOOKUP(CX40,$B$2:$G$4,6,TRUE),3,IF($D$10=VLOOKUP(CX40,$B$2:$G$4,6,TRUE),4,5))))/2,VLOOKUP(DB40,IF(CY40&lt;$J$152,$A$154:$E$159,$F$154:$J$159),IF($B$10=VLOOKUP(CX40,$B$2:$G$4,6,TRUE),2,IF($B$10=VLOOKUP(CX40,$B$2:$G$4,6,TRUE),3,IF($D$10=VLOOKUP(CX40,$B$2:$G$4,6,TRUE),4,5)))))*(DAY(CZ40)-DAY(CY40)+1)/DAY(EOMONTH(CY40,0)),0)))))</f>
        <v/>
      </c>
      <c r="DN40" s="461">
        <f t="shared" si="76"/>
        <v>0</v>
      </c>
      <c r="DO40" s="464" t="str">
        <f>IF(CY40="","",IF(AND($CA$3=$CA$1,CY40&lt;=$CT$1),0,IF(AND(Main!$F$22=Main!$CA$24,CY40&gt;$CT$1),ROUND(SUM(DB40,DD40)*10%,0),"")))</f>
        <v/>
      </c>
      <c r="DP40" s="464" t="str">
        <f>IF(CX40="","",IF(AND($CA$3=$CA$1,CY40&lt;=$CT$1),0,IF(OR(Main!$H$10=Main!$BH$4,Main!$H$10=Main!$BH$5),0,LOOKUP(DN40*DAY(EOMONTH(CY40,0))/(DAY(CZ40)-DAY(CY40)+1),$H$184:$I$189))))</f>
        <v/>
      </c>
      <c r="DQ40" s="457">
        <f t="shared" si="60"/>
        <v>1</v>
      </c>
      <c r="DR40" s="457">
        <f t="shared" si="77"/>
        <v>0</v>
      </c>
      <c r="DS40" s="457"/>
      <c r="DT40" s="457"/>
      <c r="DU40" s="457"/>
      <c r="DV40" s="461"/>
      <c r="DW40" s="499" t="str">
        <f t="shared" si="61"/>
        <v/>
      </c>
      <c r="DX40" s="500" t="str">
        <f t="shared" si="88"/>
        <v/>
      </c>
      <c r="DY40" s="484" t="str">
        <f>IF(DX40="","",MIN(EOMONTH(DX40,0),VLOOKUP(DX40,'IN RPS-2015'!$O$164:$P$202,2,TRUE)-1,LOOKUP(DX40,$E$47:$F$53)-1,IF(DX40&lt;$B$2,$B$2-1,'IN RPS-2015'!$Q$9),IF(DX40&lt;$B$3,$B$3-1,'IN RPS-2015'!$Q$9),IF(DX40&lt;$B$4,$B$4-1,'IN RPS-2015'!$Q$9),LOOKUP(DX40,$H$47:$I$53)))</f>
        <v/>
      </c>
      <c r="DZ40" s="490" t="str">
        <f>IF(DX40="","",VLOOKUP(DX40,'IN RPS-2015'!$P$164:$AA$202,11))</f>
        <v/>
      </c>
      <c r="EA40" s="461" t="str">
        <f t="shared" si="78"/>
        <v/>
      </c>
      <c r="EB40" s="461" t="str">
        <f>IF(DX40="","",ROUND(IF(EP40=3,0,IF(EP40=2,IF(DZ40=VLOOKUP(DZ40,'IN RPS-2015'!$I$2:$J$5,1),0,Main!$H$9)/2,IF(DZ40=VLOOKUP(DZ40,'IN RPS-2015'!$I$2:$J$5,1),0,Main!$H$9)))*(DAY(DY40)-DAY(DX40)+1)/DAY(EOMONTH(DX40,0)),0))</f>
        <v/>
      </c>
      <c r="EC40" s="461" t="str">
        <f>IF(DX40="","",IF(DZ40=VLOOKUP(DZ40,'IN RPS-2015'!$I$2:$J$5,1),0,ROUND(EA40*VLOOKUP(DX40,$DT$4:$DU$7,2)%,0)))</f>
        <v/>
      </c>
      <c r="ED40" s="461" t="str">
        <f>IF(DX40="","",IF(OR(EP40=3,DZ40=VLOOKUP(DZ40,'IN RPS-2015'!$I$2:$J$5,1)),0,ROUND(MIN(ROUND(DZ40*VLOOKUP(DX40,$B$1:$G$4,2)%,0),VLOOKUP(DX40,$B$2:$I$4,IF($DU$3=$I$29,7,8),TRUE))*(DAY(DY40)-DAY(DX40)+1)/DAY(EOMONTH(DX40,0)),0)))</f>
        <v/>
      </c>
      <c r="EE40" s="491" t="str">
        <f>IF(DX40="","",IF(Main!$C$26="UGC",0,IF(OR(DX40&lt;DATE(2010,4,1),$I$6=VLOOKUP(DX40,$B$2:$G$4,5,TRUE),DZ40=VLOOKUP(DZ40,'IN RPS-2015'!$I$2:$J$5,1)),0,ROUND(IF(EP40=3,0,IF(EP40=2,MIN(ROUND(DZ40*$G$13%,0),IF(DX40&lt;$I$152,$G$14,$G$15))/2,MIN(ROUND(DZ40*$G$13%,0),IF(DX40&lt;$I$152,$G$14,$G$15))))*(DAY(DY40)-DAY(DX40)+1)/DAY(EOMONTH(DX40,0)),0))))</f>
        <v/>
      </c>
      <c r="EF40" s="461" t="str">
        <f>IF(DX40="","",IF(Main!$C$26="UGC",0,IF(DZ40=VLOOKUP(DZ40,'IN RPS-2015'!$I$2:$J$5,1),0,ROUND(EA40*VLOOKUP(DX40,$DT$11:$DU$12,2)%,0))))</f>
        <v/>
      </c>
      <c r="EG40" s="461" t="str">
        <f>IF(DX40="","",IF(Main!$C$26="UGC",0,IF(DX40&lt;DATE(2010,4,1),0,IF(OR(EP40=2,EP40=3,DZ40=VLOOKUP(DZ40,'IN RPS-2015'!$I$2:$J$5,1)),0,ROUND(IF(DX40&lt;$I$152,VLOOKUP(DX40,$B$1:$G$4,4),VLOOKUP(VLOOKUP(DX40,$B$1:$G$4,4),Main!$CE$2:$CF$5,2,FALSE))*(DAY(DY40)-DAY(DX40)+1)/DAY(EOMONTH(DX40,0)),0)))))</f>
        <v/>
      </c>
      <c r="EH40" s="461" t="str">
        <f>IF(DX40="","",IF(OR(EP40=2,EP40=3,$D$31=$D$28,DZ40=VLOOKUP(DZ40,'IN RPS-2015'!$I$2:$J$5,1)),0,ROUND(MIN(IF(DX40&lt;$I$152,900,1350),ROUND(DZ40*VLOOKUP(DW40,$A$27:$C$29,3,TRUE)%,0))*IF(DW40=$A$36,$C$36,IF(DW40=$A$37,$C$37,IF(DW40=$A$38,$C$38,IF(DW40=$A$39,$C$39,IF(DW40=$A$40,$C$40,IF(DW40=$A$41,$C$41,1))))))*(DAY(DY40)-DAY(DX40)+1)/DAY(EOMONTH(DX40,0)),0)))</f>
        <v/>
      </c>
      <c r="EI40" s="461" t="str">
        <f>IF(DX40="","",IF(Main!$C$26="UGC",0,IF(OR(EP40=3,DZ40=VLOOKUP(DZ40,'IN RPS-2015'!$I$2:$J$5,1)),0,ROUND(IF(EP40=2,VLOOKUP(DZ40,IF($DU$3=$I$29,$A$20:$E$23,$F$144:$J$147),IF($B$19=VLOOKUP(DX40,$B$2:$G$4,3,TRUE),2,IF($C$19=VLOOKUP(DX40,$B$2:$G$4,3,TRUE),3,IF($D$19=VLOOKUP(DX40,$B$2:$G$4,3,TRUE),4,5))),TRUE),VLOOKUP(DZ40,IF($DU$3=$I$29,$A$20:$E$23,$F$144:$J$147),IF($B$19=VLOOKUP(DX40,$B$2:$G$4,3,TRUE),2,IF($C$19=VLOOKUP(DX40,$B$2:$G$4,3,TRUE),3,IF($D$19=VLOOKUP(DX40,$B$2:$G$4,3,TRUE),4,5))),TRUE))*(DAY(DY40)-DAY(DX40)+1)/DAY(EOMONTH(DX40,0)),0))))</f>
        <v/>
      </c>
      <c r="EJ40" s="461" t="str">
        <f>IF(DX40="","",IF(Main!$C$26="UGC",0,IF(OR(DW40&lt;DATE(2010,4,1),EP40=3,DZ40=VLOOKUP(DZ40,'IN RPS-2015'!$I$2:$J$5,1)),0,ROUND(IF(EP40=2,IF(DX40&lt;$I$152,Main!$L$9,Main!$CI$3)/2,IF(DX40&lt;$I$152,Main!$L$9,Main!$CI$3))*(DAY(DY40)-DAY(DX40)+1)/DAY(EOMONTH(DX40,0)),0))))</f>
        <v/>
      </c>
      <c r="EK40" s="461"/>
      <c r="EL40" s="461" t="str">
        <f>IF(DX40="","",IF(Main!$C$26="UGC",0,IF(OR(EP40=3,DZ40=VLOOKUP(DZ40,'IN RPS-2015'!$I$2:$J$5,1)),0,ROUND(IF(EP40=2,VLOOKUP(EA40,IF(DX40&lt;$I$152,$A$154:$E$159,$F$154:$J$159),IF($B$10=VLOOKUP(DW40,$B$2:$G$4,6,TRUE),2,IF($B$10=VLOOKUP(DW40,$B$2:$G$4,6,TRUE),3,IF($D$10=VLOOKUP(DW40,$B$2:$G$4,6,TRUE),4,5))))/2,VLOOKUP(EA40,IF(DX40&lt;$I$152,$A$154:$E$159,$F$154:$J$159),IF($B$10=VLOOKUP(DW40,$B$2:$G$4,6,TRUE),2,IF($B$10=VLOOKUP(DW40,$B$2:$G$4,6,TRUE),3,IF($D$10=VLOOKUP(DW40,$B$2:$G$4,6,TRUE),4,5)))))*(DAY(DY40)-DAY(DX40)+1)/DAY(EOMONTH(DX40,0)),0))))</f>
        <v/>
      </c>
      <c r="EM40" s="461">
        <f t="shared" si="79"/>
        <v>0</v>
      </c>
      <c r="EN40" s="464" t="str">
        <f>IF(DX40="","",IF(AND(Main!$F$22=Main!$CA$24,DX40&gt;$EN$1),ROUND(SUM(EA40,EC40)*10%,0),""))</f>
        <v/>
      </c>
      <c r="EO40" s="464" t="str">
        <f>IF(DW40="","",IF(EA40=0,0,IF(OR(Main!$H$10=Main!$BH$4,Main!$H$10=Main!$BH$5),0,LOOKUP(EM40*DAY(EOMONTH(DX40,0))/(DAY(DY40)-DAY(DX40)+1),$H$184:$I$189))))</f>
        <v/>
      </c>
      <c r="EP40" s="457">
        <f t="shared" si="62"/>
        <v>1</v>
      </c>
      <c r="ET40" s="461"/>
      <c r="EU40" s="499" t="str">
        <f t="shared" si="63"/>
        <v/>
      </c>
      <c r="EV40" s="500" t="str">
        <f t="shared" si="89"/>
        <v/>
      </c>
      <c r="EW40" s="484" t="str">
        <f>IF(EV40="","",MIN(EOMONTH(EV40,0),VLOOKUP(EV40,'IN RPS-2015'!$O$164:$P$202,2,TRUE)-1,LOOKUP(EV40,$E$47:$F$53)-1,IF(EV40&lt;$B$2,$B$2-1,'IN RPS-2015'!$Q$9),IF(EV40&lt;$B$3,$B$3-1,'IN RPS-2015'!$Q$9),IF(EV40&lt;$B$4,$B$4-1,'IN RPS-2015'!$Q$9),LOOKUP(EV40,$H$47:$I$53)))</f>
        <v/>
      </c>
      <c r="EX40" s="490" t="str">
        <f>IF(EV40="","",VLOOKUP(EV40,'IN RPS-2015'!$P$164:$AA$202,12))</f>
        <v/>
      </c>
      <c r="EY40" s="461" t="str">
        <f t="shared" si="80"/>
        <v/>
      </c>
      <c r="EZ40" s="461" t="str">
        <f>IF(EV40="","",ROUND(IF(FN40=3,0,IF(FN40=2,IF(EX40=VLOOKUP(EX40,'IN RPS-2015'!$I$2:$J$5,1),0,Main!$H$9)/2,IF(EX40=VLOOKUP(EX40,'IN RPS-2015'!$I$2:$J$5,1),0,Main!$H$9)))*(DAY(EW40)-DAY(EV40)+1)/DAY(EOMONTH(EV40,0)),0))</f>
        <v/>
      </c>
      <c r="FA40" s="461" t="str">
        <f>IF(EV40="","",IF(EX40=VLOOKUP(EX40,'IN RPS-2015'!$I$2:$J$5,1),0,ROUND(EY40*VLOOKUP(EV40,$ER$4:$ES$7,2)%,0)))</f>
        <v/>
      </c>
      <c r="FB40" s="461" t="str">
        <f>IF(EV40="","",IF(OR(FN40=3,EX40=VLOOKUP(EX40,'IN RPS-2015'!$I$2:$J$5,1)),0,ROUND(MIN(ROUND(EX40*VLOOKUP(EV40,$B$1:$G$4,2)%,0),VLOOKUP(EV40,$B$2:$I$4,IF($ES$3=$I$29,7,8),TRUE))*(DAY(EW40)-DAY(EV40)+1)/DAY(EOMONTH(EV40,0)),0)))</f>
        <v/>
      </c>
      <c r="FC40" s="491" t="str">
        <f>IF(EV40="","",IF(Main!$C$26="UGC",0,IF(OR(EV40&lt;DATE(2010,4,1),$I$6=VLOOKUP(EV40,$B$2:$G$4,5,TRUE),EX40=VLOOKUP(EX40,'IN RPS-2015'!$I$2:$J$5,1)),0,ROUND(IF(FN40=3,0,IF(FN40=2,MIN(ROUND(EX40*$G$13%,0),IF(EV40&lt;$J$152,$G$14,$G$15))/2,MIN(ROUND(EX40*$G$13%,0),IF(EV40&lt;$J$152,$G$14,$G$15))))*(DAY(EW40)-DAY(EV40)+1)/DAY(EOMONTH(EV40,0)),0))))</f>
        <v/>
      </c>
      <c r="FD40" s="461" t="str">
        <f>IF(EV40="","",IF(Main!$C$26="UGC",0,IF(EX40=VLOOKUP(EX40,'IN RPS-2015'!$I$2:$J$5,1),0,ROUND(EY40*VLOOKUP(EV40,$ER$11:$ES$12,2)%,0))))</f>
        <v/>
      </c>
      <c r="FE40" s="461" t="str">
        <f>IF(EV40="","",IF(Main!$C$26="UGC",0,IF(EV40&lt;DATE(2010,4,1),0,IF(OR(FN40=2,FN40=3,EX40=VLOOKUP(EX40,'IN RPS-2015'!$I$2:$J$5,1)),0,ROUND(IF(EV40&lt;$J$152,VLOOKUP(EV40,$B$1:$G$4,4),VLOOKUP(VLOOKUP(EV40,$B$1:$G$4,4),Main!$CE$2:$CF$5,2,FALSE))*(DAY(EW40)-DAY(EV40)+1)/DAY(EOMONTH(EV40,0)),0)))))</f>
        <v/>
      </c>
      <c r="FF40" s="461" t="str">
        <f>IF(EV40="","",IF(OR(FN40=2,FN40=3,$D$31=$D$28,EX40=VLOOKUP(EX40,'IN RPS-2015'!$I$2:$J$5,1)),0,ROUND(MIN(VLOOKUP(EU40,$A$27:$C$29,2,TRUE),ROUND(EX40*VLOOKUP(EU40,$A$27:$C$29,3,TRUE)%,0))*IF(EU40=$A$36,$C$36,IF(EU40=$A$37,$C$37,IF(EU40=$A$38,$C$38,IF(EU40=$A$39,$C$39,IF(EU40=$A$40,$C$40,IF(EU40=$A$41,$C$41,1))))))*(DAY(EW40)-DAY(EV40)+1)/DAY(EOMONTH(EV40,0)),0)))</f>
        <v/>
      </c>
      <c r="FG40" s="461" t="str">
        <f>IF(EV40="","",IF(Main!$C$26="UGC",0,IF(OR(FN40=3,EX40=VLOOKUP(EX40,'IN RPS-2015'!$I$2:$J$5,1)),0,ROUND(IF(FN40=2,VLOOKUP(EX40,IF($ES$3=$I$29,$A$20:$E$23,$F$144:$J$147),IF($B$19=VLOOKUP(EV40,$B$2:$G$4,3,TRUE),2,IF($C$19=VLOOKUP(EV40,$B$2:$G$4,3,TRUE),3,IF($D$19=VLOOKUP(EV40,$B$2:$G$4,3,TRUE),4,5))),TRUE),VLOOKUP(EX40,IF($ES$3=$I$29,$A$20:$E$23,$F$144:$J$147),IF($B$19=VLOOKUP(EV40,$B$2:$G$4,3,TRUE),2,IF($C$19=VLOOKUP(EV40,$B$2:$G$4,3,TRUE),3,IF($D$19=VLOOKUP(EV40,$B$2:$G$4,3,TRUE),4,5))),TRUE))*(DAY(EW40)-DAY(EV40)+1)/DAY(EOMONTH(EV40,0)),0))))</f>
        <v/>
      </c>
      <c r="FH40" s="461" t="str">
        <f>IF(EV40="","",IF(Main!$C$26="UGC",0,IF(OR(EU40&lt;DATE(2010,4,1),FN40=3,EX40=VLOOKUP(EX40,'IN RPS-2015'!$I$2:$J$5,1)),0,ROUND(IF(FN40=2,IF(EV40&lt;$J$152,Main!$L$9,Main!$CI$3)/2,IF(EV40&lt;$J$152,Main!$L$9,Main!$CI$3))*(DAY(EW40)-DAY(EV40)+1)/DAY(EOMONTH(EV40,0)),0))))</f>
        <v/>
      </c>
      <c r="FI40" s="461"/>
      <c r="FJ40" s="461" t="str">
        <f>IF(EV40="","",IF(Main!$C$26="UGC",0,IF(OR(FN40=3,EX40=VLOOKUP(EX40,'IN RPS-2015'!$I$2:$J$5,1)),0,ROUND(IF(FN40=2,VLOOKUP(EY40,IF(EV40&lt;$J$152,$A$154:$E$159,$F$154:$J$159),IF($B$10=VLOOKUP(EU40,$B$2:$G$4,6,TRUE),2,IF($B$10=VLOOKUP(EU40,$B$2:$G$4,6,TRUE),3,IF($D$10=VLOOKUP(EU40,$B$2:$G$4,6,TRUE),4,5))))/2,VLOOKUP(EY40,IF(EV40&lt;$J$152,$A$154:$E$159,$F$154:$J$159),IF($B$10=VLOOKUP(EU40,$B$2:$G$4,6,TRUE),2,IF($B$10=VLOOKUP(EU40,$B$2:$G$4,6,TRUE),3,IF($D$10=VLOOKUP(EU40,$B$2:$G$4,6,TRUE),4,5)))))*(DAY(EW40)-DAY(EV40)+1)/DAY(EOMONTH(EV40,0)),0))))</f>
        <v/>
      </c>
      <c r="FK40" s="461">
        <f t="shared" si="81"/>
        <v>0</v>
      </c>
      <c r="FL40" s="464" t="str">
        <f>IF(EV40="","",IF(AND(Main!$F$22=Main!$CA$24,EV40&gt;$FL$1),ROUND(SUM(EY40,FA40)*10%,0),""))</f>
        <v/>
      </c>
      <c r="FM40" s="464" t="str">
        <f>IF(EU40="","",IF(EY40=0,0,IF(OR(Main!$H$10=Main!$BH$4,Main!$H$10=Main!$BH$5),0,LOOKUP(FK40*DAY(EOMONTH(EV40,0))/(DAY(EW40)-DAY(EV40)+1),$H$184:$I$189))))</f>
        <v/>
      </c>
      <c r="FN40" s="457">
        <f t="shared" si="64"/>
        <v>1</v>
      </c>
    </row>
    <row r="41" spans="1:170">
      <c r="A41" s="459">
        <f>DATE(2016,6,1)</f>
        <v>42522</v>
      </c>
      <c r="B41" s="457">
        <f>IF(D32=D29,18,30)</f>
        <v>18</v>
      </c>
      <c r="C41" s="485">
        <f t="shared" si="91"/>
        <v>0.6</v>
      </c>
      <c r="E41" s="2">
        <f>Main!AB7</f>
        <v>1</v>
      </c>
      <c r="F41" s="117">
        <f>Main!AC7</f>
        <v>42461</v>
      </c>
      <c r="G41" s="117">
        <f>Main!AD7</f>
        <v>42461</v>
      </c>
      <c r="K41" s="170">
        <f>Main!L19</f>
        <v>42461</v>
      </c>
      <c r="L41" s="169">
        <f>L40</f>
        <v>77.896000000000001</v>
      </c>
      <c r="M41" s="457">
        <v>107</v>
      </c>
      <c r="N41" s="457">
        <f>N40</f>
        <v>8.9079999999999995</v>
      </c>
      <c r="AH41" s="461"/>
      <c r="AI41" s="499" t="str">
        <f t="shared" si="54"/>
        <v/>
      </c>
      <c r="AJ41" s="500" t="str">
        <f t="shared" si="84"/>
        <v/>
      </c>
      <c r="AK41" s="484" t="str">
        <f>IF(AJ41="","",MIN(EOMONTH(AJ41,0),VLOOKUP(AJ41,'IN RPS-2015'!$O$164:$P$202,2,TRUE)-1,LOOKUP(AJ41,$E$47:$F$53)-1,IF(AJ41&lt;$B$2,$B$2-1,'IN RPS-2015'!$Q$9),IF(AJ41&lt;$B$3,$B$3-1,'IN RPS-2015'!$Q$9),IF(AJ41&lt;$B$4,$B$4-1,'IN RPS-2015'!$Q$9),LOOKUP(AJ41,$H$47:$I$53)))</f>
        <v/>
      </c>
      <c r="AL41" s="490" t="str">
        <f>IF(AJ41="","",VLOOKUP(AJ41,'IN RPS-2015'!$P$164:$AA$202,9))</f>
        <v/>
      </c>
      <c r="AM41" s="461" t="str">
        <f t="shared" si="66"/>
        <v/>
      </c>
      <c r="AN41" s="461" t="str">
        <f>IF(AJ41="","",IF(AND($AG$3=$AG$1,AJ41&lt;=$AZ$1),0,ROUND(IF(BB41=3,0,IF(BB41=2,IF(AL41=VLOOKUP(AL41,'IN RPS-2015'!$I$2:$J$5,1),0,Main!$H$9)/2,IF(AL41=VLOOKUP(AL41,'IN RPS-2015'!$I$2:$J$5,1),0,Main!$H$9)))*(DAY(AK41)-DAY(AJ41)+1)/DAY(EOMONTH(AJ41,0)),0)))</f>
        <v/>
      </c>
      <c r="AO41" s="461" t="str">
        <f>IF(AJ41="","",IF(AND($AG$3=$AG$1,AJ41&lt;=$AZ$1),0,IF(AL41=VLOOKUP(AL41,'IN RPS-2015'!$I$2:$J$5,1),0,ROUND(AM41*VLOOKUP(AJ41,$AF$4:$AG$7,2)%,0))))</f>
        <v/>
      </c>
      <c r="AP41" s="461" t="str">
        <f>IF(AJ41="","",IF(AND($AG$3=$AG$1,AJ41&lt;=$AZ$1),0,IF(OR(BB41=3,AL41=VLOOKUP(AL41,'IN RPS-2015'!$I$2:$J$5,1)),0,ROUND(MIN(ROUND(AL41*VLOOKUP(AJ41,$B$1:$G$4,2)%,0),VLOOKUP(AJ41,$B$2:$I$4,IF($AG$3=$I$29,7,8),TRUE))*(DAY(AK41)-DAY(AJ41)+1)/DAY(EOMONTH(AJ41,0)),0))))</f>
        <v/>
      </c>
      <c r="AQ41" s="491" t="str">
        <f>IF(AJ41="","",IF(AND($AG$3=$AG$1,AJ41&lt;=$AZ$1),0,IF(Main!$C$26="UGC",0,IF(OR(AJ41&lt;DATE(2010,4,1),$I$6=VLOOKUP(AJ41,$B$2:$G$4,5,TRUE),AL41=VLOOKUP(AL41,'IN RPS-2015'!$I$2:$J$5,1)),0,ROUND(IF(BB41=3,0,IF(BB41=2,MIN(ROUND(AL41*$G$13%,0),IF(AJ41&lt;$J$152,$G$14,$G$15))/2,MIN(ROUND(AL41*$G$13%,0),IF(AJ41&lt;$J$152,$G$14,$G$15))))*(DAY(AK41)-DAY(AJ41)+1)/DAY(EOMONTH(AJ41,0)),0)))))</f>
        <v/>
      </c>
      <c r="AR41" s="461" t="str">
        <f>IF(AJ41="","",IF(AND($AG$3=$AG$1,AJ41&lt;=$AZ$1),0,IF(Main!$C$26="UGC",0,IF(AL41=VLOOKUP(AL41,'IN RPS-2015'!$I$2:$J$5,1),0,ROUND(AM41*VLOOKUP(AJ41,$AF$11:$AG$12,2)%,0)))))</f>
        <v/>
      </c>
      <c r="AS41" s="461" t="str">
        <f>IF(AJ41="","",IF(AND($AG$3=$AG$1,AJ41&lt;=$AZ$1),0,IF(Main!$C$26="UGC",0,IF(AJ41&lt;DATE(2010,4,1),0,IF(OR(BB41=2,BB41=3,AL41=VLOOKUP(AL41,'IN RPS-2015'!$I$2:$J$5,1)),0,ROUND(IF(AJ41&lt;$J$152,VLOOKUP(AJ41,$B$1:$G$4,4),VLOOKUP(VLOOKUP(AJ41,$B$1:$G$4,4),Main!$CE$2:$CF$5,2,FALSE))*(DAY(AK41)-DAY(AJ41)+1)/DAY(EOMONTH(AJ41,0)),0))))))</f>
        <v/>
      </c>
      <c r="AT41" s="461" t="str">
        <f>IF(AJ41="","",IF(AND($AG$3=$AG$1,AJ41&lt;=$AZ$1),0,IF(OR(BB41=2,BB41=3,$D$31=$D$28,AL41=VLOOKUP(AL41,'IN RPS-2015'!$I$2:$J$5,1)),0,ROUND(MIN(VLOOKUP(AI41,$A$27:$C$29,2,TRUE),ROUND(AL41*VLOOKUP(AI41,$A$27:$C$29,3,TRUE)%,0))*IF(AI41=$A$36,$C$36,IF(AI41=$A$37,$C$37,IF(AI41=$A$38,$C$38,IF(AI41=$A$39,$C$39,IF(AI41=$A$40,$C$40,IF(AI41=$A$41,$C$41,1))))))*(DAY(AK41)-DAY(AJ41)+1)/DAY(EOMONTH(AJ41,0)),0))))</f>
        <v/>
      </c>
      <c r="AU41" s="461" t="str">
        <f>IF(AJ41="","",IF(AND($AG$3=$AG$1,AJ41&lt;=$AZ$1),0,IF(Main!$C$26="UGC",0,IF(OR(BB41=3,AL41=VLOOKUP(AL41,'IN RPS-2015'!$I$2:$J$5,1)),0,ROUND(IF(BB41=2,VLOOKUP(AL41,IF($AG$3=$I$29,$A$20:$E$23,$F$144:$J$147),IF($B$19=VLOOKUP(AJ41,$B$2:$G$4,3,TRUE),2,IF($C$19=VLOOKUP(AJ41,$B$2:$G$4,3,TRUE),3,IF($D$19=VLOOKUP(AJ41,$B$2:$G$4,3,TRUE),4,5))),TRUE),VLOOKUP(AL41,IF($AG$3=$I$29,$A$20:$E$23,$F$144:$J$147),IF($B$19=VLOOKUP(AJ41,$B$2:$G$4,3,TRUE),2,IF($C$19=VLOOKUP(AJ41,$B$2:$G$4,3,TRUE),3,IF($D$19=VLOOKUP(AJ41,$B$2:$G$4,3,TRUE),4,5))),TRUE))*(DAY(AK41)-DAY(AJ41)+1)/DAY(EOMONTH(AJ41,0)),0)))))</f>
        <v/>
      </c>
      <c r="AV41" s="461" t="str">
        <f>IF(AJ41="","",IF(AND($AG$3=$AG$1,AJ41&lt;=$AZ$1),0,IF(Main!$C$26="UGC",0,IF(OR(AI41&lt;DATE(2010,4,1),BB41=3,AL41=VLOOKUP(AL41,'IN RPS-2015'!$I$2:$J$5,1)),0,ROUND(IF(BB41=2,IF(AJ41&lt;$J$152,Main!$L$9,Main!$CI$3)/2,IF(AJ41&lt;$J$152,Main!$L$9,Main!$CI$3))*(DAY(AK41)-DAY(AJ41)+1)/DAY(EOMONTH(AJ41,0)),0)))))</f>
        <v/>
      </c>
      <c r="AW41" s="461"/>
      <c r="AX41" s="461" t="str">
        <f>IF(AJ41="","",IF(AND($AG$3=$AG$1,AJ41&lt;=$AZ$1),0,IF(Main!$C$26="UGC",0,IF(OR(BB41=3,AL41=VLOOKUP(AL41,'IN RPS-2015'!$I$2:$J$5,1)),0,ROUND(IF(BB41=2,VLOOKUP(AM41,IF(AJ41&lt;$J$152,$A$154:$E$159,$F$154:$J$159),IF($B$10=VLOOKUP(AI41,$B$2:$G$4,6,TRUE),2,IF($B$10=VLOOKUP(AI41,$B$2:$G$4,6,TRUE),3,IF($D$10=VLOOKUP(AI41,$B$2:$G$4,6,TRUE),4,5))))/2,VLOOKUP(AM41,IF(AJ41&lt;$J$152,$A$154:$E$159,$F$154:$J$159),IF($B$10=VLOOKUP(AI41,$B$2:$G$4,6,TRUE),2,IF($B$10=VLOOKUP(AI41,$B$2:$G$4,6,TRUE),3,IF($D$10=VLOOKUP(AI41,$B$2:$G$4,6,TRUE),4,5)))))*(DAY(AK41)-DAY(AJ41)+1)/DAY(EOMONTH(AJ41,0)),0)))))</f>
        <v/>
      </c>
      <c r="AY41" s="461">
        <f t="shared" si="67"/>
        <v>0</v>
      </c>
      <c r="AZ41" s="464" t="str">
        <f>IF(AJ41="","",IF(AND($AG$3=$AG$1,AJ41&lt;=$AZ$1),0,IF(AND(Main!$F$22=Main!$CA$24,AJ41&gt;$AZ$1),ROUND(SUM(AM41,AO41)*10%,0),"")))</f>
        <v/>
      </c>
      <c r="BA41" s="464" t="str">
        <f>IF(AI41="","",IF(AND($AG$3=$AG$1,AJ41&lt;=$AZ$1),0,IF(OR(Main!$H$10=Main!$BH$4,Main!$H$10=Main!$BH$5),0,LOOKUP(AY41*DAY(EOMONTH(AJ41,0))/(DAY(AK41)-DAY(AJ41)+1),$H$184:$I$189))))</f>
        <v/>
      </c>
      <c r="BB41" s="497">
        <f t="shared" si="55"/>
        <v>1</v>
      </c>
      <c r="BC41" s="464"/>
      <c r="BD41" s="501" t="str">
        <f t="shared" si="56"/>
        <v/>
      </c>
      <c r="BE41" s="502" t="str">
        <f t="shared" si="85"/>
        <v/>
      </c>
      <c r="BF41" s="484" t="str">
        <f>IF(BE41="","",MIN(EOMONTH(BE41,0),VLOOKUP(BE41,'IN RPS-2015'!$O$164:$P$202,2,TRUE)-1,LOOKUP(BE41,$E$47:$F$53)-1,IF(BE41&lt;$B$2,$B$2-1,'IN RPS-2015'!$Q$9),IF(BE41&lt;$B$3,$B$3-1,'IN RPS-2015'!$Q$9),IF(BE41&lt;$B$4,$B$4-1,'IN RPS-2015'!$Q$9),LOOKUP(BE41,$H$47:$I$53)))</f>
        <v/>
      </c>
      <c r="BG41" s="493" t="str">
        <f>IF(BE41="","",VLOOKUP(BE41,'IN RPS-2015'!$P$164:$AA$202,10))</f>
        <v/>
      </c>
      <c r="BH41" s="461" t="str">
        <f t="shared" si="68"/>
        <v/>
      </c>
      <c r="BI41" s="461" t="str">
        <f>IF(BE41="","",IF(AND($AG$3=$AG$1,BE41&lt;=$AZ$1),0,ROUND(IF(BW41=3,0,IF(BW41=2,IF(BG41=VLOOKUP(BG41,'IN RPS-2015'!$I$2:$J$5,1),0,Main!$H$9)/2,IF(BG41=VLOOKUP(BG41,'IN RPS-2015'!$I$2:$J$5,1),0,Main!$H$9)))*(DAY(BF41)-DAY(BE41)+1)/DAY(EOMONTH(BE41,0)),0)))</f>
        <v/>
      </c>
      <c r="BJ41" s="461" t="str">
        <f>IF(BE41="","",IF(AND($AG$3=$AG$1,BE41&lt;=$AZ$1),0,IF(BG41=VLOOKUP(BG41,'IN RPS-2015'!$I$2:$J$5,1),0,ROUND(BH41*VLOOKUP(BE41,$AF$4:$AG$7,2)%,0))))</f>
        <v/>
      </c>
      <c r="BK41" s="461" t="str">
        <f>IF(BE41="","",IF(AND($AG$3=$AG$1,BE41&lt;=$AZ$1),0,IF(OR(BW41=3,BG41=VLOOKUP(BG41,'IN RPS-2015'!$I$2:$J$5,1)),0,ROUND(MIN(ROUND(BG41*VLOOKUP(BE41,$B$1:$G$4,2)%,0),VLOOKUP(BE41,$B$2:$I$4,IF($AG$3=$I$29,7,8),TRUE))*(DAY(BF41)-DAY(BE41)+1)/DAY(EOMONTH(BE41,0)),0))))</f>
        <v/>
      </c>
      <c r="BL41" s="491" t="str">
        <f>IF(BE41="","",IF(AND($AG$3=$AG$1,BE41&lt;=$AZ$1),0,IF(Main!$C$26="UGC",0,IF(OR(BE41&lt;DATE(2010,4,1),$I$6=VLOOKUP(BE41,$B$2:$G$4,5,TRUE),BG41=VLOOKUP(BG41,'IN RPS-2015'!$I$2:$J$5,1)),0,ROUND(IF(BW41=3,0,IF(BW41=2,MIN(ROUND(BG41*$G$13%,0),IF(BE41&lt;$J$152,$G$14,$G$15))/2,MIN(ROUND(BG41*$G$13%,0),IF(BE41&lt;$J$152,$G$14,$G$15))))*(DAY(BF41)-DAY(BE41)+1)/DAY(EOMONTH(BE41,0)),0)))))</f>
        <v/>
      </c>
      <c r="BM41" s="461" t="str">
        <f>IF(BE41="","",IF(AND($AG$3=$AG$1,BE41&lt;=$AZ$1),0,IF(Main!$C$26="UGC",0,IF(BG41=VLOOKUP(BG41,'IN RPS-2015'!$I$2:$J$5,1),0,ROUND(BH41*VLOOKUP(BE41,$AF$11:$AG$12,2)%,0)))))</f>
        <v/>
      </c>
      <c r="BN41" s="461" t="str">
        <f>IF(BE41="","",IF(AND($AG$3=$AG$1,BE41&lt;=$AZ$1),0,IF(Main!$C$26="UGC",0,IF(BE41&lt;DATE(2010,4,1),0,IF(OR(BW41=2,BW41=3,BG41=VLOOKUP(BG41,'IN RPS-2015'!$I$2:$J$5,1)),0,ROUND(IF(BE41&lt;$J$152,VLOOKUP(BE41,$B$1:$G$4,4),VLOOKUP(VLOOKUP(BE41,$B$1:$G$4,4),Main!$CE$2:$CF$5,2,FALSE))*(DAY(BF41)-DAY(BE41)+1)/DAY(EOMONTH(BE41,0)),0))))))</f>
        <v/>
      </c>
      <c r="BO41" s="461" t="str">
        <f>IF(BE41="","",IF(AND($AG$3=$AG$1,BE41&lt;=$AZ$1),0,IF(OR(BW41=2,BW41=3,$D$31=$D$28,BG41=VLOOKUP(BG41,'IN RPS-2015'!$I$2:$J$5,1)),0,ROUND(MIN(VLOOKUP(BD41,$A$27:$C$29,2,TRUE),ROUND(BG41*VLOOKUP(BD41,$A$27:$C$29,3,TRUE)%,0))*IF(BD41=$A$36,$C$36,IF(BD41=$A$37,$C$37,IF(BD41=$A$38,$C$38,IF(BD41=$A$39,$C$39,IF(BD41=$A$40,$C$40,IF(BD41=$A$41,$C$41,1))))))*(DAY(BF41)-DAY(BE41)+1)/DAY(EOMONTH(BE41,0)),0))))</f>
        <v/>
      </c>
      <c r="BP41" s="461" t="str">
        <f>IF(BE41="","",IF(AND($AG$3=$AG$1,BE41&lt;=$AZ$1),0,IF(Main!$C$26="UGC",0,IF(OR(BW41=3,BG41=VLOOKUP(BG41,'IN RPS-2015'!$I$2:$J$5,1)),0,ROUND(IF(BW41=2,VLOOKUP(BG41,IF($AG$3=$I$29,$A$20:$E$23,$F$144:$J$147),IF($B$19=VLOOKUP(BE41,$B$2:$G$4,3,TRUE),2,IF($C$19=VLOOKUP(BE41,$B$2:$G$4,3,TRUE),3,IF($D$19=VLOOKUP(BE41,$B$2:$G$4,3,TRUE),4,5))),TRUE),VLOOKUP(BG41,IF($AG$3=$I$29,$A$20:$E$23,$F$144:$J$147),IF($B$19=VLOOKUP(BE41,$B$2:$G$4,3,TRUE),2,IF($C$19=VLOOKUP(BE41,$B$2:$G$4,3,TRUE),3,IF($D$19=VLOOKUP(BE41,$B$2:$G$4,3,TRUE),4,5))),TRUE))*(DAY(BF41)-DAY(BE41)+1)/DAY(EOMONTH(BE41,0)),0)))))</f>
        <v/>
      </c>
      <c r="BQ41" s="461" t="str">
        <f>IF(BE41="","",IF(AND($AG$3=$AG$1,BE41&lt;=$AZ$1),0,IF(Main!$C$26="UGC",0,IF(OR(BD41&lt;DATE(2010,4,1),BW41=3,BG41=VLOOKUP(BG41,'IN RPS-2015'!$I$2:$J$5,1)),0,ROUND(IF(BW41=2,IF(BE41&lt;$J$152,Main!$L$9,Main!$CI$3)/2,IF(BE41&lt;$J$152,Main!$L$9,Main!$CI$3))*(DAY(BF41)-DAY(BE41)+1)/DAY(EOMONTH(BE41,0)),0)))))</f>
        <v/>
      </c>
      <c r="BR41" s="461"/>
      <c r="BS41" s="461" t="str">
        <f>IF(BE41="","",IF(AND($AG$3=$AG$1,BE41&lt;=$AZ$1),0,IF(Main!$C$26="UGC",0,IF(OR(BW41=3,BG41=VLOOKUP(BG41,'IN RPS-2015'!$I$2:$J$5,1)),0,ROUND(IF(BW41=2,VLOOKUP(BH41,IF(BE41&lt;$J$152,$A$154:$E$159,$F$154:$J$159),IF($B$10=VLOOKUP(BD41,$B$2:$G$4,6,TRUE),2,IF($B$10=VLOOKUP(BD41,$B$2:$G$4,6,TRUE),3,IF($D$10=VLOOKUP(BD41,$B$2:$G$4,6,TRUE),4,5))))/2,VLOOKUP(BH41,IF(BE41&lt;$J$152,$A$154:$E$159,$F$154:$J$159),IF($B$10=VLOOKUP(BD41,$B$2:$G$4,6,TRUE),2,IF($B$10=VLOOKUP(BD41,$B$2:$G$4,6,TRUE),3,IF($D$10=VLOOKUP(BD41,$B$2:$G$4,6,TRUE),4,5)))))*(DAY(BF41)-DAY(BE41)+1)/DAY(EOMONTH(BE41,0)),0)))))</f>
        <v/>
      </c>
      <c r="BT41" s="461">
        <f t="shared" si="69"/>
        <v>0</v>
      </c>
      <c r="BU41" s="464" t="str">
        <f>IF(BE41="","",IF(AND($AG$3=$AG$1,BE41&lt;=$AZ$1),0,IF(AND(Main!$F$22=Main!$CA$24,BE41&gt;$AZ$1),ROUND(SUM(BH41,BJ41)*10%,0),"")))</f>
        <v/>
      </c>
      <c r="BV41" s="464" t="str">
        <f>IF(BD41="","",IF(AND($AG$3=$AG$1,BE41&lt;=$AZ$1),0,IF(OR(Main!$H$10=Main!$BH$4,Main!$H$10=Main!$BH$5),0,LOOKUP(BT41*DAY(EOMONTH(BE41,0))/(DAY(BF41)-DAY(BE41)+1),$H$184:$I$189))))</f>
        <v/>
      </c>
      <c r="BW41" s="503">
        <f t="shared" si="70"/>
        <v>1</v>
      </c>
      <c r="BX41" s="457">
        <f t="shared" si="90"/>
        <v>0</v>
      </c>
      <c r="BY41" s="457"/>
      <c r="BZ41" s="457"/>
      <c r="CA41" s="457"/>
      <c r="CB41" s="461"/>
      <c r="CC41" s="499" t="str">
        <f t="shared" si="57"/>
        <v/>
      </c>
      <c r="CD41" s="500" t="str">
        <f t="shared" si="86"/>
        <v/>
      </c>
      <c r="CE41" s="484" t="str">
        <f>IF(CD41="","",MIN(EOMONTH(CD41,0),VLOOKUP(CD41,'IN RPS-2015'!$O$164:$P$202,2,TRUE)-1,LOOKUP(CD41,$E$47:$F$53)-1,IF(CD41&lt;$B$2,$B$2-1,'IN RPS-2015'!$Q$9),IF(CD41&lt;$B$3,$B$3-1,'IN RPS-2015'!$Q$9),IF(CD41&lt;$B$4,$B$4-1,'IN RPS-2015'!$Q$9),LOOKUP(CD41,$H$47:$I$53)))</f>
        <v/>
      </c>
      <c r="CF41" s="490" t="str">
        <f>IF(CD41="","",VLOOKUP(CD41,'IN RPS-2015'!$T$207:$Y$222,5))</f>
        <v/>
      </c>
      <c r="CG41" s="461" t="str">
        <f t="shared" si="72"/>
        <v/>
      </c>
      <c r="CH41" s="461" t="str">
        <f>IF(CD41="","",IF(AND($CA$3=$CA$1,CD41&lt;=$CT$1),0,ROUND(IF(CV41=3,0,IF(CV41=2,IF(CF41=VLOOKUP(CF41,'IN RPS-2015'!$I$2:$J$5,1),0,Main!$H$9)/2,IF(CF41=VLOOKUP(CF41,'IN RPS-2015'!$I$2:$J$5,1),0,Main!$H$9)))*(DAY(CE41)-DAY(CD41)+1)/DAY(EOMONTH(CD41,0)),0)))</f>
        <v/>
      </c>
      <c r="CI41" s="461" t="str">
        <f>IF(CD41="","",IF(AND($CA$3=$CA$1,CD41&lt;=$CT$1),0,IF(CF41=VLOOKUP(CF41,'IN RPS-2015'!$I$2:$J$5,1),0,ROUND(CG41*VLOOKUP(CD41,$BZ$4:$CA$7,2)%,0))))</f>
        <v/>
      </c>
      <c r="CJ41" s="461" t="str">
        <f>IF(CD41="","",IF(AND($CA$3=$CA$1,CD41&lt;=$CT$1),0,IF(OR(CV41=3,CF41=VLOOKUP(CF41,'IN RPS-2015'!$I$2:$J$5,1)),0,ROUND(MIN(ROUND(CF41*VLOOKUP(CD41,$B$1:$G$4,2)%,0),VLOOKUP(CD41,$B$2:$I$4,IF($CA$3=$I$29,7,8),TRUE))*(DAY(CE41)-DAY(CD41)+1)/DAY(EOMONTH(CD41,0)),0))))</f>
        <v/>
      </c>
      <c r="CK41" s="491" t="str">
        <f>IF(CD41="","",IF(AND($CA$3=$CA$1,CD41&lt;=$CT$1),0,IF(Main!$C$26="UGC",0,IF(OR(CD41&lt;DATE(2010,4,1),$I$6=VLOOKUP(CD41,$B$2:$G$4,5,TRUE),CF41=VLOOKUP(CF41,'IN RPS-2015'!$I$2:$J$5,1)),0,ROUND(IF(CV41=3,0,IF(CV41=2,MIN(ROUND(CF41*$G$13%,0),IF(CD41&lt;$J$152,$G$14,$G$15))/2,MIN(ROUND(CF41*$G$13%,0),IF(CD41&lt;$J$152,$G$14,$G$15))))*(DAY(CE41)-DAY(CD41)+1)/DAY(EOMONTH(CD41,0)),0)))))</f>
        <v/>
      </c>
      <c r="CL41" s="461" t="str">
        <f>IF(CD41="","",IF(AND($CA$3=$CA$1,CD41&lt;=$CT$1),0,IF(Main!$C$26="UGC",0,IF(CF41=VLOOKUP(CF41,'IN RPS-2015'!$I$2:$J$5,1),0,ROUND(CG41*VLOOKUP(CD41,$BZ$11:$CA$12,2)%,0)))))</f>
        <v/>
      </c>
      <c r="CM41" s="461" t="str">
        <f>IF(CD41="","",IF(AND($CA$3=$CA$1,CD41&lt;=$CT$1),0,IF(Main!$C$26="UGC",0,IF(CD41&lt;DATE(2010,4,1),0,IF(OR(CV41=2,CV41=3,CF41=VLOOKUP(CF41,'IN RPS-2015'!$I$2:$J$5,1)),0,ROUND(IF(CD41&lt;$J$152,VLOOKUP(CD41,$B$1:$G$4,4),VLOOKUP(VLOOKUP(CD41,$B$1:$G$4,4),Main!$CE$2:$CF$5,2,FALSE))*(DAY(CE41)-DAY(CD41)+1)/DAY(EOMONTH(CD41,0)),0))))))</f>
        <v/>
      </c>
      <c r="CN41" s="461" t="str">
        <f>IF(CD41="","",IF(AND($CA$3=$CA$1,CD41&lt;=$CT$1),0,IF(OR(CV41=2,CV41=3,$D$31=$D$28,CF41=VLOOKUP(CF41,'IN RPS-2015'!$I$2:$J$5,1)),0,ROUND(MIN(VLOOKUP(CC41,$A$27:$C$29,2,TRUE),ROUND(CF41*VLOOKUP(CC41,$A$27:$C$29,3,TRUE)%,0))*IF(CC41=$A$36,$C$36,IF(CC41=$A$37,$C$37,IF(CC41=$A$38,$C$38,IF(CC41=$A$39,$C$39,IF(CC41=$A$40,$C$40,IF(CC41=$A$41,$C$41,1))))))*(DAY(CE41)-DAY(CD41)+1)/DAY(EOMONTH(CD41,0)),0))))</f>
        <v/>
      </c>
      <c r="CO41" s="461" t="str">
        <f>IF(CD41="","",IF(AND($CA$3=$CA$1,CD41&lt;=$CT$1),0,IF(Main!$C$26="UGC",0,IF(OR(CV41=3,CF41=VLOOKUP(CF41,'IN RPS-2015'!$I$2:$J$5,1)),0,ROUND(IF(CV41=2,VLOOKUP(CF41,IF($CA$3=$I$29,$A$20:$E$23,$F$144:$J$147),IF($B$19=VLOOKUP(CD41,$B$2:$G$4,3,TRUE),2,IF($C$19=VLOOKUP(CD41,$B$2:$G$4,3,TRUE),3,IF($D$19=VLOOKUP(CD41,$B$2:$G$4,3,TRUE),4,5))),TRUE),VLOOKUP(CF41,IF($CA$3=$I$29,$A$20:$E$23,$F$144:$J$147),IF($B$19=VLOOKUP(CD41,$B$2:$G$4,3,TRUE),2,IF($C$19=VLOOKUP(CD41,$B$2:$G$4,3,TRUE),3,IF($D$19=VLOOKUP(CD41,$B$2:$G$4,3,TRUE),4,5))),TRUE))*(DAY(CE41)-DAY(CD41)+1)/DAY(EOMONTH(CD41,0)),0)))))</f>
        <v/>
      </c>
      <c r="CP41" s="461" t="str">
        <f>IF(CD41="","",IF(AND($CA$3=$CA$1,CD41&lt;=$CT$1),0,IF(Main!$C$26="UGC",0,IF(OR(CC41&lt;DATE(2010,4,1),CV41=3,CF41=VLOOKUP(CF41,'IN RPS-2015'!$I$2:$J$5,1)),0,ROUND(IF(CV41=2,IF(CD41&lt;$J$152,Main!$L$9,Main!$CI$3)/2,IF(CD41&lt;$J$152,Main!$L$9,Main!$CI$3))*(DAY(CE41)-DAY(CD41)+1)/DAY(EOMONTH(CD41,0)),0)))))</f>
        <v/>
      </c>
      <c r="CQ41" s="461"/>
      <c r="CR41" s="461" t="str">
        <f>IF(CD41="","",IF(AND($CA$3=$CA$1,CD41&lt;=$CT$1),0,IF(Main!$C$26="UGC",0,IF(OR(CV41=3,CF41=VLOOKUP(CF41,'IN RPS-2015'!$I$2:$J$5,1)),0,ROUND(IF(CV41=2,VLOOKUP(CG41,IF(CD41&lt;$J$152,$A$154:$E$159,$F$154:$J$159),IF($B$10=VLOOKUP(CC41,$B$2:$G$4,6,TRUE),2,IF($B$10=VLOOKUP(CC41,$B$2:$G$4,6,TRUE),3,IF($D$10=VLOOKUP(CC41,$B$2:$G$4,6,TRUE),4,5))))/2,VLOOKUP(CG41,IF(CD41&lt;$J$152,$A$154:$E$159,$F$154:$J$159),IF($B$10=VLOOKUP(CC41,$B$2:$G$4,6,TRUE),2,IF($B$10=VLOOKUP(CC41,$B$2:$G$4,6,TRUE),3,IF($D$10=VLOOKUP(CC41,$B$2:$G$4,6,TRUE),4,5)))))*(DAY(CE41)-DAY(CD41)+1)/DAY(EOMONTH(CD41,0)),0)))))</f>
        <v/>
      </c>
      <c r="CS41" s="461">
        <f t="shared" si="73"/>
        <v>0</v>
      </c>
      <c r="CT41" s="464" t="str">
        <f>IF(CD41="","",IF(AND($CA$3=$CA$1,CD41&lt;=$CT$1),0,IF(AND(Main!$F$22=Main!$CA$24,CD41&gt;$CT$1),ROUND(SUM(CG41,CI41)*10%,0),"")))</f>
        <v/>
      </c>
      <c r="CU41" s="464" t="str">
        <f>IF(CC41="","",IF(CG41=0,0,IF(OR(Main!$H$10=Main!$BH$4,Main!$H$10=Main!$BH$5),0,LOOKUP(CS41*DAY(EOMONTH(CD41,0))/(DAY(CE41)-DAY(CD41)+1),$H$184:$I$189))))</f>
        <v/>
      </c>
      <c r="CV41" s="457">
        <f t="shared" si="74"/>
        <v>1</v>
      </c>
      <c r="CW41" s="464"/>
      <c r="CX41" s="501" t="str">
        <f t="shared" si="59"/>
        <v/>
      </c>
      <c r="CY41" s="502" t="str">
        <f t="shared" si="87"/>
        <v/>
      </c>
      <c r="CZ41" s="484" t="str">
        <f>IF(CY41="","",MIN(EOMONTH(CY41,0),VLOOKUP(CY41,'IN RPS-2015'!$O$164:$P$202,2,TRUE)-1,LOOKUP(CY41,$E$47:$F$53)-1,IF(CY41&lt;$B$2,$B$2-1,'IN RPS-2015'!$Q$9),IF(CY41&lt;$B$3,$B$3-1,'IN RPS-2015'!$Q$9),IF(CY41&lt;$B$4,$B$4-1,'IN RPS-2015'!$Q$9),LOOKUP(CY41,$H$47:$I$53)))</f>
        <v/>
      </c>
      <c r="DA41" s="493" t="str">
        <f>IF(CY41="","",VLOOKUP(CY41,'IN RPS-2015'!$T$207:$Y$222,6))</f>
        <v/>
      </c>
      <c r="DB41" s="461" t="str">
        <f t="shared" si="75"/>
        <v/>
      </c>
      <c r="DC41" s="461" t="str">
        <f>IF(CY41="","",IF(AND($CA$3=$CA$1,CY41&lt;=$CT$1),0,ROUND(IF(DQ41=3,0,IF(DQ41=2,IF(DA41=VLOOKUP(DA41,'IN RPS-2015'!$I$2:$J$5,1),0,Main!$H$9)/2,IF(DA41=VLOOKUP(DA41,'IN RPS-2015'!$I$2:$J$5,1),0,Main!$H$9)))*(DAY(CZ41)-DAY(CY41)+1)/DAY(EOMONTH(CY41,0)),0)))</f>
        <v/>
      </c>
      <c r="DD41" s="461" t="str">
        <f>IF(CY41="","",IF(AND($CA$3=$CA$1,CY41&lt;=$CT$1),0,IF(DA41=VLOOKUP(DA41,'IN RPS-2015'!$I$2:$J$5,1),0,ROUND(DB41*VLOOKUP(CY41,$BZ$4:$CA$7,2)%,0))))</f>
        <v/>
      </c>
      <c r="DE41" s="461" t="str">
        <f>IF(CY41="","",IF(AND($CA$3=$CA$1,CY41&lt;=$CT$1),0,IF(OR(DQ41=3,DA41=VLOOKUP(DA41,'IN RPS-2015'!$I$2:$J$5,1)),0,ROUND(MIN(ROUND(DA41*VLOOKUP(CY41,$B$1:$G$4,2)%,0),VLOOKUP(CY41,$B$2:$I$4,IF($CA$3=$I$29,7,8),TRUE))*(DAY(CZ41)-DAY(CY41)+1)/DAY(EOMONTH(CY41,0)),0))))</f>
        <v/>
      </c>
      <c r="DF41" s="491" t="str">
        <f>IF(CY41="","",IF(AND($CA$3=$CA$1,CY41&lt;=$CT$1),0,IF(Main!$C$26="UGC",0,IF(OR(CY41&lt;DATE(2010,4,1),$I$6=VLOOKUP(CY41,$B$2:$G$4,5,TRUE),DA41=VLOOKUP(DA41,'IN RPS-2015'!$I$2:$J$5,1)),0,ROUND(IF(DQ41=3,0,IF(DQ41=2,MIN(ROUND(DA41*$G$13%,0),IF(CY41&lt;$J$152,$G$14,$G$15))/2,MIN(ROUND(DA41*$G$13%,0),IF(CY41&lt;$J$152,$G$14,$G$15))))*(DAY(CZ41)-DAY(CY41)+1)/DAY(EOMONTH(CY41,0)),0)))))</f>
        <v/>
      </c>
      <c r="DG41" s="461" t="str">
        <f>IF(CY41="","",IF(AND($CA$3=$CA$1,CY41&lt;=$CT$1),0,IF(Main!$C$26="UGC",0,IF(DA41=VLOOKUP(DA41,'IN RPS-2015'!$I$2:$J$5,1),0,ROUND(DB41*VLOOKUP(CY41,$BZ$11:$CA$12,2)%,0)))))</f>
        <v/>
      </c>
      <c r="DH41" s="461" t="str">
        <f>IF(CY41="","",IF(AND($CA$3=$CA$1,CY41&lt;=$CT$1),0,IF(Main!$C$26="UGC",0,IF(CY41&lt;DATE(2010,4,1),0,IF(OR(DQ41=2,DQ41=3,DA41=VLOOKUP(DA41,'IN RPS-2015'!$I$2:$J$5,1)),0,ROUND(IF(CY41&lt;$J$152,VLOOKUP(CY41,$B$1:$G$4,4),VLOOKUP(VLOOKUP(CY41,$B$1:$G$4,4),Main!$CE$2:$CF$5,2,FALSE))*(DAY(CZ41)-DAY(CY41)+1)/DAY(EOMONTH(CY41,0)),0))))))</f>
        <v/>
      </c>
      <c r="DI41" s="461" t="str">
        <f>IF(CY41="","",IF(AND($CA$3=$CA$1,CY41&lt;=$CT$1),0,IF(OR(DQ41=2,DQ41=3,$D$31=$D$28,DA41=VLOOKUP(DA41,'IN RPS-2015'!$I$2:$J$5,1)),0,ROUND(MIN(VLOOKUP(CX41,$A$27:$C$29,2,TRUE),ROUND(DA41*VLOOKUP(CX41,$A$27:$C$29,3,TRUE)%,0))*IF(CX41=$A$36,$C$36,IF(CX41=$A$37,$C$37,IF(CX41=$A$38,$C$38,IF(CX41=$A$39,$C$39,IF(CX41=$A$40,$C$40,IF(CX41=$A$41,$C$41,1))))))*(DAY(CZ41)-DAY(CY41)+1)/DAY(EOMONTH(CY41,0)),0))))</f>
        <v/>
      </c>
      <c r="DJ41" s="461" t="str">
        <f>IF(CY41="","",IF(AND($CA$3=$CA$1,CY41&lt;=$CT$1),0,IF(Main!$C$26="UGC",0,IF(OR(DQ41=3,DA41=VLOOKUP(DA41,'IN RPS-2015'!$I$2:$J$5,1)),0,ROUND(IF(DQ41=2,VLOOKUP(DA41,IF($CA$3=$I$29,$A$20:$E$23,$F$144:$J$147),IF($B$19=VLOOKUP(CY41,$B$2:$G$4,3,TRUE),2,IF($C$19=VLOOKUP(CY41,$B$2:$G$4,3,TRUE),3,IF($D$19=VLOOKUP(CY41,$B$2:$G$4,3,TRUE),4,5))),TRUE),VLOOKUP(DA41,IF($CA$3=$I$29,$A$20:$E$23,$F$144:$J$147),IF($B$19=VLOOKUP(CY41,$B$2:$G$4,3,TRUE),2,IF($C$19=VLOOKUP(CY41,$B$2:$G$4,3,TRUE),3,IF($D$19=VLOOKUP(CY41,$B$2:$G$4,3,TRUE),4,5))),TRUE))*(DAY(CZ41)-DAY(CY41)+1)/DAY(EOMONTH(CY41,0)),0)))))</f>
        <v/>
      </c>
      <c r="DK41" s="461" t="str">
        <f>IF(CY41="","",IF(AND($CA$3=$CA$1,CY41&lt;=$CT$1),0,IF(Main!$C$26="UGC",0,IF(OR(CX41&lt;DATE(2010,4,1),DQ41=3,DA41=VLOOKUP(DA41,'IN RPS-2015'!$I$2:$J$5,1)),0,ROUND(IF(DQ41=2,IF(CY41&lt;$J$152,Main!$L$9,Main!$CI$3)/2,IF(CY41&lt;$J$152,Main!$L$9,Main!$CI$3))*(DAY(CZ41)-DAY(CY41)+1)/DAY(EOMONTH(CY41,0)),0)))))</f>
        <v/>
      </c>
      <c r="DL41" s="461"/>
      <c r="DM41" s="461" t="str">
        <f>IF(CY41="","",IF(AND($CA$3=$CA$1,CY41&lt;=$CT$1),0,IF(Main!$C$26="UGC",0,IF(OR(DQ41=3,DA41=VLOOKUP(DA41,'IN RPS-2015'!$I$2:$J$5,1)),0,ROUND(IF(DQ41=2,VLOOKUP(DB41,IF(CY41&lt;$J$152,$A$154:$E$159,$F$154:$J$159),IF($B$10=VLOOKUP(CX41,$B$2:$G$4,6,TRUE),2,IF($B$10=VLOOKUP(CX41,$B$2:$G$4,6,TRUE),3,IF($D$10=VLOOKUP(CX41,$B$2:$G$4,6,TRUE),4,5))))/2,VLOOKUP(DB41,IF(CY41&lt;$J$152,$A$154:$E$159,$F$154:$J$159),IF($B$10=VLOOKUP(CX41,$B$2:$G$4,6,TRUE),2,IF($B$10=VLOOKUP(CX41,$B$2:$G$4,6,TRUE),3,IF($D$10=VLOOKUP(CX41,$B$2:$G$4,6,TRUE),4,5)))))*(DAY(CZ41)-DAY(CY41)+1)/DAY(EOMONTH(CY41,0)),0)))))</f>
        <v/>
      </c>
      <c r="DN41" s="461">
        <f t="shared" si="76"/>
        <v>0</v>
      </c>
      <c r="DO41" s="464" t="str">
        <f>IF(CY41="","",IF(AND($CA$3=$CA$1,CY41&lt;=$CT$1),0,IF(AND(Main!$F$22=Main!$CA$24,CY41&gt;$CT$1),ROUND(SUM(DB41,DD41)*10%,0),"")))</f>
        <v/>
      </c>
      <c r="DP41" s="464" t="str">
        <f>IF(CX41="","",IF(AND($CA$3=$CA$1,CY41&lt;=$CT$1),0,IF(OR(Main!$H$10=Main!$BH$4,Main!$H$10=Main!$BH$5),0,LOOKUP(DN41*DAY(EOMONTH(CY41,0))/(DAY(CZ41)-DAY(CY41)+1),$H$184:$I$189))))</f>
        <v/>
      </c>
      <c r="DQ41" s="457">
        <f t="shared" si="60"/>
        <v>1</v>
      </c>
      <c r="DR41" s="457">
        <f t="shared" si="77"/>
        <v>0</v>
      </c>
      <c r="DS41" s="457"/>
      <c r="DT41" s="457"/>
      <c r="DU41" s="457"/>
      <c r="DV41" s="461"/>
      <c r="DW41" s="499" t="str">
        <f t="shared" si="61"/>
        <v/>
      </c>
      <c r="DX41" s="500" t="str">
        <f t="shared" si="88"/>
        <v/>
      </c>
      <c r="DY41" s="484" t="str">
        <f>IF(DX41="","",MIN(EOMONTH(DX41,0),VLOOKUP(DX41,'IN RPS-2015'!$O$164:$P$202,2,TRUE)-1,LOOKUP(DX41,$E$47:$F$53)-1,IF(DX41&lt;$B$2,$B$2-1,'IN RPS-2015'!$Q$9),IF(DX41&lt;$B$3,$B$3-1,'IN RPS-2015'!$Q$9),IF(DX41&lt;$B$4,$B$4-1,'IN RPS-2015'!$Q$9),LOOKUP(DX41,$H$47:$I$53)))</f>
        <v/>
      </c>
      <c r="DZ41" s="490" t="str">
        <f>IF(DX41="","",VLOOKUP(DX41,'IN RPS-2015'!$P$164:$AA$202,11))</f>
        <v/>
      </c>
      <c r="EA41" s="461" t="str">
        <f t="shared" si="78"/>
        <v/>
      </c>
      <c r="EB41" s="461" t="str">
        <f>IF(DX41="","",ROUND(IF(EP41=3,0,IF(EP41=2,IF(DZ41=VLOOKUP(DZ41,'IN RPS-2015'!$I$2:$J$5,1),0,Main!$H$9)/2,IF(DZ41=VLOOKUP(DZ41,'IN RPS-2015'!$I$2:$J$5,1),0,Main!$H$9)))*(DAY(DY41)-DAY(DX41)+1)/DAY(EOMONTH(DX41,0)),0))</f>
        <v/>
      </c>
      <c r="EC41" s="461" t="str">
        <f>IF(DX41="","",IF(DZ41=VLOOKUP(DZ41,'IN RPS-2015'!$I$2:$J$5,1),0,ROUND(EA41*VLOOKUP(DX41,$DT$4:$DU$7,2)%,0)))</f>
        <v/>
      </c>
      <c r="ED41" s="461" t="str">
        <f>IF(DX41="","",IF(OR(EP41=3,DZ41=VLOOKUP(DZ41,'IN RPS-2015'!$I$2:$J$5,1)),0,ROUND(MIN(ROUND(DZ41*VLOOKUP(DX41,$B$1:$G$4,2)%,0),VLOOKUP(DX41,$B$2:$I$4,IF($DU$3=$I$29,7,8),TRUE))*(DAY(DY41)-DAY(DX41)+1)/DAY(EOMONTH(DX41,0)),0)))</f>
        <v/>
      </c>
      <c r="EE41" s="491" t="str">
        <f>IF(DX41="","",IF(Main!$C$26="UGC",0,IF(OR(DX41&lt;DATE(2010,4,1),$I$6=VLOOKUP(DX41,$B$2:$G$4,5,TRUE),DZ41=VLOOKUP(DZ41,'IN RPS-2015'!$I$2:$J$5,1)),0,ROUND(IF(EP41=3,0,IF(EP41=2,MIN(ROUND(DZ41*$G$13%,0),IF(DX41&lt;$I$152,$G$14,$G$15))/2,MIN(ROUND(DZ41*$G$13%,0),IF(DX41&lt;$I$152,$G$14,$G$15))))*(DAY(DY41)-DAY(DX41)+1)/DAY(EOMONTH(DX41,0)),0))))</f>
        <v/>
      </c>
      <c r="EF41" s="461" t="str">
        <f>IF(DX41="","",IF(Main!$C$26="UGC",0,IF(DZ41=VLOOKUP(DZ41,'IN RPS-2015'!$I$2:$J$5,1),0,ROUND(EA41*VLOOKUP(DX41,$DT$11:$DU$12,2)%,0))))</f>
        <v/>
      </c>
      <c r="EG41" s="461" t="str">
        <f>IF(DX41="","",IF(Main!$C$26="UGC",0,IF(DX41&lt;DATE(2010,4,1),0,IF(OR(EP41=2,EP41=3,DZ41=VLOOKUP(DZ41,'IN RPS-2015'!$I$2:$J$5,1)),0,ROUND(IF(DX41&lt;$I$152,VLOOKUP(DX41,$B$1:$G$4,4),VLOOKUP(VLOOKUP(DX41,$B$1:$G$4,4),Main!$CE$2:$CF$5,2,FALSE))*(DAY(DY41)-DAY(DX41)+1)/DAY(EOMONTH(DX41,0)),0)))))</f>
        <v/>
      </c>
      <c r="EH41" s="461" t="str">
        <f>IF(DX41="","",IF(OR(EP41=2,EP41=3,$D$31=$D$28,DZ41=VLOOKUP(DZ41,'IN RPS-2015'!$I$2:$J$5,1)),0,ROUND(MIN(IF(DX41&lt;$I$152,900,1350),ROUND(DZ41*VLOOKUP(DW41,$A$27:$C$29,3,TRUE)%,0))*IF(DW41=$A$36,$C$36,IF(DW41=$A$37,$C$37,IF(DW41=$A$38,$C$38,IF(DW41=$A$39,$C$39,IF(DW41=$A$40,$C$40,IF(DW41=$A$41,$C$41,1))))))*(DAY(DY41)-DAY(DX41)+1)/DAY(EOMONTH(DX41,0)),0)))</f>
        <v/>
      </c>
      <c r="EI41" s="461" t="str">
        <f>IF(DX41="","",IF(Main!$C$26="UGC",0,IF(OR(EP41=3,DZ41=VLOOKUP(DZ41,'IN RPS-2015'!$I$2:$J$5,1)),0,ROUND(IF(EP41=2,VLOOKUP(DZ41,IF($DU$3=$I$29,$A$20:$E$23,$F$144:$J$147),IF($B$19=VLOOKUP(DX41,$B$2:$G$4,3,TRUE),2,IF($C$19=VLOOKUP(DX41,$B$2:$G$4,3,TRUE),3,IF($D$19=VLOOKUP(DX41,$B$2:$G$4,3,TRUE),4,5))),TRUE),VLOOKUP(DZ41,IF($DU$3=$I$29,$A$20:$E$23,$F$144:$J$147),IF($B$19=VLOOKUP(DX41,$B$2:$G$4,3,TRUE),2,IF($C$19=VLOOKUP(DX41,$B$2:$G$4,3,TRUE),3,IF($D$19=VLOOKUP(DX41,$B$2:$G$4,3,TRUE),4,5))),TRUE))*(DAY(DY41)-DAY(DX41)+1)/DAY(EOMONTH(DX41,0)),0))))</f>
        <v/>
      </c>
      <c r="EJ41" s="461" t="str">
        <f>IF(DX41="","",IF(Main!$C$26="UGC",0,IF(OR(DW41&lt;DATE(2010,4,1),EP41=3,DZ41=VLOOKUP(DZ41,'IN RPS-2015'!$I$2:$J$5,1)),0,ROUND(IF(EP41=2,IF(DX41&lt;$I$152,Main!$L$9,Main!$CI$3)/2,IF(DX41&lt;$I$152,Main!$L$9,Main!$CI$3))*(DAY(DY41)-DAY(DX41)+1)/DAY(EOMONTH(DX41,0)),0))))</f>
        <v/>
      </c>
      <c r="EK41" s="461"/>
      <c r="EL41" s="461" t="str">
        <f>IF(DX41="","",IF(Main!$C$26="UGC",0,IF(OR(EP41=3,DZ41=VLOOKUP(DZ41,'IN RPS-2015'!$I$2:$J$5,1)),0,ROUND(IF(EP41=2,VLOOKUP(EA41,IF(DX41&lt;$I$152,$A$154:$E$159,$F$154:$J$159),IF($B$10=VLOOKUP(DW41,$B$2:$G$4,6,TRUE),2,IF($B$10=VLOOKUP(DW41,$B$2:$G$4,6,TRUE),3,IF($D$10=VLOOKUP(DW41,$B$2:$G$4,6,TRUE),4,5))))/2,VLOOKUP(EA41,IF(DX41&lt;$I$152,$A$154:$E$159,$F$154:$J$159),IF($B$10=VLOOKUP(DW41,$B$2:$G$4,6,TRUE),2,IF($B$10=VLOOKUP(DW41,$B$2:$G$4,6,TRUE),3,IF($D$10=VLOOKUP(DW41,$B$2:$G$4,6,TRUE),4,5)))))*(DAY(DY41)-DAY(DX41)+1)/DAY(EOMONTH(DX41,0)),0))))</f>
        <v/>
      </c>
      <c r="EM41" s="461">
        <f t="shared" si="79"/>
        <v>0</v>
      </c>
      <c r="EN41" s="464" t="str">
        <f>IF(DX41="","",IF(AND(Main!$F$22=Main!$CA$24,DX41&gt;$EN$1),ROUND(SUM(EA41,EC41)*10%,0),""))</f>
        <v/>
      </c>
      <c r="EO41" s="464" t="str">
        <f>IF(DW41="","",IF(EA41=0,0,IF(OR(Main!$H$10=Main!$BH$4,Main!$H$10=Main!$BH$5),0,LOOKUP(EM41*DAY(EOMONTH(DX41,0))/(DAY(DY41)-DAY(DX41)+1),$H$184:$I$189))))</f>
        <v/>
      </c>
      <c r="EP41" s="457">
        <f t="shared" si="62"/>
        <v>1</v>
      </c>
      <c r="ET41" s="461"/>
      <c r="EU41" s="499" t="str">
        <f t="shared" si="63"/>
        <v/>
      </c>
      <c r="EV41" s="500" t="str">
        <f t="shared" si="89"/>
        <v/>
      </c>
      <c r="EW41" s="484" t="str">
        <f>IF(EV41="","",MIN(EOMONTH(EV41,0),VLOOKUP(EV41,'IN RPS-2015'!$O$164:$P$202,2,TRUE)-1,LOOKUP(EV41,$E$47:$F$53)-1,IF(EV41&lt;$B$2,$B$2-1,'IN RPS-2015'!$Q$9),IF(EV41&lt;$B$3,$B$3-1,'IN RPS-2015'!$Q$9),IF(EV41&lt;$B$4,$B$4-1,'IN RPS-2015'!$Q$9),LOOKUP(EV41,$H$47:$I$53)))</f>
        <v/>
      </c>
      <c r="EX41" s="490" t="str">
        <f>IF(EV41="","",VLOOKUP(EV41,'IN RPS-2015'!$P$164:$AA$202,12))</f>
        <v/>
      </c>
      <c r="EY41" s="461" t="str">
        <f t="shared" si="80"/>
        <v/>
      </c>
      <c r="EZ41" s="461" t="str">
        <f>IF(EV41="","",ROUND(IF(FN41=3,0,IF(FN41=2,IF(EX41=VLOOKUP(EX41,'IN RPS-2015'!$I$2:$J$5,1),0,Main!$H$9)/2,IF(EX41=VLOOKUP(EX41,'IN RPS-2015'!$I$2:$J$5,1),0,Main!$H$9)))*(DAY(EW41)-DAY(EV41)+1)/DAY(EOMONTH(EV41,0)),0))</f>
        <v/>
      </c>
      <c r="FA41" s="461" t="str">
        <f>IF(EV41="","",IF(EX41=VLOOKUP(EX41,'IN RPS-2015'!$I$2:$J$5,1),0,ROUND(EY41*VLOOKUP(EV41,$ER$4:$ES$7,2)%,0)))</f>
        <v/>
      </c>
      <c r="FB41" s="461" t="str">
        <f>IF(EV41="","",IF(OR(FN41=3,EX41=VLOOKUP(EX41,'IN RPS-2015'!$I$2:$J$5,1)),0,ROUND(MIN(ROUND(EX41*VLOOKUP(EV41,$B$1:$G$4,2)%,0),VLOOKUP(EV41,$B$2:$I$4,IF($ES$3=$I$29,7,8),TRUE))*(DAY(EW41)-DAY(EV41)+1)/DAY(EOMONTH(EV41,0)),0)))</f>
        <v/>
      </c>
      <c r="FC41" s="491" t="str">
        <f>IF(EV41="","",IF(Main!$C$26="UGC",0,IF(OR(EV41&lt;DATE(2010,4,1),$I$6=VLOOKUP(EV41,$B$2:$G$4,5,TRUE),EX41=VLOOKUP(EX41,'IN RPS-2015'!$I$2:$J$5,1)),0,ROUND(IF(FN41=3,0,IF(FN41=2,MIN(ROUND(EX41*$G$13%,0),IF(EV41&lt;$J$152,$G$14,$G$15))/2,MIN(ROUND(EX41*$G$13%,0),IF(EV41&lt;$J$152,$G$14,$G$15))))*(DAY(EW41)-DAY(EV41)+1)/DAY(EOMONTH(EV41,0)),0))))</f>
        <v/>
      </c>
      <c r="FD41" s="461" t="str">
        <f>IF(EV41="","",IF(Main!$C$26="UGC",0,IF(EX41=VLOOKUP(EX41,'IN RPS-2015'!$I$2:$J$5,1),0,ROUND(EY41*VLOOKUP(EV41,$ER$11:$ES$12,2)%,0))))</f>
        <v/>
      </c>
      <c r="FE41" s="461" t="str">
        <f>IF(EV41="","",IF(Main!$C$26="UGC",0,IF(EV41&lt;DATE(2010,4,1),0,IF(OR(FN41=2,FN41=3,EX41=VLOOKUP(EX41,'IN RPS-2015'!$I$2:$J$5,1)),0,ROUND(IF(EV41&lt;$J$152,VLOOKUP(EV41,$B$1:$G$4,4),VLOOKUP(VLOOKUP(EV41,$B$1:$G$4,4),Main!$CE$2:$CF$5,2,FALSE))*(DAY(EW41)-DAY(EV41)+1)/DAY(EOMONTH(EV41,0)),0)))))</f>
        <v/>
      </c>
      <c r="FF41" s="461" t="str">
        <f>IF(EV41="","",IF(OR(FN41=2,FN41=3,$D$31=$D$28,EX41=VLOOKUP(EX41,'IN RPS-2015'!$I$2:$J$5,1)),0,ROUND(MIN(VLOOKUP(EU41,$A$27:$C$29,2,TRUE),ROUND(EX41*VLOOKUP(EU41,$A$27:$C$29,3,TRUE)%,0))*IF(EU41=$A$36,$C$36,IF(EU41=$A$37,$C$37,IF(EU41=$A$38,$C$38,IF(EU41=$A$39,$C$39,IF(EU41=$A$40,$C$40,IF(EU41=$A$41,$C$41,1))))))*(DAY(EW41)-DAY(EV41)+1)/DAY(EOMONTH(EV41,0)),0)))</f>
        <v/>
      </c>
      <c r="FG41" s="461" t="str">
        <f>IF(EV41="","",IF(Main!$C$26="UGC",0,IF(OR(FN41=3,EX41=VLOOKUP(EX41,'IN RPS-2015'!$I$2:$J$5,1)),0,ROUND(IF(FN41=2,VLOOKUP(EX41,IF($ES$3=$I$29,$A$20:$E$23,$F$144:$J$147),IF($B$19=VLOOKUP(EV41,$B$2:$G$4,3,TRUE),2,IF($C$19=VLOOKUP(EV41,$B$2:$G$4,3,TRUE),3,IF($D$19=VLOOKUP(EV41,$B$2:$G$4,3,TRUE),4,5))),TRUE),VLOOKUP(EX41,IF($ES$3=$I$29,$A$20:$E$23,$F$144:$J$147),IF($B$19=VLOOKUP(EV41,$B$2:$G$4,3,TRUE),2,IF($C$19=VLOOKUP(EV41,$B$2:$G$4,3,TRUE),3,IF($D$19=VLOOKUP(EV41,$B$2:$G$4,3,TRUE),4,5))),TRUE))*(DAY(EW41)-DAY(EV41)+1)/DAY(EOMONTH(EV41,0)),0))))</f>
        <v/>
      </c>
      <c r="FH41" s="461" t="str">
        <f>IF(EV41="","",IF(Main!$C$26="UGC",0,IF(OR(EU41&lt;DATE(2010,4,1),FN41=3,EX41=VLOOKUP(EX41,'IN RPS-2015'!$I$2:$J$5,1)),0,ROUND(IF(FN41=2,IF(EV41&lt;$J$152,Main!$L$9,Main!$CI$3)/2,IF(EV41&lt;$J$152,Main!$L$9,Main!$CI$3))*(DAY(EW41)-DAY(EV41)+1)/DAY(EOMONTH(EV41,0)),0))))</f>
        <v/>
      </c>
      <c r="FI41" s="461"/>
      <c r="FJ41" s="461" t="str">
        <f>IF(EV41="","",IF(Main!$C$26="UGC",0,IF(OR(FN41=3,EX41=VLOOKUP(EX41,'IN RPS-2015'!$I$2:$J$5,1)),0,ROUND(IF(FN41=2,VLOOKUP(EY41,IF(EV41&lt;$J$152,$A$154:$E$159,$F$154:$J$159),IF($B$10=VLOOKUP(EU41,$B$2:$G$4,6,TRUE),2,IF($B$10=VLOOKUP(EU41,$B$2:$G$4,6,TRUE),3,IF($D$10=VLOOKUP(EU41,$B$2:$G$4,6,TRUE),4,5))))/2,VLOOKUP(EY41,IF(EV41&lt;$J$152,$A$154:$E$159,$F$154:$J$159),IF($B$10=VLOOKUP(EU41,$B$2:$G$4,6,TRUE),2,IF($B$10=VLOOKUP(EU41,$B$2:$G$4,6,TRUE),3,IF($D$10=VLOOKUP(EU41,$B$2:$G$4,6,TRUE),4,5)))))*(DAY(EW41)-DAY(EV41)+1)/DAY(EOMONTH(EV41,0)),0))))</f>
        <v/>
      </c>
      <c r="FK41" s="461">
        <f t="shared" si="81"/>
        <v>0</v>
      </c>
      <c r="FL41" s="464" t="str">
        <f>IF(EV41="","",IF(AND(Main!$F$22=Main!$CA$24,EV41&gt;$FL$1),ROUND(SUM(EY41,FA41)*10%,0),""))</f>
        <v/>
      </c>
      <c r="FM41" s="464" t="str">
        <f>IF(EU41="","",IF(EY41=0,0,IF(OR(Main!$H$10=Main!$BH$4,Main!$H$10=Main!$BH$5),0,LOOKUP(FK41*DAY(EOMONTH(EV41,0))/(DAY(EW41)-DAY(EV41)+1),$H$184:$I$189))))</f>
        <v/>
      </c>
      <c r="FN41" s="457">
        <f t="shared" si="64"/>
        <v>1</v>
      </c>
    </row>
    <row r="42" spans="1:170">
      <c r="E42" s="2">
        <f>Main!AB8</f>
        <v>1</v>
      </c>
      <c r="F42" s="117">
        <f>Main!AC8</f>
        <v>42461</v>
      </c>
      <c r="G42" s="117">
        <f>Main!AD8</f>
        <v>42461</v>
      </c>
      <c r="AH42" s="461"/>
      <c r="AI42" s="499" t="str">
        <f t="shared" si="54"/>
        <v/>
      </c>
      <c r="AJ42" s="500" t="str">
        <f t="shared" si="84"/>
        <v/>
      </c>
      <c r="AK42" s="484" t="str">
        <f>IF(AJ42="","",MIN(EOMONTH(AJ42,0),VLOOKUP(AJ42,'IN RPS-2015'!$O$164:$P$202,2,TRUE)-1,LOOKUP(AJ42,$E$47:$F$53)-1,IF(AJ42&lt;$B$2,$B$2-1,'IN RPS-2015'!$Q$9),IF(AJ42&lt;$B$3,$B$3-1,'IN RPS-2015'!$Q$9),IF(AJ42&lt;$B$4,$B$4-1,'IN RPS-2015'!$Q$9),LOOKUP(AJ42,$H$47:$I$53)))</f>
        <v/>
      </c>
      <c r="AL42" s="490" t="str">
        <f>IF(AJ42="","",VLOOKUP(AJ42,'IN RPS-2015'!$P$164:$AA$202,9))</f>
        <v/>
      </c>
      <c r="AM42" s="461" t="str">
        <f t="shared" si="66"/>
        <v/>
      </c>
      <c r="AN42" s="461" t="str">
        <f>IF(AJ42="","",IF(AND($AG$3=$AG$1,AJ42&lt;=$AZ$1),0,ROUND(IF(BB42=3,0,IF(BB42=2,IF(AL42=VLOOKUP(AL42,'IN RPS-2015'!$I$2:$J$5,1),0,Main!$H$9)/2,IF(AL42=VLOOKUP(AL42,'IN RPS-2015'!$I$2:$J$5,1),0,Main!$H$9)))*(DAY(AK42)-DAY(AJ42)+1)/DAY(EOMONTH(AJ42,0)),0)))</f>
        <v/>
      </c>
      <c r="AO42" s="461" t="str">
        <f>IF(AJ42="","",IF(AND($AG$3=$AG$1,AJ42&lt;=$AZ$1),0,IF(AL42=VLOOKUP(AL42,'IN RPS-2015'!$I$2:$J$5,1),0,ROUND(AM42*VLOOKUP(AJ42,$AF$4:$AG$7,2)%,0))))</f>
        <v/>
      </c>
      <c r="AP42" s="461" t="str">
        <f>IF(AJ42="","",IF(AND($AG$3=$AG$1,AJ42&lt;=$AZ$1),0,IF(OR(BB42=3,AL42=VLOOKUP(AL42,'IN RPS-2015'!$I$2:$J$5,1)),0,ROUND(MIN(ROUND(AL42*VLOOKUP(AJ42,$B$1:$G$4,2)%,0),VLOOKUP(AJ42,$B$2:$I$4,IF($AG$3=$I$29,7,8),TRUE))*(DAY(AK42)-DAY(AJ42)+1)/DAY(EOMONTH(AJ42,0)),0))))</f>
        <v/>
      </c>
      <c r="AQ42" s="491" t="str">
        <f>IF(AJ42="","",IF(AND($AG$3=$AG$1,AJ42&lt;=$AZ$1),0,IF(Main!$C$26="UGC",0,IF(OR(AJ42&lt;DATE(2010,4,1),$I$6=VLOOKUP(AJ42,$B$2:$G$4,5,TRUE),AL42=VLOOKUP(AL42,'IN RPS-2015'!$I$2:$J$5,1)),0,ROUND(IF(BB42=3,0,IF(BB42=2,MIN(ROUND(AL42*$G$13%,0),IF(AJ42&lt;$J$152,$G$14,$G$15))/2,MIN(ROUND(AL42*$G$13%,0),IF(AJ42&lt;$J$152,$G$14,$G$15))))*(DAY(AK42)-DAY(AJ42)+1)/DAY(EOMONTH(AJ42,0)),0)))))</f>
        <v/>
      </c>
      <c r="AR42" s="461" t="str">
        <f>IF(AJ42="","",IF(AND($AG$3=$AG$1,AJ42&lt;=$AZ$1),0,IF(Main!$C$26="UGC",0,IF(AL42=VLOOKUP(AL42,'IN RPS-2015'!$I$2:$J$5,1),0,ROUND(AM42*VLOOKUP(AJ42,$AF$11:$AG$12,2)%,0)))))</f>
        <v/>
      </c>
      <c r="AS42" s="461" t="str">
        <f>IF(AJ42="","",IF(AND($AG$3=$AG$1,AJ42&lt;=$AZ$1),0,IF(Main!$C$26="UGC",0,IF(AJ42&lt;DATE(2010,4,1),0,IF(OR(BB42=2,BB42=3,AL42=VLOOKUP(AL42,'IN RPS-2015'!$I$2:$J$5,1)),0,ROUND(IF(AJ42&lt;$J$152,VLOOKUP(AJ42,$B$1:$G$4,4),VLOOKUP(VLOOKUP(AJ42,$B$1:$G$4,4),Main!$CE$2:$CF$5,2,FALSE))*(DAY(AK42)-DAY(AJ42)+1)/DAY(EOMONTH(AJ42,0)),0))))))</f>
        <v/>
      </c>
      <c r="AT42" s="461" t="str">
        <f>IF(AJ42="","",IF(AND($AG$3=$AG$1,AJ42&lt;=$AZ$1),0,IF(OR(BB42=2,BB42=3,$D$31=$D$28,AL42=VLOOKUP(AL42,'IN RPS-2015'!$I$2:$J$5,1)),0,ROUND(MIN(VLOOKUP(AI42,$A$27:$C$29,2,TRUE),ROUND(AL42*VLOOKUP(AI42,$A$27:$C$29,3,TRUE)%,0))*IF(AI42=$A$36,$C$36,IF(AI42=$A$37,$C$37,IF(AI42=$A$38,$C$38,IF(AI42=$A$39,$C$39,IF(AI42=$A$40,$C$40,IF(AI42=$A$41,$C$41,1))))))*(DAY(AK42)-DAY(AJ42)+1)/DAY(EOMONTH(AJ42,0)),0))))</f>
        <v/>
      </c>
      <c r="AU42" s="461" t="str">
        <f>IF(AJ42="","",IF(AND($AG$3=$AG$1,AJ42&lt;=$AZ$1),0,IF(Main!$C$26="UGC",0,IF(OR(BB42=3,AL42=VLOOKUP(AL42,'IN RPS-2015'!$I$2:$J$5,1)),0,ROUND(IF(BB42=2,VLOOKUP(AL42,IF($AG$3=$I$29,$A$20:$E$23,$F$144:$J$147),IF($B$19=VLOOKUP(AJ42,$B$2:$G$4,3,TRUE),2,IF($C$19=VLOOKUP(AJ42,$B$2:$G$4,3,TRUE),3,IF($D$19=VLOOKUP(AJ42,$B$2:$G$4,3,TRUE),4,5))),TRUE),VLOOKUP(AL42,IF($AG$3=$I$29,$A$20:$E$23,$F$144:$J$147),IF($B$19=VLOOKUP(AJ42,$B$2:$G$4,3,TRUE),2,IF($C$19=VLOOKUP(AJ42,$B$2:$G$4,3,TRUE),3,IF($D$19=VLOOKUP(AJ42,$B$2:$G$4,3,TRUE),4,5))),TRUE))*(DAY(AK42)-DAY(AJ42)+1)/DAY(EOMONTH(AJ42,0)),0)))))</f>
        <v/>
      </c>
      <c r="AV42" s="461" t="str">
        <f>IF(AJ42="","",IF(AND($AG$3=$AG$1,AJ42&lt;=$AZ$1),0,IF(Main!$C$26="UGC",0,IF(OR(AI42&lt;DATE(2010,4,1),BB42=3,AL42=VLOOKUP(AL42,'IN RPS-2015'!$I$2:$J$5,1)),0,ROUND(IF(BB42=2,IF(AJ42&lt;$J$152,Main!$L$9,Main!$CI$3)/2,IF(AJ42&lt;$J$152,Main!$L$9,Main!$CI$3))*(DAY(AK42)-DAY(AJ42)+1)/DAY(EOMONTH(AJ42,0)),0)))))</f>
        <v/>
      </c>
      <c r="AW42" s="461"/>
      <c r="AX42" s="461" t="str">
        <f>IF(AJ42="","",IF(AND($AG$3=$AG$1,AJ42&lt;=$AZ$1),0,IF(Main!$C$26="UGC",0,IF(OR(BB42=3,AL42=VLOOKUP(AL42,'IN RPS-2015'!$I$2:$J$5,1)),0,ROUND(IF(BB42=2,VLOOKUP(AM42,IF(AJ42&lt;$J$152,$A$154:$E$159,$F$154:$J$159),IF($B$10=VLOOKUP(AI42,$B$2:$G$4,6,TRUE),2,IF($B$10=VLOOKUP(AI42,$B$2:$G$4,6,TRUE),3,IF($D$10=VLOOKUP(AI42,$B$2:$G$4,6,TRUE),4,5))))/2,VLOOKUP(AM42,IF(AJ42&lt;$J$152,$A$154:$E$159,$F$154:$J$159),IF($B$10=VLOOKUP(AI42,$B$2:$G$4,6,TRUE),2,IF($B$10=VLOOKUP(AI42,$B$2:$G$4,6,TRUE),3,IF($D$10=VLOOKUP(AI42,$B$2:$G$4,6,TRUE),4,5)))))*(DAY(AK42)-DAY(AJ42)+1)/DAY(EOMONTH(AJ42,0)),0)))))</f>
        <v/>
      </c>
      <c r="AY42" s="461">
        <f t="shared" si="67"/>
        <v>0</v>
      </c>
      <c r="AZ42" s="464" t="str">
        <f>IF(AJ42="","",IF(AND($AG$3=$AG$1,AJ42&lt;=$AZ$1),0,IF(AND(Main!$F$22=Main!$CA$24,AJ42&gt;$AZ$1),ROUND(SUM(AM42,AO42)*10%,0),"")))</f>
        <v/>
      </c>
      <c r="BA42" s="464" t="str">
        <f>IF(AI42="","",IF(AND($AG$3=$AG$1,AJ42&lt;=$AZ$1),0,IF(OR(Main!$H$10=Main!$BH$4,Main!$H$10=Main!$BH$5),0,LOOKUP(AY42*DAY(EOMONTH(AJ42,0))/(DAY(AK42)-DAY(AJ42)+1),$H$184:$I$189))))</f>
        <v/>
      </c>
      <c r="BB42" s="497">
        <f t="shared" si="55"/>
        <v>1</v>
      </c>
      <c r="BC42" s="464"/>
      <c r="BD42" s="501" t="str">
        <f t="shared" si="56"/>
        <v/>
      </c>
      <c r="BE42" s="502" t="str">
        <f t="shared" si="85"/>
        <v/>
      </c>
      <c r="BF42" s="484" t="str">
        <f>IF(BE42="","",MIN(EOMONTH(BE42,0),VLOOKUP(BE42,'IN RPS-2015'!$O$164:$P$202,2,TRUE)-1,LOOKUP(BE42,$E$47:$F$53)-1,IF(BE42&lt;$B$2,$B$2-1,'IN RPS-2015'!$Q$9),IF(BE42&lt;$B$3,$B$3-1,'IN RPS-2015'!$Q$9),IF(BE42&lt;$B$4,$B$4-1,'IN RPS-2015'!$Q$9),LOOKUP(BE42,$H$47:$I$53)))</f>
        <v/>
      </c>
      <c r="BG42" s="493" t="str">
        <f>IF(BE42="","",VLOOKUP(BE42,'IN RPS-2015'!$P$164:$AA$202,10))</f>
        <v/>
      </c>
      <c r="BH42" s="461" t="str">
        <f t="shared" si="68"/>
        <v/>
      </c>
      <c r="BI42" s="461" t="str">
        <f>IF(BE42="","",IF(AND($AG$3=$AG$1,BE42&lt;=$AZ$1),0,ROUND(IF(BW42=3,0,IF(BW42=2,IF(BG42=VLOOKUP(BG42,'IN RPS-2015'!$I$2:$J$5,1),0,Main!$H$9)/2,IF(BG42=VLOOKUP(BG42,'IN RPS-2015'!$I$2:$J$5,1),0,Main!$H$9)))*(DAY(BF42)-DAY(BE42)+1)/DAY(EOMONTH(BE42,0)),0)))</f>
        <v/>
      </c>
      <c r="BJ42" s="461" t="str">
        <f>IF(BE42="","",IF(AND($AG$3=$AG$1,BE42&lt;=$AZ$1),0,IF(BG42=VLOOKUP(BG42,'IN RPS-2015'!$I$2:$J$5,1),0,ROUND(BH42*VLOOKUP(BE42,$AF$4:$AG$7,2)%,0))))</f>
        <v/>
      </c>
      <c r="BK42" s="461" t="str">
        <f>IF(BE42="","",IF(AND($AG$3=$AG$1,BE42&lt;=$AZ$1),0,IF(OR(BW42=3,BG42=VLOOKUP(BG42,'IN RPS-2015'!$I$2:$J$5,1)),0,ROUND(MIN(ROUND(BG42*VLOOKUP(BE42,$B$1:$G$4,2)%,0),VLOOKUP(BE42,$B$2:$I$4,IF($AG$3=$I$29,7,8),TRUE))*(DAY(BF42)-DAY(BE42)+1)/DAY(EOMONTH(BE42,0)),0))))</f>
        <v/>
      </c>
      <c r="BL42" s="491" t="str">
        <f>IF(BE42="","",IF(AND($AG$3=$AG$1,BE42&lt;=$AZ$1),0,IF(Main!$C$26="UGC",0,IF(OR(BE42&lt;DATE(2010,4,1),$I$6=VLOOKUP(BE42,$B$2:$G$4,5,TRUE),BG42=VLOOKUP(BG42,'IN RPS-2015'!$I$2:$J$5,1)),0,ROUND(IF(BW42=3,0,IF(BW42=2,MIN(ROUND(BG42*$G$13%,0),IF(BE42&lt;$J$152,$G$14,$G$15))/2,MIN(ROUND(BG42*$G$13%,0),IF(BE42&lt;$J$152,$G$14,$G$15))))*(DAY(BF42)-DAY(BE42)+1)/DAY(EOMONTH(BE42,0)),0)))))</f>
        <v/>
      </c>
      <c r="BM42" s="461" t="str">
        <f>IF(BE42="","",IF(AND($AG$3=$AG$1,BE42&lt;=$AZ$1),0,IF(Main!$C$26="UGC",0,IF(BG42=VLOOKUP(BG42,'IN RPS-2015'!$I$2:$J$5,1),0,ROUND(BH42*VLOOKUP(BE42,$AF$11:$AG$12,2)%,0)))))</f>
        <v/>
      </c>
      <c r="BN42" s="461" t="str">
        <f>IF(BE42="","",IF(AND($AG$3=$AG$1,BE42&lt;=$AZ$1),0,IF(Main!$C$26="UGC",0,IF(BE42&lt;DATE(2010,4,1),0,IF(OR(BW42=2,BW42=3,BG42=VLOOKUP(BG42,'IN RPS-2015'!$I$2:$J$5,1)),0,ROUND(IF(BE42&lt;$J$152,VLOOKUP(BE42,$B$1:$G$4,4),VLOOKUP(VLOOKUP(BE42,$B$1:$G$4,4),Main!$CE$2:$CF$5,2,FALSE))*(DAY(BF42)-DAY(BE42)+1)/DAY(EOMONTH(BE42,0)),0))))))</f>
        <v/>
      </c>
      <c r="BO42" s="461" t="str">
        <f>IF(BE42="","",IF(AND($AG$3=$AG$1,BE42&lt;=$AZ$1),0,IF(OR(BW42=2,BW42=3,$D$31=$D$28,BG42=VLOOKUP(BG42,'IN RPS-2015'!$I$2:$J$5,1)),0,ROUND(MIN(VLOOKUP(BD42,$A$27:$C$29,2,TRUE),ROUND(BG42*VLOOKUP(BD42,$A$27:$C$29,3,TRUE)%,0))*IF(BD42=$A$36,$C$36,IF(BD42=$A$37,$C$37,IF(BD42=$A$38,$C$38,IF(BD42=$A$39,$C$39,IF(BD42=$A$40,$C$40,IF(BD42=$A$41,$C$41,1))))))*(DAY(BF42)-DAY(BE42)+1)/DAY(EOMONTH(BE42,0)),0))))</f>
        <v/>
      </c>
      <c r="BP42" s="461" t="str">
        <f>IF(BE42="","",IF(AND($AG$3=$AG$1,BE42&lt;=$AZ$1),0,IF(Main!$C$26="UGC",0,IF(OR(BW42=3,BG42=VLOOKUP(BG42,'IN RPS-2015'!$I$2:$J$5,1)),0,ROUND(IF(BW42=2,VLOOKUP(BG42,IF($AG$3=$I$29,$A$20:$E$23,$F$144:$J$147),IF($B$19=VLOOKUP(BE42,$B$2:$G$4,3,TRUE),2,IF($C$19=VLOOKUP(BE42,$B$2:$G$4,3,TRUE),3,IF($D$19=VLOOKUP(BE42,$B$2:$G$4,3,TRUE),4,5))),TRUE),VLOOKUP(BG42,IF($AG$3=$I$29,$A$20:$E$23,$F$144:$J$147),IF($B$19=VLOOKUP(BE42,$B$2:$G$4,3,TRUE),2,IF($C$19=VLOOKUP(BE42,$B$2:$G$4,3,TRUE),3,IF($D$19=VLOOKUP(BE42,$B$2:$G$4,3,TRUE),4,5))),TRUE))*(DAY(BF42)-DAY(BE42)+1)/DAY(EOMONTH(BE42,0)),0)))))</f>
        <v/>
      </c>
      <c r="BQ42" s="461" t="str">
        <f>IF(BE42="","",IF(AND($AG$3=$AG$1,BE42&lt;=$AZ$1),0,IF(Main!$C$26="UGC",0,IF(OR(BD42&lt;DATE(2010,4,1),BW42=3,BG42=VLOOKUP(BG42,'IN RPS-2015'!$I$2:$J$5,1)),0,ROUND(IF(BW42=2,IF(BE42&lt;$J$152,Main!$L$9,Main!$CI$3)/2,IF(BE42&lt;$J$152,Main!$L$9,Main!$CI$3))*(DAY(BF42)-DAY(BE42)+1)/DAY(EOMONTH(BE42,0)),0)))))</f>
        <v/>
      </c>
      <c r="BR42" s="461"/>
      <c r="BS42" s="461" t="str">
        <f>IF(BE42="","",IF(AND($AG$3=$AG$1,BE42&lt;=$AZ$1),0,IF(Main!$C$26="UGC",0,IF(OR(BW42=3,BG42=VLOOKUP(BG42,'IN RPS-2015'!$I$2:$J$5,1)),0,ROUND(IF(BW42=2,VLOOKUP(BH42,IF(BE42&lt;$J$152,$A$154:$E$159,$F$154:$J$159),IF($B$10=VLOOKUP(BD42,$B$2:$G$4,6,TRUE),2,IF($B$10=VLOOKUP(BD42,$B$2:$G$4,6,TRUE),3,IF($D$10=VLOOKUP(BD42,$B$2:$G$4,6,TRUE),4,5))))/2,VLOOKUP(BH42,IF(BE42&lt;$J$152,$A$154:$E$159,$F$154:$J$159),IF($B$10=VLOOKUP(BD42,$B$2:$G$4,6,TRUE),2,IF($B$10=VLOOKUP(BD42,$B$2:$G$4,6,TRUE),3,IF($D$10=VLOOKUP(BD42,$B$2:$G$4,6,TRUE),4,5)))))*(DAY(BF42)-DAY(BE42)+1)/DAY(EOMONTH(BE42,0)),0)))))</f>
        <v/>
      </c>
      <c r="BT42" s="461">
        <f t="shared" si="69"/>
        <v>0</v>
      </c>
      <c r="BU42" s="464" t="str">
        <f>IF(BE42="","",IF(AND($AG$3=$AG$1,BE42&lt;=$AZ$1),0,IF(AND(Main!$F$22=Main!$CA$24,BE42&gt;$AZ$1),ROUND(SUM(BH42,BJ42)*10%,0),"")))</f>
        <v/>
      </c>
      <c r="BV42" s="464" t="str">
        <f>IF(BD42="","",IF(AND($AG$3=$AG$1,BE42&lt;=$AZ$1),0,IF(OR(Main!$H$10=Main!$BH$4,Main!$H$10=Main!$BH$5),0,LOOKUP(BT42*DAY(EOMONTH(BE42,0))/(DAY(BF42)-DAY(BE42)+1),$H$184:$I$189))))</f>
        <v/>
      </c>
      <c r="BW42" s="503">
        <f t="shared" si="70"/>
        <v>1</v>
      </c>
      <c r="BX42" s="457">
        <f t="shared" si="90"/>
        <v>0</v>
      </c>
      <c r="BY42" s="457"/>
      <c r="BZ42" s="457"/>
      <c r="CA42" s="457"/>
      <c r="CB42" s="461"/>
      <c r="CC42" s="499" t="str">
        <f t="shared" si="57"/>
        <v/>
      </c>
      <c r="CD42" s="500" t="str">
        <f t="shared" si="86"/>
        <v/>
      </c>
      <c r="CE42" s="484" t="str">
        <f>IF(CD42="","",MIN(EOMONTH(CD42,0),VLOOKUP(CD42,'IN RPS-2015'!$O$164:$P$202,2,TRUE)-1,LOOKUP(CD42,$E$47:$F$53)-1,IF(CD42&lt;$B$2,$B$2-1,'IN RPS-2015'!$Q$9),IF(CD42&lt;$B$3,$B$3-1,'IN RPS-2015'!$Q$9),IF(CD42&lt;$B$4,$B$4-1,'IN RPS-2015'!$Q$9),LOOKUP(CD42,$H$47:$I$53)))</f>
        <v/>
      </c>
      <c r="CF42" s="490" t="str">
        <f>IF(CD42="","",VLOOKUP(CD42,'IN RPS-2015'!$T$207:$Y$222,5))</f>
        <v/>
      </c>
      <c r="CG42" s="461" t="str">
        <f t="shared" si="72"/>
        <v/>
      </c>
      <c r="CH42" s="461" t="str">
        <f>IF(CD42="","",IF(AND($CA$3=$CA$1,CD42&lt;=$CT$1),0,ROUND(IF(CV42=3,0,IF(CV42=2,IF(CF42=VLOOKUP(CF42,'IN RPS-2015'!$I$2:$J$5,1),0,Main!$H$9)/2,IF(CF42=VLOOKUP(CF42,'IN RPS-2015'!$I$2:$J$5,1),0,Main!$H$9)))*(DAY(CE42)-DAY(CD42)+1)/DAY(EOMONTH(CD42,0)),0)))</f>
        <v/>
      </c>
      <c r="CI42" s="461" t="str">
        <f>IF(CD42="","",IF(AND($CA$3=$CA$1,CD42&lt;=$CT$1),0,IF(CF42=VLOOKUP(CF42,'IN RPS-2015'!$I$2:$J$5,1),0,ROUND(CG42*VLOOKUP(CD42,$BZ$4:$CA$7,2)%,0))))</f>
        <v/>
      </c>
      <c r="CJ42" s="461" t="str">
        <f>IF(CD42="","",IF(AND($CA$3=$CA$1,CD42&lt;=$CT$1),0,IF(OR(CV42=3,CF42=VLOOKUP(CF42,'IN RPS-2015'!$I$2:$J$5,1)),0,ROUND(MIN(ROUND(CF42*VLOOKUP(CD42,$B$1:$G$4,2)%,0),VLOOKUP(CD42,$B$2:$I$4,IF($CA$3=$I$29,7,8),TRUE))*(DAY(CE42)-DAY(CD42)+1)/DAY(EOMONTH(CD42,0)),0))))</f>
        <v/>
      </c>
      <c r="CK42" s="491" t="str">
        <f>IF(CD42="","",IF(AND($CA$3=$CA$1,CD42&lt;=$CT$1),0,IF(Main!$C$26="UGC",0,IF(OR(CD42&lt;DATE(2010,4,1),$I$6=VLOOKUP(CD42,$B$2:$G$4,5,TRUE),CF42=VLOOKUP(CF42,'IN RPS-2015'!$I$2:$J$5,1)),0,ROUND(IF(CV42=3,0,IF(CV42=2,MIN(ROUND(CF42*$G$13%,0),IF(CD42&lt;$J$152,$G$14,$G$15))/2,MIN(ROUND(CF42*$G$13%,0),IF(CD42&lt;$J$152,$G$14,$G$15))))*(DAY(CE42)-DAY(CD42)+1)/DAY(EOMONTH(CD42,0)),0)))))</f>
        <v/>
      </c>
      <c r="CL42" s="461" t="str">
        <f>IF(CD42="","",IF(AND($CA$3=$CA$1,CD42&lt;=$CT$1),0,IF(Main!$C$26="UGC",0,IF(CF42=VLOOKUP(CF42,'IN RPS-2015'!$I$2:$J$5,1),0,ROUND(CG42*VLOOKUP(CD42,$BZ$11:$CA$12,2)%,0)))))</f>
        <v/>
      </c>
      <c r="CM42" s="461" t="str">
        <f>IF(CD42="","",IF(AND($CA$3=$CA$1,CD42&lt;=$CT$1),0,IF(Main!$C$26="UGC",0,IF(CD42&lt;DATE(2010,4,1),0,IF(OR(CV42=2,CV42=3,CF42=VLOOKUP(CF42,'IN RPS-2015'!$I$2:$J$5,1)),0,ROUND(IF(CD42&lt;$J$152,VLOOKUP(CD42,$B$1:$G$4,4),VLOOKUP(VLOOKUP(CD42,$B$1:$G$4,4),Main!$CE$2:$CF$5,2,FALSE))*(DAY(CE42)-DAY(CD42)+1)/DAY(EOMONTH(CD42,0)),0))))))</f>
        <v/>
      </c>
      <c r="CN42" s="461" t="str">
        <f>IF(CD42="","",IF(AND($CA$3=$CA$1,CD42&lt;=$CT$1),0,IF(OR(CV42=2,CV42=3,$D$31=$D$28,CF42=VLOOKUP(CF42,'IN RPS-2015'!$I$2:$J$5,1)),0,ROUND(MIN(VLOOKUP(CC42,$A$27:$C$29,2,TRUE),ROUND(CF42*VLOOKUP(CC42,$A$27:$C$29,3,TRUE)%,0))*IF(CC42=$A$36,$C$36,IF(CC42=$A$37,$C$37,IF(CC42=$A$38,$C$38,IF(CC42=$A$39,$C$39,IF(CC42=$A$40,$C$40,IF(CC42=$A$41,$C$41,1))))))*(DAY(CE42)-DAY(CD42)+1)/DAY(EOMONTH(CD42,0)),0))))</f>
        <v/>
      </c>
      <c r="CO42" s="461" t="str">
        <f>IF(CD42="","",IF(AND($CA$3=$CA$1,CD42&lt;=$CT$1),0,IF(Main!$C$26="UGC",0,IF(OR(CV42=3,CF42=VLOOKUP(CF42,'IN RPS-2015'!$I$2:$J$5,1)),0,ROUND(IF(CV42=2,VLOOKUP(CF42,IF($CA$3=$I$29,$A$20:$E$23,$F$144:$J$147),IF($B$19=VLOOKUP(CD42,$B$2:$G$4,3,TRUE),2,IF($C$19=VLOOKUP(CD42,$B$2:$G$4,3,TRUE),3,IF($D$19=VLOOKUP(CD42,$B$2:$G$4,3,TRUE),4,5))),TRUE),VLOOKUP(CF42,IF($CA$3=$I$29,$A$20:$E$23,$F$144:$J$147),IF($B$19=VLOOKUP(CD42,$B$2:$G$4,3,TRUE),2,IF($C$19=VLOOKUP(CD42,$B$2:$G$4,3,TRUE),3,IF($D$19=VLOOKUP(CD42,$B$2:$G$4,3,TRUE),4,5))),TRUE))*(DAY(CE42)-DAY(CD42)+1)/DAY(EOMONTH(CD42,0)),0)))))</f>
        <v/>
      </c>
      <c r="CP42" s="461" t="str">
        <f>IF(CD42="","",IF(AND($CA$3=$CA$1,CD42&lt;=$CT$1),0,IF(Main!$C$26="UGC",0,IF(OR(CC42&lt;DATE(2010,4,1),CV42=3,CF42=VLOOKUP(CF42,'IN RPS-2015'!$I$2:$J$5,1)),0,ROUND(IF(CV42=2,IF(CD42&lt;$J$152,Main!$L$9,Main!$CI$3)/2,IF(CD42&lt;$J$152,Main!$L$9,Main!$CI$3))*(DAY(CE42)-DAY(CD42)+1)/DAY(EOMONTH(CD42,0)),0)))))</f>
        <v/>
      </c>
      <c r="CQ42" s="461"/>
      <c r="CR42" s="461" t="str">
        <f>IF(CD42="","",IF(AND($CA$3=$CA$1,CD42&lt;=$CT$1),0,IF(Main!$C$26="UGC",0,IF(OR(CV42=3,CF42=VLOOKUP(CF42,'IN RPS-2015'!$I$2:$J$5,1)),0,ROUND(IF(CV42=2,VLOOKUP(CG42,IF(CD42&lt;$J$152,$A$154:$E$159,$F$154:$J$159),IF($B$10=VLOOKUP(CC42,$B$2:$G$4,6,TRUE),2,IF($B$10=VLOOKUP(CC42,$B$2:$G$4,6,TRUE),3,IF($D$10=VLOOKUP(CC42,$B$2:$G$4,6,TRUE),4,5))))/2,VLOOKUP(CG42,IF(CD42&lt;$J$152,$A$154:$E$159,$F$154:$J$159),IF($B$10=VLOOKUP(CC42,$B$2:$G$4,6,TRUE),2,IF($B$10=VLOOKUP(CC42,$B$2:$G$4,6,TRUE),3,IF($D$10=VLOOKUP(CC42,$B$2:$G$4,6,TRUE),4,5)))))*(DAY(CE42)-DAY(CD42)+1)/DAY(EOMONTH(CD42,0)),0)))))</f>
        <v/>
      </c>
      <c r="CS42" s="461">
        <f t="shared" si="73"/>
        <v>0</v>
      </c>
      <c r="CT42" s="464" t="str">
        <f>IF(CD42="","",IF(AND($CA$3=$CA$1,CD42&lt;=$CT$1),0,IF(AND(Main!$F$22=Main!$CA$24,CD42&gt;$CT$1),ROUND(SUM(CG42,CI42)*10%,0),"")))</f>
        <v/>
      </c>
      <c r="CU42" s="464" t="str">
        <f>IF(CC42="","",IF(CG42=0,0,IF(OR(Main!$H$10=Main!$BH$4,Main!$H$10=Main!$BH$5),0,LOOKUP(CS42*DAY(EOMONTH(CD42,0))/(DAY(CE42)-DAY(CD42)+1),$H$184:$I$189))))</f>
        <v/>
      </c>
      <c r="CV42" s="457">
        <f t="shared" si="74"/>
        <v>1</v>
      </c>
      <c r="CW42" s="464"/>
      <c r="CX42" s="501" t="str">
        <f t="shared" si="59"/>
        <v/>
      </c>
      <c r="CY42" s="502" t="str">
        <f t="shared" si="87"/>
        <v/>
      </c>
      <c r="CZ42" s="484" t="str">
        <f>IF(CY42="","",MIN(EOMONTH(CY42,0),VLOOKUP(CY42,'IN RPS-2015'!$O$164:$P$202,2,TRUE)-1,LOOKUP(CY42,$E$47:$F$53)-1,IF(CY42&lt;$B$2,$B$2-1,'IN RPS-2015'!$Q$9),IF(CY42&lt;$B$3,$B$3-1,'IN RPS-2015'!$Q$9),IF(CY42&lt;$B$4,$B$4-1,'IN RPS-2015'!$Q$9),LOOKUP(CY42,$H$47:$I$53)))</f>
        <v/>
      </c>
      <c r="DA42" s="493" t="str">
        <f>IF(CY42="","",VLOOKUP(CY42,'IN RPS-2015'!$T$207:$Y$222,6))</f>
        <v/>
      </c>
      <c r="DB42" s="461" t="str">
        <f t="shared" si="75"/>
        <v/>
      </c>
      <c r="DC42" s="461" t="str">
        <f>IF(CY42="","",IF(AND($CA$3=$CA$1,CY42&lt;=$CT$1),0,ROUND(IF(DQ42=3,0,IF(DQ42=2,IF(DA42=VLOOKUP(DA42,'IN RPS-2015'!$I$2:$J$5,1),0,Main!$H$9)/2,IF(DA42=VLOOKUP(DA42,'IN RPS-2015'!$I$2:$J$5,1),0,Main!$H$9)))*(DAY(CZ42)-DAY(CY42)+1)/DAY(EOMONTH(CY42,0)),0)))</f>
        <v/>
      </c>
      <c r="DD42" s="461" t="str">
        <f>IF(CY42="","",IF(AND($CA$3=$CA$1,CY42&lt;=$CT$1),0,IF(DA42=VLOOKUP(DA42,'IN RPS-2015'!$I$2:$J$5,1),0,ROUND(DB42*VLOOKUP(CY42,$BZ$4:$CA$7,2)%,0))))</f>
        <v/>
      </c>
      <c r="DE42" s="461" t="str">
        <f>IF(CY42="","",IF(AND($CA$3=$CA$1,CY42&lt;=$CT$1),0,IF(OR(DQ42=3,DA42=VLOOKUP(DA42,'IN RPS-2015'!$I$2:$J$5,1)),0,ROUND(MIN(ROUND(DA42*VLOOKUP(CY42,$B$1:$G$4,2)%,0),VLOOKUP(CY42,$B$2:$I$4,IF($CA$3=$I$29,7,8),TRUE))*(DAY(CZ42)-DAY(CY42)+1)/DAY(EOMONTH(CY42,0)),0))))</f>
        <v/>
      </c>
      <c r="DF42" s="491" t="str">
        <f>IF(CY42="","",IF(AND($CA$3=$CA$1,CY42&lt;=$CT$1),0,IF(Main!$C$26="UGC",0,IF(OR(CY42&lt;DATE(2010,4,1),$I$6=VLOOKUP(CY42,$B$2:$G$4,5,TRUE),DA42=VLOOKUP(DA42,'IN RPS-2015'!$I$2:$J$5,1)),0,ROUND(IF(DQ42=3,0,IF(DQ42=2,MIN(ROUND(DA42*$G$13%,0),IF(CY42&lt;$J$152,$G$14,$G$15))/2,MIN(ROUND(DA42*$G$13%,0),IF(CY42&lt;$J$152,$G$14,$G$15))))*(DAY(CZ42)-DAY(CY42)+1)/DAY(EOMONTH(CY42,0)),0)))))</f>
        <v/>
      </c>
      <c r="DG42" s="461" t="str">
        <f>IF(CY42="","",IF(AND($CA$3=$CA$1,CY42&lt;=$CT$1),0,IF(Main!$C$26="UGC",0,IF(DA42=VLOOKUP(DA42,'IN RPS-2015'!$I$2:$J$5,1),0,ROUND(DB42*VLOOKUP(CY42,$BZ$11:$CA$12,2)%,0)))))</f>
        <v/>
      </c>
      <c r="DH42" s="461" t="str">
        <f>IF(CY42="","",IF(AND($CA$3=$CA$1,CY42&lt;=$CT$1),0,IF(Main!$C$26="UGC",0,IF(CY42&lt;DATE(2010,4,1),0,IF(OR(DQ42=2,DQ42=3,DA42=VLOOKUP(DA42,'IN RPS-2015'!$I$2:$J$5,1)),0,ROUND(IF(CY42&lt;$J$152,VLOOKUP(CY42,$B$1:$G$4,4),VLOOKUP(VLOOKUP(CY42,$B$1:$G$4,4),Main!$CE$2:$CF$5,2,FALSE))*(DAY(CZ42)-DAY(CY42)+1)/DAY(EOMONTH(CY42,0)),0))))))</f>
        <v/>
      </c>
      <c r="DI42" s="461" t="str">
        <f>IF(CY42="","",IF(AND($CA$3=$CA$1,CY42&lt;=$CT$1),0,IF(OR(DQ42=2,DQ42=3,$D$31=$D$28,DA42=VLOOKUP(DA42,'IN RPS-2015'!$I$2:$J$5,1)),0,ROUND(MIN(VLOOKUP(CX42,$A$27:$C$29,2,TRUE),ROUND(DA42*VLOOKUP(CX42,$A$27:$C$29,3,TRUE)%,0))*IF(CX42=$A$36,$C$36,IF(CX42=$A$37,$C$37,IF(CX42=$A$38,$C$38,IF(CX42=$A$39,$C$39,IF(CX42=$A$40,$C$40,IF(CX42=$A$41,$C$41,1))))))*(DAY(CZ42)-DAY(CY42)+1)/DAY(EOMONTH(CY42,0)),0))))</f>
        <v/>
      </c>
      <c r="DJ42" s="461" t="str">
        <f>IF(CY42="","",IF(AND($CA$3=$CA$1,CY42&lt;=$CT$1),0,IF(Main!$C$26="UGC",0,IF(OR(DQ42=3,DA42=VLOOKUP(DA42,'IN RPS-2015'!$I$2:$J$5,1)),0,ROUND(IF(DQ42=2,VLOOKUP(DA42,IF($CA$3=$I$29,$A$20:$E$23,$F$144:$J$147),IF($B$19=VLOOKUP(CY42,$B$2:$G$4,3,TRUE),2,IF($C$19=VLOOKUP(CY42,$B$2:$G$4,3,TRUE),3,IF($D$19=VLOOKUP(CY42,$B$2:$G$4,3,TRUE),4,5))),TRUE),VLOOKUP(DA42,IF($CA$3=$I$29,$A$20:$E$23,$F$144:$J$147),IF($B$19=VLOOKUP(CY42,$B$2:$G$4,3,TRUE),2,IF($C$19=VLOOKUP(CY42,$B$2:$G$4,3,TRUE),3,IF($D$19=VLOOKUP(CY42,$B$2:$G$4,3,TRUE),4,5))),TRUE))*(DAY(CZ42)-DAY(CY42)+1)/DAY(EOMONTH(CY42,0)),0)))))</f>
        <v/>
      </c>
      <c r="DK42" s="461" t="str">
        <f>IF(CY42="","",IF(AND($CA$3=$CA$1,CY42&lt;=$CT$1),0,IF(Main!$C$26="UGC",0,IF(OR(CX42&lt;DATE(2010,4,1),DQ42=3,DA42=VLOOKUP(DA42,'IN RPS-2015'!$I$2:$J$5,1)),0,ROUND(IF(DQ42=2,IF(CY42&lt;$J$152,Main!$L$9,Main!$CI$3)/2,IF(CY42&lt;$J$152,Main!$L$9,Main!$CI$3))*(DAY(CZ42)-DAY(CY42)+1)/DAY(EOMONTH(CY42,0)),0)))))</f>
        <v/>
      </c>
      <c r="DL42" s="461"/>
      <c r="DM42" s="461" t="str">
        <f>IF(CY42="","",IF(AND($CA$3=$CA$1,CY42&lt;=$CT$1),0,IF(Main!$C$26="UGC",0,IF(OR(DQ42=3,DA42=VLOOKUP(DA42,'IN RPS-2015'!$I$2:$J$5,1)),0,ROUND(IF(DQ42=2,VLOOKUP(DB42,IF(CY42&lt;$J$152,$A$154:$E$159,$F$154:$J$159),IF($B$10=VLOOKUP(CX42,$B$2:$G$4,6,TRUE),2,IF($B$10=VLOOKUP(CX42,$B$2:$G$4,6,TRUE),3,IF($D$10=VLOOKUP(CX42,$B$2:$G$4,6,TRUE),4,5))))/2,VLOOKUP(DB42,IF(CY42&lt;$J$152,$A$154:$E$159,$F$154:$J$159),IF($B$10=VLOOKUP(CX42,$B$2:$G$4,6,TRUE),2,IF($B$10=VLOOKUP(CX42,$B$2:$G$4,6,TRUE),3,IF($D$10=VLOOKUP(CX42,$B$2:$G$4,6,TRUE),4,5)))))*(DAY(CZ42)-DAY(CY42)+1)/DAY(EOMONTH(CY42,0)),0)))))</f>
        <v/>
      </c>
      <c r="DN42" s="461">
        <f t="shared" si="76"/>
        <v>0</v>
      </c>
      <c r="DO42" s="464" t="str">
        <f>IF(CY42="","",IF(AND($CA$3=$CA$1,CY42&lt;=$CT$1),0,IF(AND(Main!$F$22=Main!$CA$24,CY42&gt;$CT$1),ROUND(SUM(DB42,DD42)*10%,0),"")))</f>
        <v/>
      </c>
      <c r="DP42" s="464" t="str">
        <f>IF(CX42="","",IF(AND($CA$3=$CA$1,CY42&lt;=$CT$1),0,IF(OR(Main!$H$10=Main!$BH$4,Main!$H$10=Main!$BH$5),0,LOOKUP(DN42*DAY(EOMONTH(CY42,0))/(DAY(CZ42)-DAY(CY42)+1),$H$184:$I$189))))</f>
        <v/>
      </c>
      <c r="DQ42" s="457">
        <f t="shared" si="60"/>
        <v>1</v>
      </c>
      <c r="DR42" s="457">
        <f t="shared" si="77"/>
        <v>0</v>
      </c>
      <c r="DS42" s="457"/>
      <c r="DT42" s="457"/>
      <c r="DU42" s="457"/>
      <c r="DV42" s="461"/>
      <c r="DW42" s="499" t="str">
        <f t="shared" si="61"/>
        <v/>
      </c>
      <c r="DX42" s="500" t="str">
        <f t="shared" si="88"/>
        <v/>
      </c>
      <c r="DY42" s="484" t="str">
        <f>IF(DX42="","",MIN(EOMONTH(DX42,0),VLOOKUP(DX42,'IN RPS-2015'!$O$164:$P$202,2,TRUE)-1,LOOKUP(DX42,$E$47:$F$53)-1,IF(DX42&lt;$B$2,$B$2-1,'IN RPS-2015'!$Q$9),IF(DX42&lt;$B$3,$B$3-1,'IN RPS-2015'!$Q$9),IF(DX42&lt;$B$4,$B$4-1,'IN RPS-2015'!$Q$9),LOOKUP(DX42,$H$47:$I$53)))</f>
        <v/>
      </c>
      <c r="DZ42" s="490" t="str">
        <f>IF(DX42="","",VLOOKUP(DX42,'IN RPS-2015'!$P$164:$AA$202,11))</f>
        <v/>
      </c>
      <c r="EA42" s="461" t="str">
        <f t="shared" si="78"/>
        <v/>
      </c>
      <c r="EB42" s="461" t="str">
        <f>IF(DX42="","",ROUND(IF(EP42=3,0,IF(EP42=2,IF(DZ42=VLOOKUP(DZ42,'IN RPS-2015'!$I$2:$J$5,1),0,Main!$H$9)/2,IF(DZ42=VLOOKUP(DZ42,'IN RPS-2015'!$I$2:$J$5,1),0,Main!$H$9)))*(DAY(DY42)-DAY(DX42)+1)/DAY(EOMONTH(DX42,0)),0))</f>
        <v/>
      </c>
      <c r="EC42" s="461" t="str">
        <f>IF(DX42="","",IF(DZ42=VLOOKUP(DZ42,'IN RPS-2015'!$I$2:$J$5,1),0,ROUND(EA42*VLOOKUP(DX42,$DT$4:$DU$7,2)%,0)))</f>
        <v/>
      </c>
      <c r="ED42" s="461" t="str">
        <f>IF(DX42="","",IF(OR(EP42=3,DZ42=VLOOKUP(DZ42,'IN RPS-2015'!$I$2:$J$5,1)),0,ROUND(MIN(ROUND(DZ42*VLOOKUP(DX42,$B$1:$G$4,2)%,0),VLOOKUP(DX42,$B$2:$I$4,IF($DU$3=$I$29,7,8),TRUE))*(DAY(DY42)-DAY(DX42)+1)/DAY(EOMONTH(DX42,0)),0)))</f>
        <v/>
      </c>
      <c r="EE42" s="491" t="str">
        <f>IF(DX42="","",IF(Main!$C$26="UGC",0,IF(OR(DX42&lt;DATE(2010,4,1),$I$6=VLOOKUP(DX42,$B$2:$G$4,5,TRUE),DZ42=VLOOKUP(DZ42,'IN RPS-2015'!$I$2:$J$5,1)),0,ROUND(IF(EP42=3,0,IF(EP42=2,MIN(ROUND(DZ42*$G$13%,0),IF(DX42&lt;$I$152,$G$14,$G$15))/2,MIN(ROUND(DZ42*$G$13%,0),IF(DX42&lt;$I$152,$G$14,$G$15))))*(DAY(DY42)-DAY(DX42)+1)/DAY(EOMONTH(DX42,0)),0))))</f>
        <v/>
      </c>
      <c r="EF42" s="461" t="str">
        <f>IF(DX42="","",IF(Main!$C$26="UGC",0,IF(DZ42=VLOOKUP(DZ42,'IN RPS-2015'!$I$2:$J$5,1),0,ROUND(EA42*VLOOKUP(DX42,$DT$11:$DU$12,2)%,0))))</f>
        <v/>
      </c>
      <c r="EG42" s="461" t="str">
        <f>IF(DX42="","",IF(Main!$C$26="UGC",0,IF(DX42&lt;DATE(2010,4,1),0,IF(OR(EP42=2,EP42=3,DZ42=VLOOKUP(DZ42,'IN RPS-2015'!$I$2:$J$5,1)),0,ROUND(IF(DX42&lt;$I$152,VLOOKUP(DX42,$B$1:$G$4,4),VLOOKUP(VLOOKUP(DX42,$B$1:$G$4,4),Main!$CE$2:$CF$5,2,FALSE))*(DAY(DY42)-DAY(DX42)+1)/DAY(EOMONTH(DX42,0)),0)))))</f>
        <v/>
      </c>
      <c r="EH42" s="461" t="str">
        <f>IF(DX42="","",IF(OR(EP42=2,EP42=3,$D$31=$D$28,DZ42=VLOOKUP(DZ42,'IN RPS-2015'!$I$2:$J$5,1)),0,ROUND(MIN(IF(DX42&lt;$I$152,900,1350),ROUND(DZ42*VLOOKUP(DW42,$A$27:$C$29,3,TRUE)%,0))*IF(DW42=$A$36,$C$36,IF(DW42=$A$37,$C$37,IF(DW42=$A$38,$C$38,IF(DW42=$A$39,$C$39,IF(DW42=$A$40,$C$40,IF(DW42=$A$41,$C$41,1))))))*(DAY(DY42)-DAY(DX42)+1)/DAY(EOMONTH(DX42,0)),0)))</f>
        <v/>
      </c>
      <c r="EI42" s="461" t="str">
        <f>IF(DX42="","",IF(Main!$C$26="UGC",0,IF(OR(EP42=3,DZ42=VLOOKUP(DZ42,'IN RPS-2015'!$I$2:$J$5,1)),0,ROUND(IF(EP42=2,VLOOKUP(DZ42,IF($DU$3=$I$29,$A$20:$E$23,$F$144:$J$147),IF($B$19=VLOOKUP(DX42,$B$2:$G$4,3,TRUE),2,IF($C$19=VLOOKUP(DX42,$B$2:$G$4,3,TRUE),3,IF($D$19=VLOOKUP(DX42,$B$2:$G$4,3,TRUE),4,5))),TRUE),VLOOKUP(DZ42,IF($DU$3=$I$29,$A$20:$E$23,$F$144:$J$147),IF($B$19=VLOOKUP(DX42,$B$2:$G$4,3,TRUE),2,IF($C$19=VLOOKUP(DX42,$B$2:$G$4,3,TRUE),3,IF($D$19=VLOOKUP(DX42,$B$2:$G$4,3,TRUE),4,5))),TRUE))*(DAY(DY42)-DAY(DX42)+1)/DAY(EOMONTH(DX42,0)),0))))</f>
        <v/>
      </c>
      <c r="EJ42" s="461" t="str">
        <f>IF(DX42="","",IF(Main!$C$26="UGC",0,IF(OR(DW42&lt;DATE(2010,4,1),EP42=3,DZ42=VLOOKUP(DZ42,'IN RPS-2015'!$I$2:$J$5,1)),0,ROUND(IF(EP42=2,IF(DX42&lt;$I$152,Main!$L$9,Main!$CI$3)/2,IF(DX42&lt;$I$152,Main!$L$9,Main!$CI$3))*(DAY(DY42)-DAY(DX42)+1)/DAY(EOMONTH(DX42,0)),0))))</f>
        <v/>
      </c>
      <c r="EK42" s="461"/>
      <c r="EL42" s="461" t="str">
        <f>IF(DX42="","",IF(Main!$C$26="UGC",0,IF(OR(EP42=3,DZ42=VLOOKUP(DZ42,'IN RPS-2015'!$I$2:$J$5,1)),0,ROUND(IF(EP42=2,VLOOKUP(EA42,IF(DX42&lt;$I$152,$A$154:$E$159,$F$154:$J$159),IF($B$10=VLOOKUP(DW42,$B$2:$G$4,6,TRUE),2,IF($B$10=VLOOKUP(DW42,$B$2:$G$4,6,TRUE),3,IF($D$10=VLOOKUP(DW42,$B$2:$G$4,6,TRUE),4,5))))/2,VLOOKUP(EA42,IF(DX42&lt;$I$152,$A$154:$E$159,$F$154:$J$159),IF($B$10=VLOOKUP(DW42,$B$2:$G$4,6,TRUE),2,IF($B$10=VLOOKUP(DW42,$B$2:$G$4,6,TRUE),3,IF($D$10=VLOOKUP(DW42,$B$2:$G$4,6,TRUE),4,5)))))*(DAY(DY42)-DAY(DX42)+1)/DAY(EOMONTH(DX42,0)),0))))</f>
        <v/>
      </c>
      <c r="EM42" s="461">
        <f t="shared" si="79"/>
        <v>0</v>
      </c>
      <c r="EN42" s="464" t="str">
        <f>IF(DX42="","",IF(AND(Main!$F$22=Main!$CA$24,DX42&gt;$EN$1),ROUND(SUM(EA42,EC42)*10%,0),""))</f>
        <v/>
      </c>
      <c r="EO42" s="464" t="str">
        <f>IF(DW42="","",IF(EA42=0,0,IF(OR(Main!$H$10=Main!$BH$4,Main!$H$10=Main!$BH$5),0,LOOKUP(EM42*DAY(EOMONTH(DX42,0))/(DAY(DY42)-DAY(DX42)+1),$H$184:$I$189))))</f>
        <v/>
      </c>
      <c r="EP42" s="457">
        <f t="shared" si="62"/>
        <v>1</v>
      </c>
      <c r="ET42" s="461"/>
      <c r="EU42" s="499" t="str">
        <f t="shared" si="63"/>
        <v/>
      </c>
      <c r="EV42" s="500" t="str">
        <f t="shared" si="89"/>
        <v/>
      </c>
      <c r="EW42" s="484" t="str">
        <f>IF(EV42="","",MIN(EOMONTH(EV42,0),VLOOKUP(EV42,'IN RPS-2015'!$O$164:$P$202,2,TRUE)-1,LOOKUP(EV42,$E$47:$F$53)-1,IF(EV42&lt;$B$2,$B$2-1,'IN RPS-2015'!$Q$9),IF(EV42&lt;$B$3,$B$3-1,'IN RPS-2015'!$Q$9),IF(EV42&lt;$B$4,$B$4-1,'IN RPS-2015'!$Q$9),LOOKUP(EV42,$H$47:$I$53)))</f>
        <v/>
      </c>
      <c r="EX42" s="490" t="str">
        <f>IF(EV42="","",VLOOKUP(EV42,'IN RPS-2015'!$P$164:$AA$202,12))</f>
        <v/>
      </c>
      <c r="EY42" s="461" t="str">
        <f t="shared" si="80"/>
        <v/>
      </c>
      <c r="EZ42" s="461" t="str">
        <f>IF(EV42="","",ROUND(IF(FN42=3,0,IF(FN42=2,IF(EX42=VLOOKUP(EX42,'IN RPS-2015'!$I$2:$J$5,1),0,Main!$H$9)/2,IF(EX42=VLOOKUP(EX42,'IN RPS-2015'!$I$2:$J$5,1),0,Main!$H$9)))*(DAY(EW42)-DAY(EV42)+1)/DAY(EOMONTH(EV42,0)),0))</f>
        <v/>
      </c>
      <c r="FA42" s="461" t="str">
        <f>IF(EV42="","",IF(EX42=VLOOKUP(EX42,'IN RPS-2015'!$I$2:$J$5,1),0,ROUND(EY42*VLOOKUP(EV42,$ER$4:$ES$7,2)%,0)))</f>
        <v/>
      </c>
      <c r="FB42" s="461" t="str">
        <f>IF(EV42="","",IF(OR(FN42=3,EX42=VLOOKUP(EX42,'IN RPS-2015'!$I$2:$J$5,1)),0,ROUND(MIN(ROUND(EX42*VLOOKUP(EV42,$B$1:$G$4,2)%,0),VLOOKUP(EV42,$B$2:$I$4,IF($ES$3=$I$29,7,8),TRUE))*(DAY(EW42)-DAY(EV42)+1)/DAY(EOMONTH(EV42,0)),0)))</f>
        <v/>
      </c>
      <c r="FC42" s="491" t="str">
        <f>IF(EV42="","",IF(Main!$C$26="UGC",0,IF(OR(EV42&lt;DATE(2010,4,1),$I$6=VLOOKUP(EV42,$B$2:$G$4,5,TRUE),EX42=VLOOKUP(EX42,'IN RPS-2015'!$I$2:$J$5,1)),0,ROUND(IF(FN42=3,0,IF(FN42=2,MIN(ROUND(EX42*$G$13%,0),IF(EV42&lt;$J$152,$G$14,$G$15))/2,MIN(ROUND(EX42*$G$13%,0),IF(EV42&lt;$J$152,$G$14,$G$15))))*(DAY(EW42)-DAY(EV42)+1)/DAY(EOMONTH(EV42,0)),0))))</f>
        <v/>
      </c>
      <c r="FD42" s="461" t="str">
        <f>IF(EV42="","",IF(Main!$C$26="UGC",0,IF(EX42=VLOOKUP(EX42,'IN RPS-2015'!$I$2:$J$5,1),0,ROUND(EY42*VLOOKUP(EV42,$ER$11:$ES$12,2)%,0))))</f>
        <v/>
      </c>
      <c r="FE42" s="461" t="str">
        <f>IF(EV42="","",IF(Main!$C$26="UGC",0,IF(EV42&lt;DATE(2010,4,1),0,IF(OR(FN42=2,FN42=3,EX42=VLOOKUP(EX42,'IN RPS-2015'!$I$2:$J$5,1)),0,ROUND(IF(EV42&lt;$J$152,VLOOKUP(EV42,$B$1:$G$4,4),VLOOKUP(VLOOKUP(EV42,$B$1:$G$4,4),Main!$CE$2:$CF$5,2,FALSE))*(DAY(EW42)-DAY(EV42)+1)/DAY(EOMONTH(EV42,0)),0)))))</f>
        <v/>
      </c>
      <c r="FF42" s="461" t="str">
        <f>IF(EV42="","",IF(OR(FN42=2,FN42=3,$D$31=$D$28,EX42=VLOOKUP(EX42,'IN RPS-2015'!$I$2:$J$5,1)),0,ROUND(MIN(VLOOKUP(EU42,$A$27:$C$29,2,TRUE),ROUND(EX42*VLOOKUP(EU42,$A$27:$C$29,3,TRUE)%,0))*IF(EU42=$A$36,$C$36,IF(EU42=$A$37,$C$37,IF(EU42=$A$38,$C$38,IF(EU42=$A$39,$C$39,IF(EU42=$A$40,$C$40,IF(EU42=$A$41,$C$41,1))))))*(DAY(EW42)-DAY(EV42)+1)/DAY(EOMONTH(EV42,0)),0)))</f>
        <v/>
      </c>
      <c r="FG42" s="461" t="str">
        <f>IF(EV42="","",IF(Main!$C$26="UGC",0,IF(OR(FN42=3,EX42=VLOOKUP(EX42,'IN RPS-2015'!$I$2:$J$5,1)),0,ROUND(IF(FN42=2,VLOOKUP(EX42,IF($ES$3=$I$29,$A$20:$E$23,$F$144:$J$147),IF($B$19=VLOOKUP(EV42,$B$2:$G$4,3,TRUE),2,IF($C$19=VLOOKUP(EV42,$B$2:$G$4,3,TRUE),3,IF($D$19=VLOOKUP(EV42,$B$2:$G$4,3,TRUE),4,5))),TRUE),VLOOKUP(EX42,IF($ES$3=$I$29,$A$20:$E$23,$F$144:$J$147),IF($B$19=VLOOKUP(EV42,$B$2:$G$4,3,TRUE),2,IF($C$19=VLOOKUP(EV42,$B$2:$G$4,3,TRUE),3,IF($D$19=VLOOKUP(EV42,$B$2:$G$4,3,TRUE),4,5))),TRUE))*(DAY(EW42)-DAY(EV42)+1)/DAY(EOMONTH(EV42,0)),0))))</f>
        <v/>
      </c>
      <c r="FH42" s="461" t="str">
        <f>IF(EV42="","",IF(Main!$C$26="UGC",0,IF(OR(EU42&lt;DATE(2010,4,1),FN42=3,EX42=VLOOKUP(EX42,'IN RPS-2015'!$I$2:$J$5,1)),0,ROUND(IF(FN42=2,IF(EV42&lt;$J$152,Main!$L$9,Main!$CI$3)/2,IF(EV42&lt;$J$152,Main!$L$9,Main!$CI$3))*(DAY(EW42)-DAY(EV42)+1)/DAY(EOMONTH(EV42,0)),0))))</f>
        <v/>
      </c>
      <c r="FI42" s="461"/>
      <c r="FJ42" s="461" t="str">
        <f>IF(EV42="","",IF(Main!$C$26="UGC",0,IF(OR(FN42=3,EX42=VLOOKUP(EX42,'IN RPS-2015'!$I$2:$J$5,1)),0,ROUND(IF(FN42=2,VLOOKUP(EY42,IF(EV42&lt;$J$152,$A$154:$E$159,$F$154:$J$159),IF($B$10=VLOOKUP(EU42,$B$2:$G$4,6,TRUE),2,IF($B$10=VLOOKUP(EU42,$B$2:$G$4,6,TRUE),3,IF($D$10=VLOOKUP(EU42,$B$2:$G$4,6,TRUE),4,5))))/2,VLOOKUP(EY42,IF(EV42&lt;$J$152,$A$154:$E$159,$F$154:$J$159),IF($B$10=VLOOKUP(EU42,$B$2:$G$4,6,TRUE),2,IF($B$10=VLOOKUP(EU42,$B$2:$G$4,6,TRUE),3,IF($D$10=VLOOKUP(EU42,$B$2:$G$4,6,TRUE),4,5)))))*(DAY(EW42)-DAY(EV42)+1)/DAY(EOMONTH(EV42,0)),0))))</f>
        <v/>
      </c>
      <c r="FK42" s="461">
        <f t="shared" si="81"/>
        <v>0</v>
      </c>
      <c r="FL42" s="464" t="str">
        <f>IF(EV42="","",IF(AND(Main!$F$22=Main!$CA$24,EV42&gt;$FL$1),ROUND(SUM(EY42,FA42)*10%,0),""))</f>
        <v/>
      </c>
      <c r="FM42" s="464" t="str">
        <f>IF(EU42="","",IF(EY42=0,0,IF(OR(Main!$H$10=Main!$BH$4,Main!$H$10=Main!$BH$5),0,LOOKUP(FK42*DAY(EOMONTH(EV42,0))/(DAY(EW42)-DAY(EV42)+1),$H$184:$I$189))))</f>
        <v/>
      </c>
      <c r="FN42" s="457">
        <f t="shared" si="64"/>
        <v>1</v>
      </c>
    </row>
    <row r="43" spans="1:170">
      <c r="E43" s="2">
        <f>Main!AB9</f>
        <v>1</v>
      </c>
      <c r="F43" s="117">
        <f>Main!AC9</f>
        <v>42461</v>
      </c>
      <c r="G43" s="117">
        <f>Main!AD9</f>
        <v>42461</v>
      </c>
      <c r="AH43" s="461"/>
      <c r="AI43" s="499" t="str">
        <f t="shared" si="54"/>
        <v/>
      </c>
      <c r="AJ43" s="500" t="str">
        <f t="shared" si="84"/>
        <v/>
      </c>
      <c r="AK43" s="484" t="str">
        <f>IF(AJ43="","",MIN(EOMONTH(AJ43,0),VLOOKUP(AJ43,'IN RPS-2015'!$O$164:$P$202,2,TRUE)-1,LOOKUP(AJ43,$E$47:$F$53)-1,IF(AJ43&lt;$B$2,$B$2-1,'IN RPS-2015'!$Q$9),IF(AJ43&lt;$B$3,$B$3-1,'IN RPS-2015'!$Q$9),IF(AJ43&lt;$B$4,$B$4-1,'IN RPS-2015'!$Q$9),LOOKUP(AJ43,$H$47:$I$53)))</f>
        <v/>
      </c>
      <c r="AL43" s="490" t="str">
        <f>IF(AJ43="","",VLOOKUP(AJ43,'IN RPS-2015'!$P$164:$AA$202,9))</f>
        <v/>
      </c>
      <c r="AM43" s="461" t="str">
        <f t="shared" si="66"/>
        <v/>
      </c>
      <c r="AN43" s="461" t="str">
        <f>IF(AJ43="","",IF(AND($AG$3=$AG$1,AJ43&lt;=$AZ$1),0,ROUND(IF(BB43=3,0,IF(BB43=2,IF(AL43=VLOOKUP(AL43,'IN RPS-2015'!$I$2:$J$5,1),0,Main!$H$9)/2,IF(AL43=VLOOKUP(AL43,'IN RPS-2015'!$I$2:$J$5,1),0,Main!$H$9)))*(DAY(AK43)-DAY(AJ43)+1)/DAY(EOMONTH(AJ43,0)),0)))</f>
        <v/>
      </c>
      <c r="AO43" s="461" t="str">
        <f>IF(AJ43="","",IF(AND($AG$3=$AG$1,AJ43&lt;=$AZ$1),0,IF(AL43=VLOOKUP(AL43,'IN RPS-2015'!$I$2:$J$5,1),0,ROUND(AM43*VLOOKUP(AJ43,$AF$4:$AG$7,2)%,0))))</f>
        <v/>
      </c>
      <c r="AP43" s="461" t="str">
        <f>IF(AJ43="","",IF(AND($AG$3=$AG$1,AJ43&lt;=$AZ$1),0,IF(OR(BB43=3,AL43=VLOOKUP(AL43,'IN RPS-2015'!$I$2:$J$5,1)),0,ROUND(MIN(ROUND(AL43*VLOOKUP(AJ43,$B$1:$G$4,2)%,0),VLOOKUP(AJ43,$B$2:$I$4,IF($AG$3=$I$29,7,8),TRUE))*(DAY(AK43)-DAY(AJ43)+1)/DAY(EOMONTH(AJ43,0)),0))))</f>
        <v/>
      </c>
      <c r="AQ43" s="491" t="str">
        <f>IF(AJ43="","",IF(AND($AG$3=$AG$1,AJ43&lt;=$AZ$1),0,IF(Main!$C$26="UGC",0,IF(OR(AJ43&lt;DATE(2010,4,1),$I$6=VLOOKUP(AJ43,$B$2:$G$4,5,TRUE),AL43=VLOOKUP(AL43,'IN RPS-2015'!$I$2:$J$5,1)),0,ROUND(IF(BB43=3,0,IF(BB43=2,MIN(ROUND(AL43*$G$13%,0),IF(AJ43&lt;$J$152,$G$14,$G$15))/2,MIN(ROUND(AL43*$G$13%,0),IF(AJ43&lt;$J$152,$G$14,$G$15))))*(DAY(AK43)-DAY(AJ43)+1)/DAY(EOMONTH(AJ43,0)),0)))))</f>
        <v/>
      </c>
      <c r="AR43" s="461" t="str">
        <f>IF(AJ43="","",IF(AND($AG$3=$AG$1,AJ43&lt;=$AZ$1),0,IF(Main!$C$26="UGC",0,IF(AL43=VLOOKUP(AL43,'IN RPS-2015'!$I$2:$J$5,1),0,ROUND(AM43*VLOOKUP(AJ43,$AF$11:$AG$12,2)%,0)))))</f>
        <v/>
      </c>
      <c r="AS43" s="461" t="str">
        <f>IF(AJ43="","",IF(AND($AG$3=$AG$1,AJ43&lt;=$AZ$1),0,IF(Main!$C$26="UGC",0,IF(AJ43&lt;DATE(2010,4,1),0,IF(OR(BB43=2,BB43=3,AL43=VLOOKUP(AL43,'IN RPS-2015'!$I$2:$J$5,1)),0,ROUND(IF(AJ43&lt;$J$152,VLOOKUP(AJ43,$B$1:$G$4,4),VLOOKUP(VLOOKUP(AJ43,$B$1:$G$4,4),Main!$CE$2:$CF$5,2,FALSE))*(DAY(AK43)-DAY(AJ43)+1)/DAY(EOMONTH(AJ43,0)),0))))))</f>
        <v/>
      </c>
      <c r="AT43" s="461" t="str">
        <f>IF(AJ43="","",IF(AND($AG$3=$AG$1,AJ43&lt;=$AZ$1),0,IF(OR(BB43=2,BB43=3,$D$31=$D$28,AL43=VLOOKUP(AL43,'IN RPS-2015'!$I$2:$J$5,1)),0,ROUND(MIN(VLOOKUP(AI43,$A$27:$C$29,2,TRUE),ROUND(AL43*VLOOKUP(AI43,$A$27:$C$29,3,TRUE)%,0))*IF(AI43=$A$36,$C$36,IF(AI43=$A$37,$C$37,IF(AI43=$A$38,$C$38,IF(AI43=$A$39,$C$39,IF(AI43=$A$40,$C$40,IF(AI43=$A$41,$C$41,1))))))*(DAY(AK43)-DAY(AJ43)+1)/DAY(EOMONTH(AJ43,0)),0))))</f>
        <v/>
      </c>
      <c r="AU43" s="461" t="str">
        <f>IF(AJ43="","",IF(AND($AG$3=$AG$1,AJ43&lt;=$AZ$1),0,IF(Main!$C$26="UGC",0,IF(OR(BB43=3,AL43=VLOOKUP(AL43,'IN RPS-2015'!$I$2:$J$5,1)),0,ROUND(IF(BB43=2,VLOOKUP(AL43,IF($AG$3=$I$29,$A$20:$E$23,$F$144:$J$147),IF($B$19=VLOOKUP(AJ43,$B$2:$G$4,3,TRUE),2,IF($C$19=VLOOKUP(AJ43,$B$2:$G$4,3,TRUE),3,IF($D$19=VLOOKUP(AJ43,$B$2:$G$4,3,TRUE),4,5))),TRUE),VLOOKUP(AL43,IF($AG$3=$I$29,$A$20:$E$23,$F$144:$J$147),IF($B$19=VLOOKUP(AJ43,$B$2:$G$4,3,TRUE),2,IF($C$19=VLOOKUP(AJ43,$B$2:$G$4,3,TRUE),3,IF($D$19=VLOOKUP(AJ43,$B$2:$G$4,3,TRUE),4,5))),TRUE))*(DAY(AK43)-DAY(AJ43)+1)/DAY(EOMONTH(AJ43,0)),0)))))</f>
        <v/>
      </c>
      <c r="AV43" s="461" t="str">
        <f>IF(AJ43="","",IF(AND($AG$3=$AG$1,AJ43&lt;=$AZ$1),0,IF(Main!$C$26="UGC",0,IF(OR(AI43&lt;DATE(2010,4,1),BB43=3,AL43=VLOOKUP(AL43,'IN RPS-2015'!$I$2:$J$5,1)),0,ROUND(IF(BB43=2,IF(AJ43&lt;$J$152,Main!$L$9,Main!$CI$3)/2,IF(AJ43&lt;$J$152,Main!$L$9,Main!$CI$3))*(DAY(AK43)-DAY(AJ43)+1)/DAY(EOMONTH(AJ43,0)),0)))))</f>
        <v/>
      </c>
      <c r="AW43" s="461"/>
      <c r="AX43" s="461" t="str">
        <f>IF(AJ43="","",IF(AND($AG$3=$AG$1,AJ43&lt;=$AZ$1),0,IF(Main!$C$26="UGC",0,IF(OR(BB43=3,AL43=VLOOKUP(AL43,'IN RPS-2015'!$I$2:$J$5,1)),0,ROUND(IF(BB43=2,VLOOKUP(AM43,IF(AJ43&lt;$J$152,$A$154:$E$159,$F$154:$J$159),IF($B$10=VLOOKUP(AI43,$B$2:$G$4,6,TRUE),2,IF($B$10=VLOOKUP(AI43,$B$2:$G$4,6,TRUE),3,IF($D$10=VLOOKUP(AI43,$B$2:$G$4,6,TRUE),4,5))))/2,VLOOKUP(AM43,IF(AJ43&lt;$J$152,$A$154:$E$159,$F$154:$J$159),IF($B$10=VLOOKUP(AI43,$B$2:$G$4,6,TRUE),2,IF($B$10=VLOOKUP(AI43,$B$2:$G$4,6,TRUE),3,IF($D$10=VLOOKUP(AI43,$B$2:$G$4,6,TRUE),4,5)))))*(DAY(AK43)-DAY(AJ43)+1)/DAY(EOMONTH(AJ43,0)),0)))))</f>
        <v/>
      </c>
      <c r="AY43" s="461">
        <f t="shared" si="67"/>
        <v>0</v>
      </c>
      <c r="AZ43" s="464" t="str">
        <f>IF(AJ43="","",IF(AND($AG$3=$AG$1,AJ43&lt;=$AZ$1),0,IF(AND(Main!$F$22=Main!$CA$24,AJ43&gt;$AZ$1),ROUND(SUM(AM43,AO43)*10%,0),"")))</f>
        <v/>
      </c>
      <c r="BA43" s="464" t="str">
        <f>IF(AI43="","",IF(AND($AG$3=$AG$1,AJ43&lt;=$AZ$1),0,IF(OR(Main!$H$10=Main!$BH$4,Main!$H$10=Main!$BH$5),0,LOOKUP(AY43*DAY(EOMONTH(AJ43,0))/(DAY(AK43)-DAY(AJ43)+1),$H$184:$I$189))))</f>
        <v/>
      </c>
      <c r="BB43" s="497">
        <f t="shared" si="55"/>
        <v>1</v>
      </c>
      <c r="BC43" s="464"/>
      <c r="BD43" s="501" t="str">
        <f t="shared" si="56"/>
        <v/>
      </c>
      <c r="BE43" s="502" t="str">
        <f t="shared" si="85"/>
        <v/>
      </c>
      <c r="BF43" s="484" t="str">
        <f>IF(BE43="","",MIN(EOMONTH(BE43,0),VLOOKUP(BE43,'IN RPS-2015'!$O$164:$P$202,2,TRUE)-1,LOOKUP(BE43,$E$47:$F$53)-1,IF(BE43&lt;$B$2,$B$2-1,'IN RPS-2015'!$Q$9),IF(BE43&lt;$B$3,$B$3-1,'IN RPS-2015'!$Q$9),IF(BE43&lt;$B$4,$B$4-1,'IN RPS-2015'!$Q$9),LOOKUP(BE43,$H$47:$I$53)))</f>
        <v/>
      </c>
      <c r="BG43" s="493" t="str">
        <f>IF(BE43="","",VLOOKUP(BE43,'IN RPS-2015'!$P$164:$AA$202,10))</f>
        <v/>
      </c>
      <c r="BH43" s="461" t="str">
        <f t="shared" si="68"/>
        <v/>
      </c>
      <c r="BI43" s="461" t="str">
        <f>IF(BE43="","",IF(AND($AG$3=$AG$1,BE43&lt;=$AZ$1),0,ROUND(IF(BW43=3,0,IF(BW43=2,IF(BG43=VLOOKUP(BG43,'IN RPS-2015'!$I$2:$J$5,1),0,Main!$H$9)/2,IF(BG43=VLOOKUP(BG43,'IN RPS-2015'!$I$2:$J$5,1),0,Main!$H$9)))*(DAY(BF43)-DAY(BE43)+1)/DAY(EOMONTH(BE43,0)),0)))</f>
        <v/>
      </c>
      <c r="BJ43" s="461" t="str">
        <f>IF(BE43="","",IF(AND($AG$3=$AG$1,BE43&lt;=$AZ$1),0,IF(BG43=VLOOKUP(BG43,'IN RPS-2015'!$I$2:$J$5,1),0,ROUND(BH43*VLOOKUP(BE43,$AF$4:$AG$7,2)%,0))))</f>
        <v/>
      </c>
      <c r="BK43" s="461" t="str">
        <f>IF(BE43="","",IF(AND($AG$3=$AG$1,BE43&lt;=$AZ$1),0,IF(OR(BW43=3,BG43=VLOOKUP(BG43,'IN RPS-2015'!$I$2:$J$5,1)),0,ROUND(MIN(ROUND(BG43*VLOOKUP(BE43,$B$1:$G$4,2)%,0),VLOOKUP(BE43,$B$2:$I$4,IF($AG$3=$I$29,7,8),TRUE))*(DAY(BF43)-DAY(BE43)+1)/DAY(EOMONTH(BE43,0)),0))))</f>
        <v/>
      </c>
      <c r="BL43" s="491" t="str">
        <f>IF(BE43="","",IF(AND($AG$3=$AG$1,BE43&lt;=$AZ$1),0,IF(Main!$C$26="UGC",0,IF(OR(BE43&lt;DATE(2010,4,1),$I$6=VLOOKUP(BE43,$B$2:$G$4,5,TRUE),BG43=VLOOKUP(BG43,'IN RPS-2015'!$I$2:$J$5,1)),0,ROUND(IF(BW43=3,0,IF(BW43=2,MIN(ROUND(BG43*$G$13%,0),IF(BE43&lt;$J$152,$G$14,$G$15))/2,MIN(ROUND(BG43*$G$13%,0),IF(BE43&lt;$J$152,$G$14,$G$15))))*(DAY(BF43)-DAY(BE43)+1)/DAY(EOMONTH(BE43,0)),0)))))</f>
        <v/>
      </c>
      <c r="BM43" s="461" t="str">
        <f>IF(BE43="","",IF(AND($AG$3=$AG$1,BE43&lt;=$AZ$1),0,IF(Main!$C$26="UGC",0,IF(BG43=VLOOKUP(BG43,'IN RPS-2015'!$I$2:$J$5,1),0,ROUND(BH43*VLOOKUP(BE43,$AF$11:$AG$12,2)%,0)))))</f>
        <v/>
      </c>
      <c r="BN43" s="461" t="str">
        <f>IF(BE43="","",IF(AND($AG$3=$AG$1,BE43&lt;=$AZ$1),0,IF(Main!$C$26="UGC",0,IF(BE43&lt;DATE(2010,4,1),0,IF(OR(BW43=2,BW43=3,BG43=VLOOKUP(BG43,'IN RPS-2015'!$I$2:$J$5,1)),0,ROUND(IF(BE43&lt;$J$152,VLOOKUP(BE43,$B$1:$G$4,4),VLOOKUP(VLOOKUP(BE43,$B$1:$G$4,4),Main!$CE$2:$CF$5,2,FALSE))*(DAY(BF43)-DAY(BE43)+1)/DAY(EOMONTH(BE43,0)),0))))))</f>
        <v/>
      </c>
      <c r="BO43" s="461" t="str">
        <f>IF(BE43="","",IF(AND($AG$3=$AG$1,BE43&lt;=$AZ$1),0,IF(OR(BW43=2,BW43=3,$D$31=$D$28,BG43=VLOOKUP(BG43,'IN RPS-2015'!$I$2:$J$5,1)),0,ROUND(MIN(VLOOKUP(BD43,$A$27:$C$29,2,TRUE),ROUND(BG43*VLOOKUP(BD43,$A$27:$C$29,3,TRUE)%,0))*IF(BD43=$A$36,$C$36,IF(BD43=$A$37,$C$37,IF(BD43=$A$38,$C$38,IF(BD43=$A$39,$C$39,IF(BD43=$A$40,$C$40,IF(BD43=$A$41,$C$41,1))))))*(DAY(BF43)-DAY(BE43)+1)/DAY(EOMONTH(BE43,0)),0))))</f>
        <v/>
      </c>
      <c r="BP43" s="461" t="str">
        <f>IF(BE43="","",IF(AND($AG$3=$AG$1,BE43&lt;=$AZ$1),0,IF(Main!$C$26="UGC",0,IF(OR(BW43=3,BG43=VLOOKUP(BG43,'IN RPS-2015'!$I$2:$J$5,1)),0,ROUND(IF(BW43=2,VLOOKUP(BG43,IF($AG$3=$I$29,$A$20:$E$23,$F$144:$J$147),IF($B$19=VLOOKUP(BE43,$B$2:$G$4,3,TRUE),2,IF($C$19=VLOOKUP(BE43,$B$2:$G$4,3,TRUE),3,IF($D$19=VLOOKUP(BE43,$B$2:$G$4,3,TRUE),4,5))),TRUE),VLOOKUP(BG43,IF($AG$3=$I$29,$A$20:$E$23,$F$144:$J$147),IF($B$19=VLOOKUP(BE43,$B$2:$G$4,3,TRUE),2,IF($C$19=VLOOKUP(BE43,$B$2:$G$4,3,TRUE),3,IF($D$19=VLOOKUP(BE43,$B$2:$G$4,3,TRUE),4,5))),TRUE))*(DAY(BF43)-DAY(BE43)+1)/DAY(EOMONTH(BE43,0)),0)))))</f>
        <v/>
      </c>
      <c r="BQ43" s="461" t="str">
        <f>IF(BE43="","",IF(AND($AG$3=$AG$1,BE43&lt;=$AZ$1),0,IF(Main!$C$26="UGC",0,IF(OR(BD43&lt;DATE(2010,4,1),BW43=3,BG43=VLOOKUP(BG43,'IN RPS-2015'!$I$2:$J$5,1)),0,ROUND(IF(BW43=2,IF(BE43&lt;$J$152,Main!$L$9,Main!$CI$3)/2,IF(BE43&lt;$J$152,Main!$L$9,Main!$CI$3))*(DAY(BF43)-DAY(BE43)+1)/DAY(EOMONTH(BE43,0)),0)))))</f>
        <v/>
      </c>
      <c r="BR43" s="461"/>
      <c r="BS43" s="461" t="str">
        <f>IF(BE43="","",IF(AND($AG$3=$AG$1,BE43&lt;=$AZ$1),0,IF(Main!$C$26="UGC",0,IF(OR(BW43=3,BG43=VLOOKUP(BG43,'IN RPS-2015'!$I$2:$J$5,1)),0,ROUND(IF(BW43=2,VLOOKUP(BH43,IF(BE43&lt;$J$152,$A$154:$E$159,$F$154:$J$159),IF($B$10=VLOOKUP(BD43,$B$2:$G$4,6,TRUE),2,IF($B$10=VLOOKUP(BD43,$B$2:$G$4,6,TRUE),3,IF($D$10=VLOOKUP(BD43,$B$2:$G$4,6,TRUE),4,5))))/2,VLOOKUP(BH43,IF(BE43&lt;$J$152,$A$154:$E$159,$F$154:$J$159),IF($B$10=VLOOKUP(BD43,$B$2:$G$4,6,TRUE),2,IF($B$10=VLOOKUP(BD43,$B$2:$G$4,6,TRUE),3,IF($D$10=VLOOKUP(BD43,$B$2:$G$4,6,TRUE),4,5)))))*(DAY(BF43)-DAY(BE43)+1)/DAY(EOMONTH(BE43,0)),0)))))</f>
        <v/>
      </c>
      <c r="BT43" s="461">
        <f t="shared" si="69"/>
        <v>0</v>
      </c>
      <c r="BU43" s="464" t="str">
        <f>IF(BE43="","",IF(AND($AG$3=$AG$1,BE43&lt;=$AZ$1),0,IF(AND(Main!$F$22=Main!$CA$24,BE43&gt;$AZ$1),ROUND(SUM(BH43,BJ43)*10%,0),"")))</f>
        <v/>
      </c>
      <c r="BV43" s="464" t="str">
        <f>IF(BD43="","",IF(AND($AG$3=$AG$1,BE43&lt;=$AZ$1),0,IF(OR(Main!$H$10=Main!$BH$4,Main!$H$10=Main!$BH$5),0,LOOKUP(BT43*DAY(EOMONTH(BE43,0))/(DAY(BF43)-DAY(BE43)+1),$H$184:$I$189))))</f>
        <v/>
      </c>
      <c r="BW43" s="503">
        <f t="shared" si="70"/>
        <v>1</v>
      </c>
      <c r="BX43" s="457">
        <f t="shared" si="90"/>
        <v>0</v>
      </c>
      <c r="BY43" s="457"/>
      <c r="BZ43" s="457"/>
      <c r="CA43" s="457"/>
      <c r="CB43" s="461"/>
      <c r="CC43" s="499" t="str">
        <f t="shared" si="57"/>
        <v/>
      </c>
      <c r="CD43" s="500" t="str">
        <f t="shared" si="86"/>
        <v/>
      </c>
      <c r="CE43" s="484" t="str">
        <f>IF(CD43="","",MIN(EOMONTH(CD43,0),VLOOKUP(CD43,'IN RPS-2015'!$O$164:$P$202,2,TRUE)-1,LOOKUP(CD43,$E$47:$F$53)-1,IF(CD43&lt;$B$2,$B$2-1,'IN RPS-2015'!$Q$9),IF(CD43&lt;$B$3,$B$3-1,'IN RPS-2015'!$Q$9),IF(CD43&lt;$B$4,$B$4-1,'IN RPS-2015'!$Q$9),LOOKUP(CD43,$H$47:$I$53)))</f>
        <v/>
      </c>
      <c r="CF43" s="490" t="str">
        <f>IF(CD43="","",VLOOKUP(CD43,'IN RPS-2015'!$T$207:$Y$222,5))</f>
        <v/>
      </c>
      <c r="CG43" s="461" t="str">
        <f t="shared" si="72"/>
        <v/>
      </c>
      <c r="CH43" s="461" t="str">
        <f>IF(CD43="","",IF(AND($CA$3=$CA$1,CD43&lt;=$CT$1),0,ROUND(IF(CV43=3,0,IF(CV43=2,IF(CF43=VLOOKUP(CF43,'IN RPS-2015'!$I$2:$J$5,1),0,Main!$H$9)/2,IF(CF43=VLOOKUP(CF43,'IN RPS-2015'!$I$2:$J$5,1),0,Main!$H$9)))*(DAY(CE43)-DAY(CD43)+1)/DAY(EOMONTH(CD43,0)),0)))</f>
        <v/>
      </c>
      <c r="CI43" s="461" t="str">
        <f>IF(CD43="","",IF(AND($CA$3=$CA$1,CD43&lt;=$CT$1),0,IF(CF43=VLOOKUP(CF43,'IN RPS-2015'!$I$2:$J$5,1),0,ROUND(CG43*VLOOKUP(CD43,$BZ$4:$CA$7,2)%,0))))</f>
        <v/>
      </c>
      <c r="CJ43" s="461" t="str">
        <f>IF(CD43="","",IF(AND($CA$3=$CA$1,CD43&lt;=$CT$1),0,IF(OR(CV43=3,CF43=VLOOKUP(CF43,'IN RPS-2015'!$I$2:$J$5,1)),0,ROUND(MIN(ROUND(CF43*VLOOKUP(CD43,$B$1:$G$4,2)%,0),VLOOKUP(CD43,$B$2:$I$4,IF($CA$3=$I$29,7,8),TRUE))*(DAY(CE43)-DAY(CD43)+1)/DAY(EOMONTH(CD43,0)),0))))</f>
        <v/>
      </c>
      <c r="CK43" s="491" t="str">
        <f>IF(CD43="","",IF(AND($CA$3=$CA$1,CD43&lt;=$CT$1),0,IF(Main!$C$26="UGC",0,IF(OR(CD43&lt;DATE(2010,4,1),$I$6=VLOOKUP(CD43,$B$2:$G$4,5,TRUE),CF43=VLOOKUP(CF43,'IN RPS-2015'!$I$2:$J$5,1)),0,ROUND(IF(CV43=3,0,IF(CV43=2,MIN(ROUND(CF43*$G$13%,0),IF(CD43&lt;$J$152,$G$14,$G$15))/2,MIN(ROUND(CF43*$G$13%,0),IF(CD43&lt;$J$152,$G$14,$G$15))))*(DAY(CE43)-DAY(CD43)+1)/DAY(EOMONTH(CD43,0)),0)))))</f>
        <v/>
      </c>
      <c r="CL43" s="461" t="str">
        <f>IF(CD43="","",IF(AND($CA$3=$CA$1,CD43&lt;=$CT$1),0,IF(Main!$C$26="UGC",0,IF(CF43=VLOOKUP(CF43,'IN RPS-2015'!$I$2:$J$5,1),0,ROUND(CG43*VLOOKUP(CD43,$BZ$11:$CA$12,2)%,0)))))</f>
        <v/>
      </c>
      <c r="CM43" s="461" t="str">
        <f>IF(CD43="","",IF(AND($CA$3=$CA$1,CD43&lt;=$CT$1),0,IF(Main!$C$26="UGC",0,IF(CD43&lt;DATE(2010,4,1),0,IF(OR(CV43=2,CV43=3,CF43=VLOOKUP(CF43,'IN RPS-2015'!$I$2:$J$5,1)),0,ROUND(IF(CD43&lt;$J$152,VLOOKUP(CD43,$B$1:$G$4,4),VLOOKUP(VLOOKUP(CD43,$B$1:$G$4,4),Main!$CE$2:$CF$5,2,FALSE))*(DAY(CE43)-DAY(CD43)+1)/DAY(EOMONTH(CD43,0)),0))))))</f>
        <v/>
      </c>
      <c r="CN43" s="461" t="str">
        <f>IF(CD43="","",IF(AND($CA$3=$CA$1,CD43&lt;=$CT$1),0,IF(OR(CV43=2,CV43=3,$D$31=$D$28,CF43=VLOOKUP(CF43,'IN RPS-2015'!$I$2:$J$5,1)),0,ROUND(MIN(VLOOKUP(CC43,$A$27:$C$29,2,TRUE),ROUND(CF43*VLOOKUP(CC43,$A$27:$C$29,3,TRUE)%,0))*IF(CC43=$A$36,$C$36,IF(CC43=$A$37,$C$37,IF(CC43=$A$38,$C$38,IF(CC43=$A$39,$C$39,IF(CC43=$A$40,$C$40,IF(CC43=$A$41,$C$41,1))))))*(DAY(CE43)-DAY(CD43)+1)/DAY(EOMONTH(CD43,0)),0))))</f>
        <v/>
      </c>
      <c r="CO43" s="461" t="str">
        <f>IF(CD43="","",IF(AND($CA$3=$CA$1,CD43&lt;=$CT$1),0,IF(Main!$C$26="UGC",0,IF(OR(CV43=3,CF43=VLOOKUP(CF43,'IN RPS-2015'!$I$2:$J$5,1)),0,ROUND(IF(CV43=2,VLOOKUP(CF43,IF($CA$3=$I$29,$A$20:$E$23,$F$144:$J$147),IF($B$19=VLOOKUP(CD43,$B$2:$G$4,3,TRUE),2,IF($C$19=VLOOKUP(CD43,$B$2:$G$4,3,TRUE),3,IF($D$19=VLOOKUP(CD43,$B$2:$G$4,3,TRUE),4,5))),TRUE),VLOOKUP(CF43,IF($CA$3=$I$29,$A$20:$E$23,$F$144:$J$147),IF($B$19=VLOOKUP(CD43,$B$2:$G$4,3,TRUE),2,IF($C$19=VLOOKUP(CD43,$B$2:$G$4,3,TRUE),3,IF($D$19=VLOOKUP(CD43,$B$2:$G$4,3,TRUE),4,5))),TRUE))*(DAY(CE43)-DAY(CD43)+1)/DAY(EOMONTH(CD43,0)),0)))))</f>
        <v/>
      </c>
      <c r="CP43" s="461" t="str">
        <f>IF(CD43="","",IF(AND($CA$3=$CA$1,CD43&lt;=$CT$1),0,IF(Main!$C$26="UGC",0,IF(OR(CC43&lt;DATE(2010,4,1),CV43=3,CF43=VLOOKUP(CF43,'IN RPS-2015'!$I$2:$J$5,1)),0,ROUND(IF(CV43=2,IF(CD43&lt;$J$152,Main!$L$9,Main!$CI$3)/2,IF(CD43&lt;$J$152,Main!$L$9,Main!$CI$3))*(DAY(CE43)-DAY(CD43)+1)/DAY(EOMONTH(CD43,0)),0)))))</f>
        <v/>
      </c>
      <c r="CQ43" s="461"/>
      <c r="CR43" s="461" t="str">
        <f>IF(CD43="","",IF(AND($CA$3=$CA$1,CD43&lt;=$CT$1),0,IF(Main!$C$26="UGC",0,IF(OR(CV43=3,CF43=VLOOKUP(CF43,'IN RPS-2015'!$I$2:$J$5,1)),0,ROUND(IF(CV43=2,VLOOKUP(CG43,IF(CD43&lt;$J$152,$A$154:$E$159,$F$154:$J$159),IF($B$10=VLOOKUP(CC43,$B$2:$G$4,6,TRUE),2,IF($B$10=VLOOKUP(CC43,$B$2:$G$4,6,TRUE),3,IF($D$10=VLOOKUP(CC43,$B$2:$G$4,6,TRUE),4,5))))/2,VLOOKUP(CG43,IF(CD43&lt;$J$152,$A$154:$E$159,$F$154:$J$159),IF($B$10=VLOOKUP(CC43,$B$2:$G$4,6,TRUE),2,IF($B$10=VLOOKUP(CC43,$B$2:$G$4,6,TRUE),3,IF($D$10=VLOOKUP(CC43,$B$2:$G$4,6,TRUE),4,5)))))*(DAY(CE43)-DAY(CD43)+1)/DAY(EOMONTH(CD43,0)),0)))))</f>
        <v/>
      </c>
      <c r="CS43" s="461">
        <f t="shared" si="73"/>
        <v>0</v>
      </c>
      <c r="CT43" s="464" t="str">
        <f>IF(CD43="","",IF(AND($CA$3=$CA$1,CD43&lt;=$CT$1),0,IF(AND(Main!$F$22=Main!$CA$24,CD43&gt;$CT$1),ROUND(SUM(CG43,CI43)*10%,0),"")))</f>
        <v/>
      </c>
      <c r="CU43" s="464" t="str">
        <f>IF(CC43="","",IF(CG43=0,0,IF(OR(Main!$H$10=Main!$BH$4,Main!$H$10=Main!$BH$5),0,LOOKUP(CS43*DAY(EOMONTH(CD43,0))/(DAY(CE43)-DAY(CD43)+1),$H$184:$I$189))))</f>
        <v/>
      </c>
      <c r="CV43" s="457">
        <f t="shared" si="74"/>
        <v>1</v>
      </c>
      <c r="CW43" s="464"/>
      <c r="CX43" s="501" t="str">
        <f t="shared" si="59"/>
        <v/>
      </c>
      <c r="CY43" s="502" t="str">
        <f t="shared" si="87"/>
        <v/>
      </c>
      <c r="CZ43" s="484" t="str">
        <f>IF(CY43="","",MIN(EOMONTH(CY43,0),VLOOKUP(CY43,'IN RPS-2015'!$O$164:$P$202,2,TRUE)-1,LOOKUP(CY43,$E$47:$F$53)-1,IF(CY43&lt;$B$2,$B$2-1,'IN RPS-2015'!$Q$9),IF(CY43&lt;$B$3,$B$3-1,'IN RPS-2015'!$Q$9),IF(CY43&lt;$B$4,$B$4-1,'IN RPS-2015'!$Q$9),LOOKUP(CY43,$H$47:$I$53)))</f>
        <v/>
      </c>
      <c r="DA43" s="493" t="str">
        <f>IF(CY43="","",VLOOKUP(CY43,'IN RPS-2015'!$T$207:$Y$222,6))</f>
        <v/>
      </c>
      <c r="DB43" s="461" t="str">
        <f t="shared" si="75"/>
        <v/>
      </c>
      <c r="DC43" s="461" t="str">
        <f>IF(CY43="","",IF(AND($CA$3=$CA$1,CY43&lt;=$CT$1),0,ROUND(IF(DQ43=3,0,IF(DQ43=2,IF(DA43=VLOOKUP(DA43,'IN RPS-2015'!$I$2:$J$5,1),0,Main!$H$9)/2,IF(DA43=VLOOKUP(DA43,'IN RPS-2015'!$I$2:$J$5,1),0,Main!$H$9)))*(DAY(CZ43)-DAY(CY43)+1)/DAY(EOMONTH(CY43,0)),0)))</f>
        <v/>
      </c>
      <c r="DD43" s="461" t="str">
        <f>IF(CY43="","",IF(AND($CA$3=$CA$1,CY43&lt;=$CT$1),0,IF(DA43=VLOOKUP(DA43,'IN RPS-2015'!$I$2:$J$5,1),0,ROUND(DB43*VLOOKUP(CY43,$BZ$4:$CA$7,2)%,0))))</f>
        <v/>
      </c>
      <c r="DE43" s="461" t="str">
        <f>IF(CY43="","",IF(AND($CA$3=$CA$1,CY43&lt;=$CT$1),0,IF(OR(DQ43=3,DA43=VLOOKUP(DA43,'IN RPS-2015'!$I$2:$J$5,1)),0,ROUND(MIN(ROUND(DA43*VLOOKUP(CY43,$B$1:$G$4,2)%,0),VLOOKUP(CY43,$B$2:$I$4,IF($CA$3=$I$29,7,8),TRUE))*(DAY(CZ43)-DAY(CY43)+1)/DAY(EOMONTH(CY43,0)),0))))</f>
        <v/>
      </c>
      <c r="DF43" s="491" t="str">
        <f>IF(CY43="","",IF(AND($CA$3=$CA$1,CY43&lt;=$CT$1),0,IF(Main!$C$26="UGC",0,IF(OR(CY43&lt;DATE(2010,4,1),$I$6=VLOOKUP(CY43,$B$2:$G$4,5,TRUE),DA43=VLOOKUP(DA43,'IN RPS-2015'!$I$2:$J$5,1)),0,ROUND(IF(DQ43=3,0,IF(DQ43=2,MIN(ROUND(DA43*$G$13%,0),IF(CY43&lt;$J$152,$G$14,$G$15))/2,MIN(ROUND(DA43*$G$13%,0),IF(CY43&lt;$J$152,$G$14,$G$15))))*(DAY(CZ43)-DAY(CY43)+1)/DAY(EOMONTH(CY43,0)),0)))))</f>
        <v/>
      </c>
      <c r="DG43" s="461" t="str">
        <f>IF(CY43="","",IF(AND($CA$3=$CA$1,CY43&lt;=$CT$1),0,IF(Main!$C$26="UGC",0,IF(DA43=VLOOKUP(DA43,'IN RPS-2015'!$I$2:$J$5,1),0,ROUND(DB43*VLOOKUP(CY43,$BZ$11:$CA$12,2)%,0)))))</f>
        <v/>
      </c>
      <c r="DH43" s="461" t="str">
        <f>IF(CY43="","",IF(AND($CA$3=$CA$1,CY43&lt;=$CT$1),0,IF(Main!$C$26="UGC",0,IF(CY43&lt;DATE(2010,4,1),0,IF(OR(DQ43=2,DQ43=3,DA43=VLOOKUP(DA43,'IN RPS-2015'!$I$2:$J$5,1)),0,ROUND(IF(CY43&lt;$J$152,VLOOKUP(CY43,$B$1:$G$4,4),VLOOKUP(VLOOKUP(CY43,$B$1:$G$4,4),Main!$CE$2:$CF$5,2,FALSE))*(DAY(CZ43)-DAY(CY43)+1)/DAY(EOMONTH(CY43,0)),0))))))</f>
        <v/>
      </c>
      <c r="DI43" s="461" t="str">
        <f>IF(CY43="","",IF(AND($CA$3=$CA$1,CY43&lt;=$CT$1),0,IF(OR(DQ43=2,DQ43=3,$D$31=$D$28,DA43=VLOOKUP(DA43,'IN RPS-2015'!$I$2:$J$5,1)),0,ROUND(MIN(VLOOKUP(CX43,$A$27:$C$29,2,TRUE),ROUND(DA43*VLOOKUP(CX43,$A$27:$C$29,3,TRUE)%,0))*IF(CX43=$A$36,$C$36,IF(CX43=$A$37,$C$37,IF(CX43=$A$38,$C$38,IF(CX43=$A$39,$C$39,IF(CX43=$A$40,$C$40,IF(CX43=$A$41,$C$41,1))))))*(DAY(CZ43)-DAY(CY43)+1)/DAY(EOMONTH(CY43,0)),0))))</f>
        <v/>
      </c>
      <c r="DJ43" s="461" t="str">
        <f>IF(CY43="","",IF(AND($CA$3=$CA$1,CY43&lt;=$CT$1),0,IF(Main!$C$26="UGC",0,IF(OR(DQ43=3,DA43=VLOOKUP(DA43,'IN RPS-2015'!$I$2:$J$5,1)),0,ROUND(IF(DQ43=2,VLOOKUP(DA43,IF($CA$3=$I$29,$A$20:$E$23,$F$144:$J$147),IF($B$19=VLOOKUP(CY43,$B$2:$G$4,3,TRUE),2,IF($C$19=VLOOKUP(CY43,$B$2:$G$4,3,TRUE),3,IF($D$19=VLOOKUP(CY43,$B$2:$G$4,3,TRUE),4,5))),TRUE),VLOOKUP(DA43,IF($CA$3=$I$29,$A$20:$E$23,$F$144:$J$147),IF($B$19=VLOOKUP(CY43,$B$2:$G$4,3,TRUE),2,IF($C$19=VLOOKUP(CY43,$B$2:$G$4,3,TRUE),3,IF($D$19=VLOOKUP(CY43,$B$2:$G$4,3,TRUE),4,5))),TRUE))*(DAY(CZ43)-DAY(CY43)+1)/DAY(EOMONTH(CY43,0)),0)))))</f>
        <v/>
      </c>
      <c r="DK43" s="461" t="str">
        <f>IF(CY43="","",IF(AND($CA$3=$CA$1,CY43&lt;=$CT$1),0,IF(Main!$C$26="UGC",0,IF(OR(CX43&lt;DATE(2010,4,1),DQ43=3,DA43=VLOOKUP(DA43,'IN RPS-2015'!$I$2:$J$5,1)),0,ROUND(IF(DQ43=2,IF(CY43&lt;$J$152,Main!$L$9,Main!$CI$3)/2,IF(CY43&lt;$J$152,Main!$L$9,Main!$CI$3))*(DAY(CZ43)-DAY(CY43)+1)/DAY(EOMONTH(CY43,0)),0)))))</f>
        <v/>
      </c>
      <c r="DL43" s="461"/>
      <c r="DM43" s="461" t="str">
        <f>IF(CY43="","",IF(AND($CA$3=$CA$1,CY43&lt;=$CT$1),0,IF(Main!$C$26="UGC",0,IF(OR(DQ43=3,DA43=VLOOKUP(DA43,'IN RPS-2015'!$I$2:$J$5,1)),0,ROUND(IF(DQ43=2,VLOOKUP(DB43,IF(CY43&lt;$J$152,$A$154:$E$159,$F$154:$J$159),IF($B$10=VLOOKUP(CX43,$B$2:$G$4,6,TRUE),2,IF($B$10=VLOOKUP(CX43,$B$2:$G$4,6,TRUE),3,IF($D$10=VLOOKUP(CX43,$B$2:$G$4,6,TRUE),4,5))))/2,VLOOKUP(DB43,IF(CY43&lt;$J$152,$A$154:$E$159,$F$154:$J$159),IF($B$10=VLOOKUP(CX43,$B$2:$G$4,6,TRUE),2,IF($B$10=VLOOKUP(CX43,$B$2:$G$4,6,TRUE),3,IF($D$10=VLOOKUP(CX43,$B$2:$G$4,6,TRUE),4,5)))))*(DAY(CZ43)-DAY(CY43)+1)/DAY(EOMONTH(CY43,0)),0)))))</f>
        <v/>
      </c>
      <c r="DN43" s="461">
        <f t="shared" si="76"/>
        <v>0</v>
      </c>
      <c r="DO43" s="464" t="str">
        <f>IF(CY43="","",IF(AND($CA$3=$CA$1,CY43&lt;=$CT$1),0,IF(AND(Main!$F$22=Main!$CA$24,CY43&gt;$CT$1),ROUND(SUM(DB43,DD43)*10%,0),"")))</f>
        <v/>
      </c>
      <c r="DP43" s="464" t="str">
        <f>IF(CX43="","",IF(AND($CA$3=$CA$1,CY43&lt;=$CT$1),0,IF(OR(Main!$H$10=Main!$BH$4,Main!$H$10=Main!$BH$5),0,LOOKUP(DN43*DAY(EOMONTH(CY43,0))/(DAY(CZ43)-DAY(CY43)+1),$H$184:$I$189))))</f>
        <v/>
      </c>
      <c r="DQ43" s="457">
        <f t="shared" si="60"/>
        <v>1</v>
      </c>
      <c r="DR43" s="457">
        <f t="shared" si="77"/>
        <v>0</v>
      </c>
      <c r="DS43" s="457"/>
      <c r="DT43" s="457"/>
      <c r="DU43" s="457"/>
      <c r="DV43" s="461"/>
      <c r="DW43" s="499" t="str">
        <f t="shared" si="61"/>
        <v/>
      </c>
      <c r="DX43" s="500" t="str">
        <f t="shared" si="88"/>
        <v/>
      </c>
      <c r="DY43" s="484" t="str">
        <f>IF(DX43="","",MIN(EOMONTH(DX43,0),VLOOKUP(DX43,'IN RPS-2015'!$O$164:$P$202,2,TRUE)-1,LOOKUP(DX43,$E$47:$F$53)-1,IF(DX43&lt;$B$2,$B$2-1,'IN RPS-2015'!$Q$9),IF(DX43&lt;$B$3,$B$3-1,'IN RPS-2015'!$Q$9),IF(DX43&lt;$B$4,$B$4-1,'IN RPS-2015'!$Q$9),LOOKUP(DX43,$H$47:$I$53)))</f>
        <v/>
      </c>
      <c r="DZ43" s="490" t="str">
        <f>IF(DX43="","",VLOOKUP(DX43,'IN RPS-2015'!$P$164:$AA$202,11))</f>
        <v/>
      </c>
      <c r="EA43" s="461" t="str">
        <f t="shared" si="78"/>
        <v/>
      </c>
      <c r="EB43" s="461" t="str">
        <f>IF(DX43="","",ROUND(IF(EP43=3,0,IF(EP43=2,IF(DZ43=VLOOKUP(DZ43,'IN RPS-2015'!$I$2:$J$5,1),0,Main!$H$9)/2,IF(DZ43=VLOOKUP(DZ43,'IN RPS-2015'!$I$2:$J$5,1),0,Main!$H$9)))*(DAY(DY43)-DAY(DX43)+1)/DAY(EOMONTH(DX43,0)),0))</f>
        <v/>
      </c>
      <c r="EC43" s="461" t="str">
        <f>IF(DX43="","",IF(DZ43=VLOOKUP(DZ43,'IN RPS-2015'!$I$2:$J$5,1),0,ROUND(EA43*VLOOKUP(DX43,$DT$4:$DU$7,2)%,0)))</f>
        <v/>
      </c>
      <c r="ED43" s="461" t="str">
        <f>IF(DX43="","",IF(OR(EP43=3,DZ43=VLOOKUP(DZ43,'IN RPS-2015'!$I$2:$J$5,1)),0,ROUND(MIN(ROUND(DZ43*VLOOKUP(DX43,$B$1:$G$4,2)%,0),VLOOKUP(DX43,$B$2:$I$4,IF($DU$3=$I$29,7,8),TRUE))*(DAY(DY43)-DAY(DX43)+1)/DAY(EOMONTH(DX43,0)),0)))</f>
        <v/>
      </c>
      <c r="EE43" s="491" t="str">
        <f>IF(DX43="","",IF(Main!$C$26="UGC",0,IF(OR(DX43&lt;DATE(2010,4,1),$I$6=VLOOKUP(DX43,$B$2:$G$4,5,TRUE),DZ43=VLOOKUP(DZ43,'IN RPS-2015'!$I$2:$J$5,1)),0,ROUND(IF(EP43=3,0,IF(EP43=2,MIN(ROUND(DZ43*$G$13%,0),IF(DX43&lt;$I$152,$G$14,$G$15))/2,MIN(ROUND(DZ43*$G$13%,0),IF(DX43&lt;$I$152,$G$14,$G$15))))*(DAY(DY43)-DAY(DX43)+1)/DAY(EOMONTH(DX43,0)),0))))</f>
        <v/>
      </c>
      <c r="EF43" s="461" t="str">
        <f>IF(DX43="","",IF(Main!$C$26="UGC",0,IF(DZ43=VLOOKUP(DZ43,'IN RPS-2015'!$I$2:$J$5,1),0,ROUND(EA43*VLOOKUP(DX43,$DT$11:$DU$12,2)%,0))))</f>
        <v/>
      </c>
      <c r="EG43" s="461" t="str">
        <f>IF(DX43="","",IF(Main!$C$26="UGC",0,IF(DX43&lt;DATE(2010,4,1),0,IF(OR(EP43=2,EP43=3,DZ43=VLOOKUP(DZ43,'IN RPS-2015'!$I$2:$J$5,1)),0,ROUND(IF(DX43&lt;$I$152,VLOOKUP(DX43,$B$1:$G$4,4),VLOOKUP(VLOOKUP(DX43,$B$1:$G$4,4),Main!$CE$2:$CF$5,2,FALSE))*(DAY(DY43)-DAY(DX43)+1)/DAY(EOMONTH(DX43,0)),0)))))</f>
        <v/>
      </c>
      <c r="EH43" s="461" t="str">
        <f>IF(DX43="","",IF(OR(EP43=2,EP43=3,$D$31=$D$28,DZ43=VLOOKUP(DZ43,'IN RPS-2015'!$I$2:$J$5,1)),0,ROUND(MIN(IF(DX43&lt;$I$152,900,1350),ROUND(DZ43*VLOOKUP(DW43,$A$27:$C$29,3,TRUE)%,0))*IF(DW43=$A$36,$C$36,IF(DW43=$A$37,$C$37,IF(DW43=$A$38,$C$38,IF(DW43=$A$39,$C$39,IF(DW43=$A$40,$C$40,IF(DW43=$A$41,$C$41,1))))))*(DAY(DY43)-DAY(DX43)+1)/DAY(EOMONTH(DX43,0)),0)))</f>
        <v/>
      </c>
      <c r="EI43" s="461" t="str">
        <f>IF(DX43="","",IF(Main!$C$26="UGC",0,IF(OR(EP43=3,DZ43=VLOOKUP(DZ43,'IN RPS-2015'!$I$2:$J$5,1)),0,ROUND(IF(EP43=2,VLOOKUP(DZ43,IF($DU$3=$I$29,$A$20:$E$23,$F$144:$J$147),IF($B$19=VLOOKUP(DX43,$B$2:$G$4,3,TRUE),2,IF($C$19=VLOOKUP(DX43,$B$2:$G$4,3,TRUE),3,IF($D$19=VLOOKUP(DX43,$B$2:$G$4,3,TRUE),4,5))),TRUE),VLOOKUP(DZ43,IF($DU$3=$I$29,$A$20:$E$23,$F$144:$J$147),IF($B$19=VLOOKUP(DX43,$B$2:$G$4,3,TRUE),2,IF($C$19=VLOOKUP(DX43,$B$2:$G$4,3,TRUE),3,IF($D$19=VLOOKUP(DX43,$B$2:$G$4,3,TRUE),4,5))),TRUE))*(DAY(DY43)-DAY(DX43)+1)/DAY(EOMONTH(DX43,0)),0))))</f>
        <v/>
      </c>
      <c r="EJ43" s="461" t="str">
        <f>IF(DX43="","",IF(Main!$C$26="UGC",0,IF(OR(DW43&lt;DATE(2010,4,1),EP43=3,DZ43=VLOOKUP(DZ43,'IN RPS-2015'!$I$2:$J$5,1)),0,ROUND(IF(EP43=2,IF(DX43&lt;$I$152,Main!$L$9,Main!$CI$3)/2,IF(DX43&lt;$I$152,Main!$L$9,Main!$CI$3))*(DAY(DY43)-DAY(DX43)+1)/DAY(EOMONTH(DX43,0)),0))))</f>
        <v/>
      </c>
      <c r="EK43" s="461"/>
      <c r="EL43" s="461" t="str">
        <f>IF(DX43="","",IF(Main!$C$26="UGC",0,IF(OR(EP43=3,DZ43=VLOOKUP(DZ43,'IN RPS-2015'!$I$2:$J$5,1)),0,ROUND(IF(EP43=2,VLOOKUP(EA43,IF(DX43&lt;$I$152,$A$154:$E$159,$F$154:$J$159),IF($B$10=VLOOKUP(DW43,$B$2:$G$4,6,TRUE),2,IF($B$10=VLOOKUP(DW43,$B$2:$G$4,6,TRUE),3,IF($D$10=VLOOKUP(DW43,$B$2:$G$4,6,TRUE),4,5))))/2,VLOOKUP(EA43,IF(DX43&lt;$I$152,$A$154:$E$159,$F$154:$J$159),IF($B$10=VLOOKUP(DW43,$B$2:$G$4,6,TRUE),2,IF($B$10=VLOOKUP(DW43,$B$2:$G$4,6,TRUE),3,IF($D$10=VLOOKUP(DW43,$B$2:$G$4,6,TRUE),4,5)))))*(DAY(DY43)-DAY(DX43)+1)/DAY(EOMONTH(DX43,0)),0))))</f>
        <v/>
      </c>
      <c r="EM43" s="461">
        <f t="shared" si="79"/>
        <v>0</v>
      </c>
      <c r="EN43" s="464" t="str">
        <f>IF(DX43="","",IF(AND(Main!$F$22=Main!$CA$24,DX43&gt;$EN$1),ROUND(SUM(EA43,EC43)*10%,0),""))</f>
        <v/>
      </c>
      <c r="EO43" s="464" t="str">
        <f>IF(DW43="","",IF(EA43=0,0,IF(OR(Main!$H$10=Main!$BH$4,Main!$H$10=Main!$BH$5),0,LOOKUP(EM43*DAY(EOMONTH(DX43,0))/(DAY(DY43)-DAY(DX43)+1),$H$184:$I$189))))</f>
        <v/>
      </c>
      <c r="EP43" s="457">
        <f t="shared" si="62"/>
        <v>1</v>
      </c>
      <c r="ET43" s="461"/>
      <c r="EU43" s="499" t="str">
        <f t="shared" si="63"/>
        <v/>
      </c>
      <c r="EV43" s="500" t="str">
        <f t="shared" si="89"/>
        <v/>
      </c>
      <c r="EW43" s="484" t="str">
        <f>IF(EV43="","",MIN(EOMONTH(EV43,0),VLOOKUP(EV43,'IN RPS-2015'!$O$164:$P$202,2,TRUE)-1,LOOKUP(EV43,$E$47:$F$53)-1,IF(EV43&lt;$B$2,$B$2-1,'IN RPS-2015'!$Q$9),IF(EV43&lt;$B$3,$B$3-1,'IN RPS-2015'!$Q$9),IF(EV43&lt;$B$4,$B$4-1,'IN RPS-2015'!$Q$9),LOOKUP(EV43,$H$47:$I$53)))</f>
        <v/>
      </c>
      <c r="EX43" s="490" t="str">
        <f>IF(EV43="","",VLOOKUP(EV43,'IN RPS-2015'!$P$164:$AA$202,12))</f>
        <v/>
      </c>
      <c r="EY43" s="461" t="str">
        <f t="shared" si="80"/>
        <v/>
      </c>
      <c r="EZ43" s="461" t="str">
        <f>IF(EV43="","",ROUND(IF(FN43=3,0,IF(FN43=2,IF(EX43=VLOOKUP(EX43,'IN RPS-2015'!$I$2:$J$5,1),0,Main!$H$9)/2,IF(EX43=VLOOKUP(EX43,'IN RPS-2015'!$I$2:$J$5,1),0,Main!$H$9)))*(DAY(EW43)-DAY(EV43)+1)/DAY(EOMONTH(EV43,0)),0))</f>
        <v/>
      </c>
      <c r="FA43" s="461" t="str">
        <f>IF(EV43="","",IF(EX43=VLOOKUP(EX43,'IN RPS-2015'!$I$2:$J$5,1),0,ROUND(EY43*VLOOKUP(EV43,$ER$4:$ES$7,2)%,0)))</f>
        <v/>
      </c>
      <c r="FB43" s="461" t="str">
        <f>IF(EV43="","",IF(OR(FN43=3,EX43=VLOOKUP(EX43,'IN RPS-2015'!$I$2:$J$5,1)),0,ROUND(MIN(ROUND(EX43*VLOOKUP(EV43,$B$1:$G$4,2)%,0),VLOOKUP(EV43,$B$2:$I$4,IF($ES$3=$I$29,7,8),TRUE))*(DAY(EW43)-DAY(EV43)+1)/DAY(EOMONTH(EV43,0)),0)))</f>
        <v/>
      </c>
      <c r="FC43" s="491" t="str">
        <f>IF(EV43="","",IF(Main!$C$26="UGC",0,IF(OR(EV43&lt;DATE(2010,4,1),$I$6=VLOOKUP(EV43,$B$2:$G$4,5,TRUE),EX43=VLOOKUP(EX43,'IN RPS-2015'!$I$2:$J$5,1)),0,ROUND(IF(FN43=3,0,IF(FN43=2,MIN(ROUND(EX43*$G$13%,0),IF(EV43&lt;$J$152,$G$14,$G$15))/2,MIN(ROUND(EX43*$G$13%,0),IF(EV43&lt;$J$152,$G$14,$G$15))))*(DAY(EW43)-DAY(EV43)+1)/DAY(EOMONTH(EV43,0)),0))))</f>
        <v/>
      </c>
      <c r="FD43" s="461" t="str">
        <f>IF(EV43="","",IF(Main!$C$26="UGC",0,IF(EX43=VLOOKUP(EX43,'IN RPS-2015'!$I$2:$J$5,1),0,ROUND(EY43*VLOOKUP(EV43,$ER$11:$ES$12,2)%,0))))</f>
        <v/>
      </c>
      <c r="FE43" s="461" t="str">
        <f>IF(EV43="","",IF(Main!$C$26="UGC",0,IF(EV43&lt;DATE(2010,4,1),0,IF(OR(FN43=2,FN43=3,EX43=VLOOKUP(EX43,'IN RPS-2015'!$I$2:$J$5,1)),0,ROUND(IF(EV43&lt;$J$152,VLOOKUP(EV43,$B$1:$G$4,4),VLOOKUP(VLOOKUP(EV43,$B$1:$G$4,4),Main!$CE$2:$CF$5,2,FALSE))*(DAY(EW43)-DAY(EV43)+1)/DAY(EOMONTH(EV43,0)),0)))))</f>
        <v/>
      </c>
      <c r="FF43" s="461" t="str">
        <f>IF(EV43="","",IF(OR(FN43=2,FN43=3,$D$31=$D$28,EX43=VLOOKUP(EX43,'IN RPS-2015'!$I$2:$J$5,1)),0,ROUND(MIN(VLOOKUP(EU43,$A$27:$C$29,2,TRUE),ROUND(EX43*VLOOKUP(EU43,$A$27:$C$29,3,TRUE)%,0))*IF(EU43=$A$36,$C$36,IF(EU43=$A$37,$C$37,IF(EU43=$A$38,$C$38,IF(EU43=$A$39,$C$39,IF(EU43=$A$40,$C$40,IF(EU43=$A$41,$C$41,1))))))*(DAY(EW43)-DAY(EV43)+1)/DAY(EOMONTH(EV43,0)),0)))</f>
        <v/>
      </c>
      <c r="FG43" s="461" t="str">
        <f>IF(EV43="","",IF(Main!$C$26="UGC",0,IF(OR(FN43=3,EX43=VLOOKUP(EX43,'IN RPS-2015'!$I$2:$J$5,1)),0,ROUND(IF(FN43=2,VLOOKUP(EX43,IF($ES$3=$I$29,$A$20:$E$23,$F$144:$J$147),IF($B$19=VLOOKUP(EV43,$B$2:$G$4,3,TRUE),2,IF($C$19=VLOOKUP(EV43,$B$2:$G$4,3,TRUE),3,IF($D$19=VLOOKUP(EV43,$B$2:$G$4,3,TRUE),4,5))),TRUE),VLOOKUP(EX43,IF($ES$3=$I$29,$A$20:$E$23,$F$144:$J$147),IF($B$19=VLOOKUP(EV43,$B$2:$G$4,3,TRUE),2,IF($C$19=VLOOKUP(EV43,$B$2:$G$4,3,TRUE),3,IF($D$19=VLOOKUP(EV43,$B$2:$G$4,3,TRUE),4,5))),TRUE))*(DAY(EW43)-DAY(EV43)+1)/DAY(EOMONTH(EV43,0)),0))))</f>
        <v/>
      </c>
      <c r="FH43" s="461" t="str">
        <f>IF(EV43="","",IF(Main!$C$26="UGC",0,IF(OR(EU43&lt;DATE(2010,4,1),FN43=3,EX43=VLOOKUP(EX43,'IN RPS-2015'!$I$2:$J$5,1)),0,ROUND(IF(FN43=2,IF(EV43&lt;$J$152,Main!$L$9,Main!$CI$3)/2,IF(EV43&lt;$J$152,Main!$L$9,Main!$CI$3))*(DAY(EW43)-DAY(EV43)+1)/DAY(EOMONTH(EV43,0)),0))))</f>
        <v/>
      </c>
      <c r="FI43" s="461"/>
      <c r="FJ43" s="461" t="str">
        <f>IF(EV43="","",IF(Main!$C$26="UGC",0,IF(OR(FN43=3,EX43=VLOOKUP(EX43,'IN RPS-2015'!$I$2:$J$5,1)),0,ROUND(IF(FN43=2,VLOOKUP(EY43,IF(EV43&lt;$J$152,$A$154:$E$159,$F$154:$J$159),IF($B$10=VLOOKUP(EU43,$B$2:$G$4,6,TRUE),2,IF($B$10=VLOOKUP(EU43,$B$2:$G$4,6,TRUE),3,IF($D$10=VLOOKUP(EU43,$B$2:$G$4,6,TRUE),4,5))))/2,VLOOKUP(EY43,IF(EV43&lt;$J$152,$A$154:$E$159,$F$154:$J$159),IF($B$10=VLOOKUP(EU43,$B$2:$G$4,6,TRUE),2,IF($B$10=VLOOKUP(EU43,$B$2:$G$4,6,TRUE),3,IF($D$10=VLOOKUP(EU43,$B$2:$G$4,6,TRUE),4,5)))))*(DAY(EW43)-DAY(EV43)+1)/DAY(EOMONTH(EV43,0)),0))))</f>
        <v/>
      </c>
      <c r="FK43" s="461">
        <f t="shared" si="81"/>
        <v>0</v>
      </c>
      <c r="FL43" s="464" t="str">
        <f>IF(EV43="","",IF(AND(Main!$F$22=Main!$CA$24,EV43&gt;$FL$1),ROUND(SUM(EY43,FA43)*10%,0),""))</f>
        <v/>
      </c>
      <c r="FM43" s="464" t="str">
        <f>IF(EU43="","",IF(EY43=0,0,IF(OR(Main!$H$10=Main!$BH$4,Main!$H$10=Main!$BH$5),0,LOOKUP(FK43*DAY(EOMONTH(EV43,0))/(DAY(EW43)-DAY(EV43)+1),$H$184:$I$189))))</f>
        <v/>
      </c>
      <c r="FN43" s="457">
        <f t="shared" si="64"/>
        <v>1</v>
      </c>
    </row>
    <row r="44" spans="1:170">
      <c r="E44" s="2"/>
      <c r="F44" s="117"/>
      <c r="G44" s="117"/>
      <c r="AH44" s="461"/>
      <c r="AI44" s="499" t="str">
        <f t="shared" si="54"/>
        <v/>
      </c>
      <c r="AJ44" s="500" t="str">
        <f t="shared" si="84"/>
        <v/>
      </c>
      <c r="AK44" s="484" t="str">
        <f>IF(AJ44="","",MIN(EOMONTH(AJ44,0),VLOOKUP(AJ44,'IN RPS-2015'!$O$164:$P$202,2,TRUE)-1,LOOKUP(AJ44,$E$47:$F$53)-1,IF(AJ44&lt;$B$2,$B$2-1,'IN RPS-2015'!$Q$9),IF(AJ44&lt;$B$3,$B$3-1,'IN RPS-2015'!$Q$9),IF(AJ44&lt;$B$4,$B$4-1,'IN RPS-2015'!$Q$9),LOOKUP(AJ44,$H$47:$I$53)))</f>
        <v/>
      </c>
      <c r="AL44" s="490" t="str">
        <f>IF(AJ44="","",VLOOKUP(AJ44,'IN RPS-2015'!$P$164:$AA$202,9))</f>
        <v/>
      </c>
      <c r="AM44" s="461" t="str">
        <f t="shared" si="66"/>
        <v/>
      </c>
      <c r="AN44" s="461" t="str">
        <f>IF(AJ44="","",IF(AND($AG$3=$AG$1,AJ44&lt;=$AZ$1),0,ROUND(IF(BB44=3,0,IF(BB44=2,IF(AL44=VLOOKUP(AL44,'IN RPS-2015'!$I$2:$J$5,1),0,Main!$H$9)/2,IF(AL44=VLOOKUP(AL44,'IN RPS-2015'!$I$2:$J$5,1),0,Main!$H$9)))*(DAY(AK44)-DAY(AJ44)+1)/DAY(EOMONTH(AJ44,0)),0)))</f>
        <v/>
      </c>
      <c r="AO44" s="461" t="str">
        <f>IF(AJ44="","",IF(AND($AG$3=$AG$1,AJ44&lt;=$AZ$1),0,IF(AL44=VLOOKUP(AL44,'IN RPS-2015'!$I$2:$J$5,1),0,ROUND(AM44*VLOOKUP(AJ44,$AF$4:$AG$7,2)%,0))))</f>
        <v/>
      </c>
      <c r="AP44" s="461" t="str">
        <f>IF(AJ44="","",IF(AND($AG$3=$AG$1,AJ44&lt;=$AZ$1),0,IF(OR(BB44=3,AL44=VLOOKUP(AL44,'IN RPS-2015'!$I$2:$J$5,1)),0,ROUND(MIN(ROUND(AL44*VLOOKUP(AJ44,$B$1:$G$4,2)%,0),VLOOKUP(AJ44,$B$2:$I$4,IF($AG$3=$I$29,7,8),TRUE))*(DAY(AK44)-DAY(AJ44)+1)/DAY(EOMONTH(AJ44,0)),0))))</f>
        <v/>
      </c>
      <c r="AQ44" s="491" t="str">
        <f>IF(AJ44="","",IF(AND($AG$3=$AG$1,AJ44&lt;=$AZ$1),0,IF(Main!$C$26="UGC",0,IF(OR(AJ44&lt;DATE(2010,4,1),$I$6=VLOOKUP(AJ44,$B$2:$G$4,5,TRUE),AL44=VLOOKUP(AL44,'IN RPS-2015'!$I$2:$J$5,1)),0,ROUND(IF(BB44=3,0,IF(BB44=2,MIN(ROUND(AL44*$G$13%,0),IF(AJ44&lt;$J$152,$G$14,$G$15))/2,MIN(ROUND(AL44*$G$13%,0),IF(AJ44&lt;$J$152,$G$14,$G$15))))*(DAY(AK44)-DAY(AJ44)+1)/DAY(EOMONTH(AJ44,0)),0)))))</f>
        <v/>
      </c>
      <c r="AR44" s="461" t="str">
        <f>IF(AJ44="","",IF(AND($AG$3=$AG$1,AJ44&lt;=$AZ$1),0,IF(Main!$C$26="UGC",0,IF(AL44=VLOOKUP(AL44,'IN RPS-2015'!$I$2:$J$5,1),0,ROUND(AM44*VLOOKUP(AJ44,$AF$11:$AG$12,2)%,0)))))</f>
        <v/>
      </c>
      <c r="AS44" s="461" t="str">
        <f>IF(AJ44="","",IF(AND($AG$3=$AG$1,AJ44&lt;=$AZ$1),0,IF(Main!$C$26="UGC",0,IF(AJ44&lt;DATE(2010,4,1),0,IF(OR(BB44=2,BB44=3,AL44=VLOOKUP(AL44,'IN RPS-2015'!$I$2:$J$5,1)),0,ROUND(IF(AJ44&lt;$J$152,VLOOKUP(AJ44,$B$1:$G$4,4),VLOOKUP(VLOOKUP(AJ44,$B$1:$G$4,4),Main!$CE$2:$CF$5,2,FALSE))*(DAY(AK44)-DAY(AJ44)+1)/DAY(EOMONTH(AJ44,0)),0))))))</f>
        <v/>
      </c>
      <c r="AT44" s="461" t="str">
        <f>IF(AJ44="","",IF(AND($AG$3=$AG$1,AJ44&lt;=$AZ$1),0,IF(OR(BB44=2,BB44=3,$D$31=$D$28,AL44=VLOOKUP(AL44,'IN RPS-2015'!$I$2:$J$5,1)),0,ROUND(MIN(VLOOKUP(AI44,$A$27:$C$29,2,TRUE),ROUND(AL44*VLOOKUP(AI44,$A$27:$C$29,3,TRUE)%,0))*IF(AI44=$A$36,$C$36,IF(AI44=$A$37,$C$37,IF(AI44=$A$38,$C$38,IF(AI44=$A$39,$C$39,IF(AI44=$A$40,$C$40,IF(AI44=$A$41,$C$41,1))))))*(DAY(AK44)-DAY(AJ44)+1)/DAY(EOMONTH(AJ44,0)),0))))</f>
        <v/>
      </c>
      <c r="AU44" s="461" t="str">
        <f>IF(AJ44="","",IF(AND($AG$3=$AG$1,AJ44&lt;=$AZ$1),0,IF(Main!$C$26="UGC",0,IF(OR(BB44=3,AL44=VLOOKUP(AL44,'IN RPS-2015'!$I$2:$J$5,1)),0,ROUND(IF(BB44=2,VLOOKUP(AL44,IF($AG$3=$I$29,$A$20:$E$23,$F$144:$J$147),IF($B$19=VLOOKUP(AJ44,$B$2:$G$4,3,TRUE),2,IF($C$19=VLOOKUP(AJ44,$B$2:$G$4,3,TRUE),3,IF($D$19=VLOOKUP(AJ44,$B$2:$G$4,3,TRUE),4,5))),TRUE),VLOOKUP(AL44,IF($AG$3=$I$29,$A$20:$E$23,$F$144:$J$147),IF($B$19=VLOOKUP(AJ44,$B$2:$G$4,3,TRUE),2,IF($C$19=VLOOKUP(AJ44,$B$2:$G$4,3,TRUE),3,IF($D$19=VLOOKUP(AJ44,$B$2:$G$4,3,TRUE),4,5))),TRUE))*(DAY(AK44)-DAY(AJ44)+1)/DAY(EOMONTH(AJ44,0)),0)))))</f>
        <v/>
      </c>
      <c r="AV44" s="461" t="str">
        <f>IF(AJ44="","",IF(AND($AG$3=$AG$1,AJ44&lt;=$AZ$1),0,IF(Main!$C$26="UGC",0,IF(OR(AI44&lt;DATE(2010,4,1),BB44=3,AL44=VLOOKUP(AL44,'IN RPS-2015'!$I$2:$J$5,1)),0,ROUND(IF(BB44=2,IF(AJ44&lt;$J$152,Main!$L$9,Main!$CI$3)/2,IF(AJ44&lt;$J$152,Main!$L$9,Main!$CI$3))*(DAY(AK44)-DAY(AJ44)+1)/DAY(EOMONTH(AJ44,0)),0)))))</f>
        <v/>
      </c>
      <c r="AW44" s="461"/>
      <c r="AX44" s="461" t="str">
        <f>IF(AJ44="","",IF(AND($AG$3=$AG$1,AJ44&lt;=$AZ$1),0,IF(Main!$C$26="UGC",0,IF(OR(BB44=3,AL44=VLOOKUP(AL44,'IN RPS-2015'!$I$2:$J$5,1)),0,ROUND(IF(BB44=2,VLOOKUP(AM44,IF(AJ44&lt;$J$152,$A$154:$E$159,$F$154:$J$159),IF($B$10=VLOOKUP(AI44,$B$2:$G$4,6,TRUE),2,IF($B$10=VLOOKUP(AI44,$B$2:$G$4,6,TRUE),3,IF($D$10=VLOOKUP(AI44,$B$2:$G$4,6,TRUE),4,5))))/2,VLOOKUP(AM44,IF(AJ44&lt;$J$152,$A$154:$E$159,$F$154:$J$159),IF($B$10=VLOOKUP(AI44,$B$2:$G$4,6,TRUE),2,IF($B$10=VLOOKUP(AI44,$B$2:$G$4,6,TRUE),3,IF($D$10=VLOOKUP(AI44,$B$2:$G$4,6,TRUE),4,5)))))*(DAY(AK44)-DAY(AJ44)+1)/DAY(EOMONTH(AJ44,0)),0)))))</f>
        <v/>
      </c>
      <c r="AY44" s="461">
        <f t="shared" si="67"/>
        <v>0</v>
      </c>
      <c r="AZ44" s="464" t="str">
        <f>IF(AJ44="","",IF(AND($AG$3=$AG$1,AJ44&lt;=$AZ$1),0,IF(AND(Main!$F$22=Main!$CA$24,AJ44&gt;$AZ$1),ROUND(SUM(AM44,AO44)*10%,0),"")))</f>
        <v/>
      </c>
      <c r="BA44" s="464" t="str">
        <f>IF(AI44="","",IF(AND($AG$3=$AG$1,AJ44&lt;=$AZ$1),0,IF(OR(Main!$H$10=Main!$BH$4,Main!$H$10=Main!$BH$5),0,LOOKUP(AY44*DAY(EOMONTH(AJ44,0))/(DAY(AK44)-DAY(AJ44)+1),$H$184:$I$189))))</f>
        <v/>
      </c>
      <c r="BB44" s="497">
        <f t="shared" si="55"/>
        <v>1</v>
      </c>
      <c r="BC44" s="464"/>
      <c r="BD44" s="501" t="str">
        <f t="shared" si="56"/>
        <v/>
      </c>
      <c r="BE44" s="502" t="str">
        <f t="shared" si="85"/>
        <v/>
      </c>
      <c r="BF44" s="484" t="str">
        <f>IF(BE44="","",MIN(EOMONTH(BE44,0),VLOOKUP(BE44,'IN RPS-2015'!$O$164:$P$202,2,TRUE)-1,LOOKUP(BE44,$E$47:$F$53)-1,IF(BE44&lt;$B$2,$B$2-1,'IN RPS-2015'!$Q$9),IF(BE44&lt;$B$3,$B$3-1,'IN RPS-2015'!$Q$9),IF(BE44&lt;$B$4,$B$4-1,'IN RPS-2015'!$Q$9),LOOKUP(BE44,$H$47:$I$53)))</f>
        <v/>
      </c>
      <c r="BG44" s="493" t="str">
        <f>IF(BE44="","",VLOOKUP(BE44,'IN RPS-2015'!$P$164:$AA$202,10))</f>
        <v/>
      </c>
      <c r="BH44" s="461" t="str">
        <f t="shared" si="68"/>
        <v/>
      </c>
      <c r="BI44" s="461" t="str">
        <f>IF(BE44="","",IF(AND($AG$3=$AG$1,BE44&lt;=$AZ$1),0,ROUND(IF(BW44=3,0,IF(BW44=2,IF(BG44=VLOOKUP(BG44,'IN RPS-2015'!$I$2:$J$5,1),0,Main!$H$9)/2,IF(BG44=VLOOKUP(BG44,'IN RPS-2015'!$I$2:$J$5,1),0,Main!$H$9)))*(DAY(BF44)-DAY(BE44)+1)/DAY(EOMONTH(BE44,0)),0)))</f>
        <v/>
      </c>
      <c r="BJ44" s="461" t="str">
        <f>IF(BE44="","",IF(AND($AG$3=$AG$1,BE44&lt;=$AZ$1),0,IF(BG44=VLOOKUP(BG44,'IN RPS-2015'!$I$2:$J$5,1),0,ROUND(BH44*VLOOKUP(BE44,$AF$4:$AG$7,2)%,0))))</f>
        <v/>
      </c>
      <c r="BK44" s="461" t="str">
        <f>IF(BE44="","",IF(AND($AG$3=$AG$1,BE44&lt;=$AZ$1),0,IF(OR(BW44=3,BG44=VLOOKUP(BG44,'IN RPS-2015'!$I$2:$J$5,1)),0,ROUND(MIN(ROUND(BG44*VLOOKUP(BE44,$B$1:$G$4,2)%,0),VLOOKUP(BE44,$B$2:$I$4,IF($AG$3=$I$29,7,8),TRUE))*(DAY(BF44)-DAY(BE44)+1)/DAY(EOMONTH(BE44,0)),0))))</f>
        <v/>
      </c>
      <c r="BL44" s="491" t="str">
        <f>IF(BE44="","",IF(AND($AG$3=$AG$1,BE44&lt;=$AZ$1),0,IF(Main!$C$26="UGC",0,IF(OR(BE44&lt;DATE(2010,4,1),$I$6=VLOOKUP(BE44,$B$2:$G$4,5,TRUE),BG44=VLOOKUP(BG44,'IN RPS-2015'!$I$2:$J$5,1)),0,ROUND(IF(BW44=3,0,IF(BW44=2,MIN(ROUND(BG44*$G$13%,0),IF(BE44&lt;$J$152,$G$14,$G$15))/2,MIN(ROUND(BG44*$G$13%,0),IF(BE44&lt;$J$152,$G$14,$G$15))))*(DAY(BF44)-DAY(BE44)+1)/DAY(EOMONTH(BE44,0)),0)))))</f>
        <v/>
      </c>
      <c r="BM44" s="461" t="str">
        <f>IF(BE44="","",IF(AND($AG$3=$AG$1,BE44&lt;=$AZ$1),0,IF(Main!$C$26="UGC",0,IF(BG44=VLOOKUP(BG44,'IN RPS-2015'!$I$2:$J$5,1),0,ROUND(BH44*VLOOKUP(BE44,$AF$11:$AG$12,2)%,0)))))</f>
        <v/>
      </c>
      <c r="BN44" s="461" t="str">
        <f>IF(BE44="","",IF(AND($AG$3=$AG$1,BE44&lt;=$AZ$1),0,IF(Main!$C$26="UGC",0,IF(BE44&lt;DATE(2010,4,1),0,IF(OR(BW44=2,BW44=3,BG44=VLOOKUP(BG44,'IN RPS-2015'!$I$2:$J$5,1)),0,ROUND(IF(BE44&lt;$J$152,VLOOKUP(BE44,$B$1:$G$4,4),VLOOKUP(VLOOKUP(BE44,$B$1:$G$4,4),Main!$CE$2:$CF$5,2,FALSE))*(DAY(BF44)-DAY(BE44)+1)/DAY(EOMONTH(BE44,0)),0))))))</f>
        <v/>
      </c>
      <c r="BO44" s="461" t="str">
        <f>IF(BE44="","",IF(AND($AG$3=$AG$1,BE44&lt;=$AZ$1),0,IF(OR(BW44=2,BW44=3,$D$31=$D$28,BG44=VLOOKUP(BG44,'IN RPS-2015'!$I$2:$J$5,1)),0,ROUND(MIN(VLOOKUP(BD44,$A$27:$C$29,2,TRUE),ROUND(BG44*VLOOKUP(BD44,$A$27:$C$29,3,TRUE)%,0))*IF(BD44=$A$36,$C$36,IF(BD44=$A$37,$C$37,IF(BD44=$A$38,$C$38,IF(BD44=$A$39,$C$39,IF(BD44=$A$40,$C$40,IF(BD44=$A$41,$C$41,1))))))*(DAY(BF44)-DAY(BE44)+1)/DAY(EOMONTH(BE44,0)),0))))</f>
        <v/>
      </c>
      <c r="BP44" s="461" t="str">
        <f>IF(BE44="","",IF(AND($AG$3=$AG$1,BE44&lt;=$AZ$1),0,IF(Main!$C$26="UGC",0,IF(OR(BW44=3,BG44=VLOOKUP(BG44,'IN RPS-2015'!$I$2:$J$5,1)),0,ROUND(IF(BW44=2,VLOOKUP(BG44,IF($AG$3=$I$29,$A$20:$E$23,$F$144:$J$147),IF($B$19=VLOOKUP(BE44,$B$2:$G$4,3,TRUE),2,IF($C$19=VLOOKUP(BE44,$B$2:$G$4,3,TRUE),3,IF($D$19=VLOOKUP(BE44,$B$2:$G$4,3,TRUE),4,5))),TRUE),VLOOKUP(BG44,IF($AG$3=$I$29,$A$20:$E$23,$F$144:$J$147),IF($B$19=VLOOKUP(BE44,$B$2:$G$4,3,TRUE),2,IF($C$19=VLOOKUP(BE44,$B$2:$G$4,3,TRUE),3,IF($D$19=VLOOKUP(BE44,$B$2:$G$4,3,TRUE),4,5))),TRUE))*(DAY(BF44)-DAY(BE44)+1)/DAY(EOMONTH(BE44,0)),0)))))</f>
        <v/>
      </c>
      <c r="BQ44" s="461" t="str">
        <f>IF(BE44="","",IF(AND($AG$3=$AG$1,BE44&lt;=$AZ$1),0,IF(Main!$C$26="UGC",0,IF(OR(BD44&lt;DATE(2010,4,1),BW44=3,BG44=VLOOKUP(BG44,'IN RPS-2015'!$I$2:$J$5,1)),0,ROUND(IF(BW44=2,IF(BE44&lt;$J$152,Main!$L$9,Main!$CI$3)/2,IF(BE44&lt;$J$152,Main!$L$9,Main!$CI$3))*(DAY(BF44)-DAY(BE44)+1)/DAY(EOMONTH(BE44,0)),0)))))</f>
        <v/>
      </c>
      <c r="BR44" s="461"/>
      <c r="BS44" s="461" t="str">
        <f>IF(BE44="","",IF(AND($AG$3=$AG$1,BE44&lt;=$AZ$1),0,IF(Main!$C$26="UGC",0,IF(OR(BW44=3,BG44=VLOOKUP(BG44,'IN RPS-2015'!$I$2:$J$5,1)),0,ROUND(IF(BW44=2,VLOOKUP(BH44,IF(BE44&lt;$J$152,$A$154:$E$159,$F$154:$J$159),IF($B$10=VLOOKUP(BD44,$B$2:$G$4,6,TRUE),2,IF($B$10=VLOOKUP(BD44,$B$2:$G$4,6,TRUE),3,IF($D$10=VLOOKUP(BD44,$B$2:$G$4,6,TRUE),4,5))))/2,VLOOKUP(BH44,IF(BE44&lt;$J$152,$A$154:$E$159,$F$154:$J$159),IF($B$10=VLOOKUP(BD44,$B$2:$G$4,6,TRUE),2,IF($B$10=VLOOKUP(BD44,$B$2:$G$4,6,TRUE),3,IF($D$10=VLOOKUP(BD44,$B$2:$G$4,6,TRUE),4,5)))))*(DAY(BF44)-DAY(BE44)+1)/DAY(EOMONTH(BE44,0)),0)))))</f>
        <v/>
      </c>
      <c r="BT44" s="461">
        <f t="shared" si="69"/>
        <v>0</v>
      </c>
      <c r="BU44" s="464" t="str">
        <f>IF(BE44="","",IF(AND($AG$3=$AG$1,BE44&lt;=$AZ$1),0,IF(AND(Main!$F$22=Main!$CA$24,BE44&gt;$AZ$1),ROUND(SUM(BH44,BJ44)*10%,0),"")))</f>
        <v/>
      </c>
      <c r="BV44" s="464" t="str">
        <f>IF(BD44="","",IF(AND($AG$3=$AG$1,BE44&lt;=$AZ$1),0,IF(OR(Main!$H$10=Main!$BH$4,Main!$H$10=Main!$BH$5),0,LOOKUP(BT44*DAY(EOMONTH(BE44,0))/(DAY(BF44)-DAY(BE44)+1),$H$184:$I$189))))</f>
        <v/>
      </c>
      <c r="BW44" s="503">
        <f t="shared" si="70"/>
        <v>1</v>
      </c>
      <c r="BX44" s="457">
        <f t="shared" si="90"/>
        <v>0</v>
      </c>
      <c r="BY44" s="457"/>
      <c r="BZ44" s="457"/>
      <c r="CA44" s="457"/>
      <c r="CB44" s="461"/>
      <c r="CC44" s="499" t="str">
        <f t="shared" si="57"/>
        <v/>
      </c>
      <c r="CD44" s="500" t="str">
        <f t="shared" si="86"/>
        <v/>
      </c>
      <c r="CE44" s="484" t="str">
        <f>IF(CD44="","",MIN(EOMONTH(CD44,0),VLOOKUP(CD44,'IN RPS-2015'!$O$164:$P$202,2,TRUE)-1,LOOKUP(CD44,$E$47:$F$53)-1,IF(CD44&lt;$B$2,$B$2-1,'IN RPS-2015'!$Q$9),IF(CD44&lt;$B$3,$B$3-1,'IN RPS-2015'!$Q$9),IF(CD44&lt;$B$4,$B$4-1,'IN RPS-2015'!$Q$9),LOOKUP(CD44,$H$47:$I$53)))</f>
        <v/>
      </c>
      <c r="CF44" s="490" t="str">
        <f>IF(CD44="","",VLOOKUP(CD44,'IN RPS-2015'!$T$207:$Y$222,5))</f>
        <v/>
      </c>
      <c r="CG44" s="461" t="str">
        <f t="shared" si="72"/>
        <v/>
      </c>
      <c r="CH44" s="461" t="str">
        <f>IF(CD44="","",IF(AND($CA$3=$CA$1,CD44&lt;=$CT$1),0,ROUND(IF(CV44=3,0,IF(CV44=2,IF(CF44=VLOOKUP(CF44,'IN RPS-2015'!$I$2:$J$5,1),0,Main!$H$9)/2,IF(CF44=VLOOKUP(CF44,'IN RPS-2015'!$I$2:$J$5,1),0,Main!$H$9)))*(DAY(CE44)-DAY(CD44)+1)/DAY(EOMONTH(CD44,0)),0)))</f>
        <v/>
      </c>
      <c r="CI44" s="461" t="str">
        <f>IF(CD44="","",IF(AND($CA$3=$CA$1,CD44&lt;=$CT$1),0,IF(CF44=VLOOKUP(CF44,'IN RPS-2015'!$I$2:$J$5,1),0,ROUND(CG44*VLOOKUP(CD44,$BZ$4:$CA$7,2)%,0))))</f>
        <v/>
      </c>
      <c r="CJ44" s="461" t="str">
        <f>IF(CD44="","",IF(AND($CA$3=$CA$1,CD44&lt;=$CT$1),0,IF(OR(CV44=3,CF44=VLOOKUP(CF44,'IN RPS-2015'!$I$2:$J$5,1)),0,ROUND(MIN(ROUND(CF44*VLOOKUP(CD44,$B$1:$G$4,2)%,0),VLOOKUP(CD44,$B$2:$I$4,IF($CA$3=$I$29,7,8),TRUE))*(DAY(CE44)-DAY(CD44)+1)/DAY(EOMONTH(CD44,0)),0))))</f>
        <v/>
      </c>
      <c r="CK44" s="491" t="str">
        <f>IF(CD44="","",IF(AND($CA$3=$CA$1,CD44&lt;=$CT$1),0,IF(Main!$C$26="UGC",0,IF(OR(CD44&lt;DATE(2010,4,1),$I$6=VLOOKUP(CD44,$B$2:$G$4,5,TRUE),CF44=VLOOKUP(CF44,'IN RPS-2015'!$I$2:$J$5,1)),0,ROUND(IF(CV44=3,0,IF(CV44=2,MIN(ROUND(CF44*$G$13%,0),IF(CD44&lt;$J$152,$G$14,$G$15))/2,MIN(ROUND(CF44*$G$13%,0),IF(CD44&lt;$J$152,$G$14,$G$15))))*(DAY(CE44)-DAY(CD44)+1)/DAY(EOMONTH(CD44,0)),0)))))</f>
        <v/>
      </c>
      <c r="CL44" s="461" t="str">
        <f>IF(CD44="","",IF(AND($CA$3=$CA$1,CD44&lt;=$CT$1),0,IF(Main!$C$26="UGC",0,IF(CF44=VLOOKUP(CF44,'IN RPS-2015'!$I$2:$J$5,1),0,ROUND(CG44*VLOOKUP(CD44,$BZ$11:$CA$12,2)%,0)))))</f>
        <v/>
      </c>
      <c r="CM44" s="461" t="str">
        <f>IF(CD44="","",IF(AND($CA$3=$CA$1,CD44&lt;=$CT$1),0,IF(Main!$C$26="UGC",0,IF(CD44&lt;DATE(2010,4,1),0,IF(OR(CV44=2,CV44=3,CF44=VLOOKUP(CF44,'IN RPS-2015'!$I$2:$J$5,1)),0,ROUND(IF(CD44&lt;$J$152,VLOOKUP(CD44,$B$1:$G$4,4),VLOOKUP(VLOOKUP(CD44,$B$1:$G$4,4),Main!$CE$2:$CF$5,2,FALSE))*(DAY(CE44)-DAY(CD44)+1)/DAY(EOMONTH(CD44,0)),0))))))</f>
        <v/>
      </c>
      <c r="CN44" s="461" t="str">
        <f>IF(CD44="","",IF(AND($CA$3=$CA$1,CD44&lt;=$CT$1),0,IF(OR(CV44=2,CV44=3,$D$31=$D$28,CF44=VLOOKUP(CF44,'IN RPS-2015'!$I$2:$J$5,1)),0,ROUND(MIN(VLOOKUP(CC44,$A$27:$C$29,2,TRUE),ROUND(CF44*VLOOKUP(CC44,$A$27:$C$29,3,TRUE)%,0))*IF(CC44=$A$36,$C$36,IF(CC44=$A$37,$C$37,IF(CC44=$A$38,$C$38,IF(CC44=$A$39,$C$39,IF(CC44=$A$40,$C$40,IF(CC44=$A$41,$C$41,1))))))*(DAY(CE44)-DAY(CD44)+1)/DAY(EOMONTH(CD44,0)),0))))</f>
        <v/>
      </c>
      <c r="CO44" s="461" t="str">
        <f>IF(CD44="","",IF(AND($CA$3=$CA$1,CD44&lt;=$CT$1),0,IF(Main!$C$26="UGC",0,IF(OR(CV44=3,CF44=VLOOKUP(CF44,'IN RPS-2015'!$I$2:$J$5,1)),0,ROUND(IF(CV44=2,VLOOKUP(CF44,IF($CA$3=$I$29,$A$20:$E$23,$F$144:$J$147),IF($B$19=VLOOKUP(CD44,$B$2:$G$4,3,TRUE),2,IF($C$19=VLOOKUP(CD44,$B$2:$G$4,3,TRUE),3,IF($D$19=VLOOKUP(CD44,$B$2:$G$4,3,TRUE),4,5))),TRUE),VLOOKUP(CF44,IF($CA$3=$I$29,$A$20:$E$23,$F$144:$J$147),IF($B$19=VLOOKUP(CD44,$B$2:$G$4,3,TRUE),2,IF($C$19=VLOOKUP(CD44,$B$2:$G$4,3,TRUE),3,IF($D$19=VLOOKUP(CD44,$B$2:$G$4,3,TRUE),4,5))),TRUE))*(DAY(CE44)-DAY(CD44)+1)/DAY(EOMONTH(CD44,0)),0)))))</f>
        <v/>
      </c>
      <c r="CP44" s="461" t="str">
        <f>IF(CD44="","",IF(AND($CA$3=$CA$1,CD44&lt;=$CT$1),0,IF(Main!$C$26="UGC",0,IF(OR(CC44&lt;DATE(2010,4,1),CV44=3,CF44=VLOOKUP(CF44,'IN RPS-2015'!$I$2:$J$5,1)),0,ROUND(IF(CV44=2,IF(CD44&lt;$J$152,Main!$L$9,Main!$CI$3)/2,IF(CD44&lt;$J$152,Main!$L$9,Main!$CI$3))*(DAY(CE44)-DAY(CD44)+1)/DAY(EOMONTH(CD44,0)),0)))))</f>
        <v/>
      </c>
      <c r="CQ44" s="461"/>
      <c r="CR44" s="461" t="str">
        <f>IF(CD44="","",IF(AND($CA$3=$CA$1,CD44&lt;=$CT$1),0,IF(Main!$C$26="UGC",0,IF(OR(CV44=3,CF44=VLOOKUP(CF44,'IN RPS-2015'!$I$2:$J$5,1)),0,ROUND(IF(CV44=2,VLOOKUP(CG44,IF(CD44&lt;$J$152,$A$154:$E$159,$F$154:$J$159),IF($B$10=VLOOKUP(CC44,$B$2:$G$4,6,TRUE),2,IF($B$10=VLOOKUP(CC44,$B$2:$G$4,6,TRUE),3,IF($D$10=VLOOKUP(CC44,$B$2:$G$4,6,TRUE),4,5))))/2,VLOOKUP(CG44,IF(CD44&lt;$J$152,$A$154:$E$159,$F$154:$J$159),IF($B$10=VLOOKUP(CC44,$B$2:$G$4,6,TRUE),2,IF($B$10=VLOOKUP(CC44,$B$2:$G$4,6,TRUE),3,IF($D$10=VLOOKUP(CC44,$B$2:$G$4,6,TRUE),4,5)))))*(DAY(CE44)-DAY(CD44)+1)/DAY(EOMONTH(CD44,0)),0)))))</f>
        <v/>
      </c>
      <c r="CS44" s="461">
        <f t="shared" si="73"/>
        <v>0</v>
      </c>
      <c r="CT44" s="464" t="str">
        <f>IF(CD44="","",IF(AND($CA$3=$CA$1,CD44&lt;=$CT$1),0,IF(AND(Main!$F$22=Main!$CA$24,CD44&gt;$CT$1),ROUND(SUM(CG44,CI44)*10%,0),"")))</f>
        <v/>
      </c>
      <c r="CU44" s="464" t="str">
        <f>IF(CC44="","",IF(CG44=0,0,IF(OR(Main!$H$10=Main!$BH$4,Main!$H$10=Main!$BH$5),0,LOOKUP(CS44*DAY(EOMONTH(CD44,0))/(DAY(CE44)-DAY(CD44)+1),$H$184:$I$189))))</f>
        <v/>
      </c>
      <c r="CV44" s="457">
        <f t="shared" si="74"/>
        <v>1</v>
      </c>
      <c r="CW44" s="464"/>
      <c r="CX44" s="501" t="str">
        <f t="shared" si="59"/>
        <v/>
      </c>
      <c r="CY44" s="502" t="str">
        <f t="shared" si="87"/>
        <v/>
      </c>
      <c r="CZ44" s="484" t="str">
        <f>IF(CY44="","",MIN(EOMONTH(CY44,0),VLOOKUP(CY44,'IN RPS-2015'!$O$164:$P$202,2,TRUE)-1,LOOKUP(CY44,$E$47:$F$53)-1,IF(CY44&lt;$B$2,$B$2-1,'IN RPS-2015'!$Q$9),IF(CY44&lt;$B$3,$B$3-1,'IN RPS-2015'!$Q$9),IF(CY44&lt;$B$4,$B$4-1,'IN RPS-2015'!$Q$9),LOOKUP(CY44,$H$47:$I$53)))</f>
        <v/>
      </c>
      <c r="DA44" s="493" t="str">
        <f>IF(CY44="","",VLOOKUP(CY44,'IN RPS-2015'!$T$207:$Y$222,6))</f>
        <v/>
      </c>
      <c r="DB44" s="461" t="str">
        <f t="shared" si="75"/>
        <v/>
      </c>
      <c r="DC44" s="461" t="str">
        <f>IF(CY44="","",IF(AND($CA$3=$CA$1,CY44&lt;=$CT$1),0,ROUND(IF(DQ44=3,0,IF(DQ44=2,IF(DA44=VLOOKUP(DA44,'IN RPS-2015'!$I$2:$J$5,1),0,Main!$H$9)/2,IF(DA44=VLOOKUP(DA44,'IN RPS-2015'!$I$2:$J$5,1),0,Main!$H$9)))*(DAY(CZ44)-DAY(CY44)+1)/DAY(EOMONTH(CY44,0)),0)))</f>
        <v/>
      </c>
      <c r="DD44" s="461" t="str">
        <f>IF(CY44="","",IF(AND($CA$3=$CA$1,CY44&lt;=$CT$1),0,IF(DA44=VLOOKUP(DA44,'IN RPS-2015'!$I$2:$J$5,1),0,ROUND(DB44*VLOOKUP(CY44,$BZ$4:$CA$7,2)%,0))))</f>
        <v/>
      </c>
      <c r="DE44" s="461" t="str">
        <f>IF(CY44="","",IF(AND($CA$3=$CA$1,CY44&lt;=$CT$1),0,IF(OR(DQ44=3,DA44=VLOOKUP(DA44,'IN RPS-2015'!$I$2:$J$5,1)),0,ROUND(MIN(ROUND(DA44*VLOOKUP(CY44,$B$1:$G$4,2)%,0),VLOOKUP(CY44,$B$2:$I$4,IF($CA$3=$I$29,7,8),TRUE))*(DAY(CZ44)-DAY(CY44)+1)/DAY(EOMONTH(CY44,0)),0))))</f>
        <v/>
      </c>
      <c r="DF44" s="491" t="str">
        <f>IF(CY44="","",IF(AND($CA$3=$CA$1,CY44&lt;=$CT$1),0,IF(Main!$C$26="UGC",0,IF(OR(CY44&lt;DATE(2010,4,1),$I$6=VLOOKUP(CY44,$B$2:$G$4,5,TRUE),DA44=VLOOKUP(DA44,'IN RPS-2015'!$I$2:$J$5,1)),0,ROUND(IF(DQ44=3,0,IF(DQ44=2,MIN(ROUND(DA44*$G$13%,0),IF(CY44&lt;$J$152,$G$14,$G$15))/2,MIN(ROUND(DA44*$G$13%,0),IF(CY44&lt;$J$152,$G$14,$G$15))))*(DAY(CZ44)-DAY(CY44)+1)/DAY(EOMONTH(CY44,0)),0)))))</f>
        <v/>
      </c>
      <c r="DG44" s="461" t="str">
        <f>IF(CY44="","",IF(AND($CA$3=$CA$1,CY44&lt;=$CT$1),0,IF(Main!$C$26="UGC",0,IF(DA44=VLOOKUP(DA44,'IN RPS-2015'!$I$2:$J$5,1),0,ROUND(DB44*VLOOKUP(CY44,$BZ$11:$CA$12,2)%,0)))))</f>
        <v/>
      </c>
      <c r="DH44" s="461" t="str">
        <f>IF(CY44="","",IF(AND($CA$3=$CA$1,CY44&lt;=$CT$1),0,IF(Main!$C$26="UGC",0,IF(CY44&lt;DATE(2010,4,1),0,IF(OR(DQ44=2,DQ44=3,DA44=VLOOKUP(DA44,'IN RPS-2015'!$I$2:$J$5,1)),0,ROUND(IF(CY44&lt;$J$152,VLOOKUP(CY44,$B$1:$G$4,4),VLOOKUP(VLOOKUP(CY44,$B$1:$G$4,4),Main!$CE$2:$CF$5,2,FALSE))*(DAY(CZ44)-DAY(CY44)+1)/DAY(EOMONTH(CY44,0)),0))))))</f>
        <v/>
      </c>
      <c r="DI44" s="461" t="str">
        <f>IF(CY44="","",IF(AND($CA$3=$CA$1,CY44&lt;=$CT$1),0,IF(OR(DQ44=2,DQ44=3,$D$31=$D$28,DA44=VLOOKUP(DA44,'IN RPS-2015'!$I$2:$J$5,1)),0,ROUND(MIN(VLOOKUP(CX44,$A$27:$C$29,2,TRUE),ROUND(DA44*VLOOKUP(CX44,$A$27:$C$29,3,TRUE)%,0))*IF(CX44=$A$36,$C$36,IF(CX44=$A$37,$C$37,IF(CX44=$A$38,$C$38,IF(CX44=$A$39,$C$39,IF(CX44=$A$40,$C$40,IF(CX44=$A$41,$C$41,1))))))*(DAY(CZ44)-DAY(CY44)+1)/DAY(EOMONTH(CY44,0)),0))))</f>
        <v/>
      </c>
      <c r="DJ44" s="461" t="str">
        <f>IF(CY44="","",IF(AND($CA$3=$CA$1,CY44&lt;=$CT$1),0,IF(Main!$C$26="UGC",0,IF(OR(DQ44=3,DA44=VLOOKUP(DA44,'IN RPS-2015'!$I$2:$J$5,1)),0,ROUND(IF(DQ44=2,VLOOKUP(DA44,IF($CA$3=$I$29,$A$20:$E$23,$F$144:$J$147),IF($B$19=VLOOKUP(CY44,$B$2:$G$4,3,TRUE),2,IF($C$19=VLOOKUP(CY44,$B$2:$G$4,3,TRUE),3,IF($D$19=VLOOKUP(CY44,$B$2:$G$4,3,TRUE),4,5))),TRUE),VLOOKUP(DA44,IF($CA$3=$I$29,$A$20:$E$23,$F$144:$J$147),IF($B$19=VLOOKUP(CY44,$B$2:$G$4,3,TRUE),2,IF($C$19=VLOOKUP(CY44,$B$2:$G$4,3,TRUE),3,IF($D$19=VLOOKUP(CY44,$B$2:$G$4,3,TRUE),4,5))),TRUE))*(DAY(CZ44)-DAY(CY44)+1)/DAY(EOMONTH(CY44,0)),0)))))</f>
        <v/>
      </c>
      <c r="DK44" s="461" t="str">
        <f>IF(CY44="","",IF(AND($CA$3=$CA$1,CY44&lt;=$CT$1),0,IF(Main!$C$26="UGC",0,IF(OR(CX44&lt;DATE(2010,4,1),DQ44=3,DA44=VLOOKUP(DA44,'IN RPS-2015'!$I$2:$J$5,1)),0,ROUND(IF(DQ44=2,IF(CY44&lt;$J$152,Main!$L$9,Main!$CI$3)/2,IF(CY44&lt;$J$152,Main!$L$9,Main!$CI$3))*(DAY(CZ44)-DAY(CY44)+1)/DAY(EOMONTH(CY44,0)),0)))))</f>
        <v/>
      </c>
      <c r="DL44" s="461"/>
      <c r="DM44" s="461" t="str">
        <f>IF(CY44="","",IF(AND($CA$3=$CA$1,CY44&lt;=$CT$1),0,IF(Main!$C$26="UGC",0,IF(OR(DQ44=3,DA44=VLOOKUP(DA44,'IN RPS-2015'!$I$2:$J$5,1)),0,ROUND(IF(DQ44=2,VLOOKUP(DB44,IF(CY44&lt;$J$152,$A$154:$E$159,$F$154:$J$159),IF($B$10=VLOOKUP(CX44,$B$2:$G$4,6,TRUE),2,IF($B$10=VLOOKUP(CX44,$B$2:$G$4,6,TRUE),3,IF($D$10=VLOOKUP(CX44,$B$2:$G$4,6,TRUE),4,5))))/2,VLOOKUP(DB44,IF(CY44&lt;$J$152,$A$154:$E$159,$F$154:$J$159),IF($B$10=VLOOKUP(CX44,$B$2:$G$4,6,TRUE),2,IF($B$10=VLOOKUP(CX44,$B$2:$G$4,6,TRUE),3,IF($D$10=VLOOKUP(CX44,$B$2:$G$4,6,TRUE),4,5)))))*(DAY(CZ44)-DAY(CY44)+1)/DAY(EOMONTH(CY44,0)),0)))))</f>
        <v/>
      </c>
      <c r="DN44" s="461">
        <f t="shared" si="76"/>
        <v>0</v>
      </c>
      <c r="DO44" s="464" t="str">
        <f>IF(CY44="","",IF(AND($CA$3=$CA$1,CY44&lt;=$CT$1),0,IF(AND(Main!$F$22=Main!$CA$24,CY44&gt;$CT$1),ROUND(SUM(DB44,DD44)*10%,0),"")))</f>
        <v/>
      </c>
      <c r="DP44" s="464" t="str">
        <f>IF(CX44="","",IF(AND($CA$3=$CA$1,CY44&lt;=$CT$1),0,IF(OR(Main!$H$10=Main!$BH$4,Main!$H$10=Main!$BH$5),0,LOOKUP(DN44*DAY(EOMONTH(CY44,0))/(DAY(CZ44)-DAY(CY44)+1),$H$184:$I$189))))</f>
        <v/>
      </c>
      <c r="DQ44" s="457">
        <f t="shared" si="60"/>
        <v>1</v>
      </c>
      <c r="DR44" s="457">
        <f t="shared" si="77"/>
        <v>0</v>
      </c>
      <c r="DS44" s="457"/>
      <c r="DT44" s="457"/>
      <c r="DU44" s="457"/>
      <c r="DV44" s="461"/>
      <c r="DW44" s="499" t="str">
        <f t="shared" si="61"/>
        <v/>
      </c>
      <c r="DX44" s="500" t="str">
        <f t="shared" si="88"/>
        <v/>
      </c>
      <c r="DY44" s="484" t="str">
        <f>IF(DX44="","",MIN(EOMONTH(DX44,0),VLOOKUP(DX44,'IN RPS-2015'!$O$164:$P$202,2,TRUE)-1,LOOKUP(DX44,$E$47:$F$53)-1,IF(DX44&lt;$B$2,$B$2-1,'IN RPS-2015'!$Q$9),IF(DX44&lt;$B$3,$B$3-1,'IN RPS-2015'!$Q$9),IF(DX44&lt;$B$4,$B$4-1,'IN RPS-2015'!$Q$9),LOOKUP(DX44,$H$47:$I$53)))</f>
        <v/>
      </c>
      <c r="DZ44" s="490" t="str">
        <f>IF(DX44="","",VLOOKUP(DX44,'IN RPS-2015'!$P$164:$AA$202,11))</f>
        <v/>
      </c>
      <c r="EA44" s="461" t="str">
        <f t="shared" si="78"/>
        <v/>
      </c>
      <c r="EB44" s="461" t="str">
        <f>IF(DX44="","",ROUND(IF(EP44=3,0,IF(EP44=2,IF(DZ44=VLOOKUP(DZ44,'IN RPS-2015'!$I$2:$J$5,1),0,Main!$H$9)/2,IF(DZ44=VLOOKUP(DZ44,'IN RPS-2015'!$I$2:$J$5,1),0,Main!$H$9)))*(DAY(DY44)-DAY(DX44)+1)/DAY(EOMONTH(DX44,0)),0))</f>
        <v/>
      </c>
      <c r="EC44" s="461" t="str">
        <f>IF(DX44="","",IF(DZ44=VLOOKUP(DZ44,'IN RPS-2015'!$I$2:$J$5,1),0,ROUND(EA44*VLOOKUP(DX44,$DT$4:$DU$7,2)%,0)))</f>
        <v/>
      </c>
      <c r="ED44" s="461" t="str">
        <f>IF(DX44="","",IF(OR(EP44=3,DZ44=VLOOKUP(DZ44,'IN RPS-2015'!$I$2:$J$5,1)),0,ROUND(MIN(ROUND(DZ44*VLOOKUP(DX44,$B$1:$G$4,2)%,0),VLOOKUP(DX44,$B$2:$I$4,IF($DU$3=$I$29,7,8),TRUE))*(DAY(DY44)-DAY(DX44)+1)/DAY(EOMONTH(DX44,0)),0)))</f>
        <v/>
      </c>
      <c r="EE44" s="491" t="str">
        <f>IF(DX44="","",IF(Main!$C$26="UGC",0,IF(OR(DX44&lt;DATE(2010,4,1),$I$6=VLOOKUP(DX44,$B$2:$G$4,5,TRUE),DZ44=VLOOKUP(DZ44,'IN RPS-2015'!$I$2:$J$5,1)),0,ROUND(IF(EP44=3,0,IF(EP44=2,MIN(ROUND(DZ44*$G$13%,0),IF(DX44&lt;$I$152,$G$14,$G$15))/2,MIN(ROUND(DZ44*$G$13%,0),IF(DX44&lt;$I$152,$G$14,$G$15))))*(DAY(DY44)-DAY(DX44)+1)/DAY(EOMONTH(DX44,0)),0))))</f>
        <v/>
      </c>
      <c r="EF44" s="461" t="str">
        <f>IF(DX44="","",IF(Main!$C$26="UGC",0,IF(DZ44=VLOOKUP(DZ44,'IN RPS-2015'!$I$2:$J$5,1),0,ROUND(EA44*VLOOKUP(DX44,$DT$11:$DU$12,2)%,0))))</f>
        <v/>
      </c>
      <c r="EG44" s="461" t="str">
        <f>IF(DX44="","",IF(Main!$C$26="UGC",0,IF(DX44&lt;DATE(2010,4,1),0,IF(OR(EP44=2,EP44=3,DZ44=VLOOKUP(DZ44,'IN RPS-2015'!$I$2:$J$5,1)),0,ROUND(IF(DX44&lt;$I$152,VLOOKUP(DX44,$B$1:$G$4,4),VLOOKUP(VLOOKUP(DX44,$B$1:$G$4,4),Main!$CE$2:$CF$5,2,FALSE))*(DAY(DY44)-DAY(DX44)+1)/DAY(EOMONTH(DX44,0)),0)))))</f>
        <v/>
      </c>
      <c r="EH44" s="461" t="str">
        <f>IF(DX44="","",IF(OR(EP44=2,EP44=3,$D$31=$D$28,DZ44=VLOOKUP(DZ44,'IN RPS-2015'!$I$2:$J$5,1)),0,ROUND(MIN(IF(DX44&lt;$I$152,900,1350),ROUND(DZ44*VLOOKUP(DW44,$A$27:$C$29,3,TRUE)%,0))*IF(DW44=$A$36,$C$36,IF(DW44=$A$37,$C$37,IF(DW44=$A$38,$C$38,IF(DW44=$A$39,$C$39,IF(DW44=$A$40,$C$40,IF(DW44=$A$41,$C$41,1))))))*(DAY(DY44)-DAY(DX44)+1)/DAY(EOMONTH(DX44,0)),0)))</f>
        <v/>
      </c>
      <c r="EI44" s="461" t="str">
        <f>IF(DX44="","",IF(Main!$C$26="UGC",0,IF(OR(EP44=3,DZ44=VLOOKUP(DZ44,'IN RPS-2015'!$I$2:$J$5,1)),0,ROUND(IF(EP44=2,VLOOKUP(DZ44,IF($DU$3=$I$29,$A$20:$E$23,$F$144:$J$147),IF($B$19=VLOOKUP(DX44,$B$2:$G$4,3,TRUE),2,IF($C$19=VLOOKUP(DX44,$B$2:$G$4,3,TRUE),3,IF($D$19=VLOOKUP(DX44,$B$2:$G$4,3,TRUE),4,5))),TRUE),VLOOKUP(DZ44,IF($DU$3=$I$29,$A$20:$E$23,$F$144:$J$147),IF($B$19=VLOOKUP(DX44,$B$2:$G$4,3,TRUE),2,IF($C$19=VLOOKUP(DX44,$B$2:$G$4,3,TRUE),3,IF($D$19=VLOOKUP(DX44,$B$2:$G$4,3,TRUE),4,5))),TRUE))*(DAY(DY44)-DAY(DX44)+1)/DAY(EOMONTH(DX44,0)),0))))</f>
        <v/>
      </c>
      <c r="EJ44" s="461" t="str">
        <f>IF(DX44="","",IF(Main!$C$26="UGC",0,IF(OR(DW44&lt;DATE(2010,4,1),EP44=3,DZ44=VLOOKUP(DZ44,'IN RPS-2015'!$I$2:$J$5,1)),0,ROUND(IF(EP44=2,IF(DX44&lt;$I$152,Main!$L$9,Main!$CI$3)/2,IF(DX44&lt;$I$152,Main!$L$9,Main!$CI$3))*(DAY(DY44)-DAY(DX44)+1)/DAY(EOMONTH(DX44,0)),0))))</f>
        <v/>
      </c>
      <c r="EK44" s="461"/>
      <c r="EL44" s="461" t="str">
        <f>IF(DX44="","",IF(Main!$C$26="UGC",0,IF(OR(EP44=3,DZ44=VLOOKUP(DZ44,'IN RPS-2015'!$I$2:$J$5,1)),0,ROUND(IF(EP44=2,VLOOKUP(EA44,IF(DX44&lt;$I$152,$A$154:$E$159,$F$154:$J$159),IF($B$10=VLOOKUP(DW44,$B$2:$G$4,6,TRUE),2,IF($B$10=VLOOKUP(DW44,$B$2:$G$4,6,TRUE),3,IF($D$10=VLOOKUP(DW44,$B$2:$G$4,6,TRUE),4,5))))/2,VLOOKUP(EA44,IF(DX44&lt;$I$152,$A$154:$E$159,$F$154:$J$159),IF($B$10=VLOOKUP(DW44,$B$2:$G$4,6,TRUE),2,IF($B$10=VLOOKUP(DW44,$B$2:$G$4,6,TRUE),3,IF($D$10=VLOOKUP(DW44,$B$2:$G$4,6,TRUE),4,5)))))*(DAY(DY44)-DAY(DX44)+1)/DAY(EOMONTH(DX44,0)),0))))</f>
        <v/>
      </c>
      <c r="EM44" s="461">
        <f t="shared" si="79"/>
        <v>0</v>
      </c>
      <c r="EN44" s="464" t="str">
        <f>IF(DX44="","",IF(AND(Main!$F$22=Main!$CA$24,DX44&gt;$EN$1),ROUND(SUM(EA44,EC44)*10%,0),""))</f>
        <v/>
      </c>
      <c r="EO44" s="464" t="str">
        <f>IF(DW44="","",IF(EA44=0,0,IF(OR(Main!$H$10=Main!$BH$4,Main!$H$10=Main!$BH$5),0,LOOKUP(EM44*DAY(EOMONTH(DX44,0))/(DAY(DY44)-DAY(DX44)+1),$H$184:$I$189))))</f>
        <v/>
      </c>
      <c r="EP44" s="457">
        <f t="shared" si="62"/>
        <v>1</v>
      </c>
      <c r="ET44" s="461"/>
      <c r="EU44" s="499" t="str">
        <f t="shared" si="63"/>
        <v/>
      </c>
      <c r="EV44" s="500" t="str">
        <f t="shared" si="89"/>
        <v/>
      </c>
      <c r="EW44" s="484" t="str">
        <f>IF(EV44="","",MIN(EOMONTH(EV44,0),VLOOKUP(EV44,'IN RPS-2015'!$O$164:$P$202,2,TRUE)-1,LOOKUP(EV44,$E$47:$F$53)-1,IF(EV44&lt;$B$2,$B$2-1,'IN RPS-2015'!$Q$9),IF(EV44&lt;$B$3,$B$3-1,'IN RPS-2015'!$Q$9),IF(EV44&lt;$B$4,$B$4-1,'IN RPS-2015'!$Q$9),LOOKUP(EV44,$H$47:$I$53)))</f>
        <v/>
      </c>
      <c r="EX44" s="490" t="str">
        <f>IF(EV44="","",VLOOKUP(EV44,'IN RPS-2015'!$P$164:$AA$202,12))</f>
        <v/>
      </c>
      <c r="EY44" s="461" t="str">
        <f t="shared" si="80"/>
        <v/>
      </c>
      <c r="EZ44" s="461" t="str">
        <f>IF(EV44="","",ROUND(IF(FN44=3,0,IF(FN44=2,IF(EX44=VLOOKUP(EX44,'IN RPS-2015'!$I$2:$J$5,1),0,Main!$H$9)/2,IF(EX44=VLOOKUP(EX44,'IN RPS-2015'!$I$2:$J$5,1),0,Main!$H$9)))*(DAY(EW44)-DAY(EV44)+1)/DAY(EOMONTH(EV44,0)),0))</f>
        <v/>
      </c>
      <c r="FA44" s="461" t="str">
        <f>IF(EV44="","",IF(EX44=VLOOKUP(EX44,'IN RPS-2015'!$I$2:$J$5,1),0,ROUND(EY44*VLOOKUP(EV44,$ER$4:$ES$7,2)%,0)))</f>
        <v/>
      </c>
      <c r="FB44" s="461" t="str">
        <f>IF(EV44="","",IF(OR(FN44=3,EX44=VLOOKUP(EX44,'IN RPS-2015'!$I$2:$J$5,1)),0,ROUND(MIN(ROUND(EX44*VLOOKUP(EV44,$B$1:$G$4,2)%,0),VLOOKUP(EV44,$B$2:$I$4,IF($ES$3=$I$29,7,8),TRUE))*(DAY(EW44)-DAY(EV44)+1)/DAY(EOMONTH(EV44,0)),0)))</f>
        <v/>
      </c>
      <c r="FC44" s="491" t="str">
        <f>IF(EV44="","",IF(Main!$C$26="UGC",0,IF(OR(EV44&lt;DATE(2010,4,1),$I$6=VLOOKUP(EV44,$B$2:$G$4,5,TRUE),EX44=VLOOKUP(EX44,'IN RPS-2015'!$I$2:$J$5,1)),0,ROUND(IF(FN44=3,0,IF(FN44=2,MIN(ROUND(EX44*$G$13%,0),IF(EV44&lt;$J$152,$G$14,$G$15))/2,MIN(ROUND(EX44*$G$13%,0),IF(EV44&lt;$J$152,$G$14,$G$15))))*(DAY(EW44)-DAY(EV44)+1)/DAY(EOMONTH(EV44,0)),0))))</f>
        <v/>
      </c>
      <c r="FD44" s="461" t="str">
        <f>IF(EV44="","",IF(Main!$C$26="UGC",0,IF(EX44=VLOOKUP(EX44,'IN RPS-2015'!$I$2:$J$5,1),0,ROUND(EY44*VLOOKUP(EV44,$ER$11:$ES$12,2)%,0))))</f>
        <v/>
      </c>
      <c r="FE44" s="461" t="str">
        <f>IF(EV44="","",IF(Main!$C$26="UGC",0,IF(EV44&lt;DATE(2010,4,1),0,IF(OR(FN44=2,FN44=3,EX44=VLOOKUP(EX44,'IN RPS-2015'!$I$2:$J$5,1)),0,ROUND(IF(EV44&lt;$J$152,VLOOKUP(EV44,$B$1:$G$4,4),VLOOKUP(VLOOKUP(EV44,$B$1:$G$4,4),Main!$CE$2:$CF$5,2,FALSE))*(DAY(EW44)-DAY(EV44)+1)/DAY(EOMONTH(EV44,0)),0)))))</f>
        <v/>
      </c>
      <c r="FF44" s="461" t="str">
        <f>IF(EV44="","",IF(OR(FN44=2,FN44=3,$D$31=$D$28,EX44=VLOOKUP(EX44,'IN RPS-2015'!$I$2:$J$5,1)),0,ROUND(MIN(VLOOKUP(EU44,$A$27:$C$29,2,TRUE),ROUND(EX44*VLOOKUP(EU44,$A$27:$C$29,3,TRUE)%,0))*IF(EU44=$A$36,$C$36,IF(EU44=$A$37,$C$37,IF(EU44=$A$38,$C$38,IF(EU44=$A$39,$C$39,IF(EU44=$A$40,$C$40,IF(EU44=$A$41,$C$41,1))))))*(DAY(EW44)-DAY(EV44)+1)/DAY(EOMONTH(EV44,0)),0)))</f>
        <v/>
      </c>
      <c r="FG44" s="461" t="str">
        <f>IF(EV44="","",IF(Main!$C$26="UGC",0,IF(OR(FN44=3,EX44=VLOOKUP(EX44,'IN RPS-2015'!$I$2:$J$5,1)),0,ROUND(IF(FN44=2,VLOOKUP(EX44,IF($ES$3=$I$29,$A$20:$E$23,$F$144:$J$147),IF($B$19=VLOOKUP(EV44,$B$2:$G$4,3,TRUE),2,IF($C$19=VLOOKUP(EV44,$B$2:$G$4,3,TRUE),3,IF($D$19=VLOOKUP(EV44,$B$2:$G$4,3,TRUE),4,5))),TRUE),VLOOKUP(EX44,IF($ES$3=$I$29,$A$20:$E$23,$F$144:$J$147),IF($B$19=VLOOKUP(EV44,$B$2:$G$4,3,TRUE),2,IF($C$19=VLOOKUP(EV44,$B$2:$G$4,3,TRUE),3,IF($D$19=VLOOKUP(EV44,$B$2:$G$4,3,TRUE),4,5))),TRUE))*(DAY(EW44)-DAY(EV44)+1)/DAY(EOMONTH(EV44,0)),0))))</f>
        <v/>
      </c>
      <c r="FH44" s="461" t="str">
        <f>IF(EV44="","",IF(Main!$C$26="UGC",0,IF(OR(EU44&lt;DATE(2010,4,1),FN44=3,EX44=VLOOKUP(EX44,'IN RPS-2015'!$I$2:$J$5,1)),0,ROUND(IF(FN44=2,IF(EV44&lt;$J$152,Main!$L$9,Main!$CI$3)/2,IF(EV44&lt;$J$152,Main!$L$9,Main!$CI$3))*(DAY(EW44)-DAY(EV44)+1)/DAY(EOMONTH(EV44,0)),0))))</f>
        <v/>
      </c>
      <c r="FI44" s="461"/>
      <c r="FJ44" s="461" t="str">
        <f>IF(EV44="","",IF(Main!$C$26="UGC",0,IF(OR(FN44=3,EX44=VLOOKUP(EX44,'IN RPS-2015'!$I$2:$J$5,1)),0,ROUND(IF(FN44=2,VLOOKUP(EY44,IF(EV44&lt;$J$152,$A$154:$E$159,$F$154:$J$159),IF($B$10=VLOOKUP(EU44,$B$2:$G$4,6,TRUE),2,IF($B$10=VLOOKUP(EU44,$B$2:$G$4,6,TRUE),3,IF($D$10=VLOOKUP(EU44,$B$2:$G$4,6,TRUE),4,5))))/2,VLOOKUP(EY44,IF(EV44&lt;$J$152,$A$154:$E$159,$F$154:$J$159),IF($B$10=VLOOKUP(EU44,$B$2:$G$4,6,TRUE),2,IF($B$10=VLOOKUP(EU44,$B$2:$G$4,6,TRUE),3,IF($D$10=VLOOKUP(EU44,$B$2:$G$4,6,TRUE),4,5)))))*(DAY(EW44)-DAY(EV44)+1)/DAY(EOMONTH(EV44,0)),0))))</f>
        <v/>
      </c>
      <c r="FK44" s="461">
        <f t="shared" si="81"/>
        <v>0</v>
      </c>
      <c r="FL44" s="464" t="str">
        <f>IF(EV44="","",IF(AND(Main!$F$22=Main!$CA$24,EV44&gt;$FL$1),ROUND(SUM(EY44,FA44)*10%,0),""))</f>
        <v/>
      </c>
      <c r="FM44" s="464" t="str">
        <f>IF(EU44="","",IF(EY44=0,0,IF(OR(Main!$H$10=Main!$BH$4,Main!$H$10=Main!$BH$5),0,LOOKUP(FK44*DAY(EOMONTH(EV44,0))/(DAY(EW44)-DAY(EV44)+1),$H$184:$I$189))))</f>
        <v/>
      </c>
      <c r="FN44" s="457">
        <f t="shared" si="64"/>
        <v>1</v>
      </c>
    </row>
    <row r="45" spans="1:170">
      <c r="B45" s="457">
        <v>0.85599999999999998</v>
      </c>
      <c r="C45" s="457">
        <v>0.52400000000000002</v>
      </c>
      <c r="AH45" s="461"/>
      <c r="AI45" s="499" t="str">
        <f t="shared" si="54"/>
        <v/>
      </c>
      <c r="AJ45" s="500" t="str">
        <f t="shared" si="84"/>
        <v/>
      </c>
      <c r="AK45" s="484" t="str">
        <f>IF(AJ45="","",MIN(EOMONTH(AJ45,0),VLOOKUP(AJ45,'IN RPS-2015'!$O$164:$P$202,2,TRUE)-1,LOOKUP(AJ45,$E$47:$F$53)-1,IF(AJ45&lt;$B$2,$B$2-1,'IN RPS-2015'!$Q$9),IF(AJ45&lt;$B$3,$B$3-1,'IN RPS-2015'!$Q$9),IF(AJ45&lt;$B$4,$B$4-1,'IN RPS-2015'!$Q$9),LOOKUP(AJ45,$H$47:$I$53)))</f>
        <v/>
      </c>
      <c r="AL45" s="490" t="str">
        <f>IF(AJ45="","",VLOOKUP(AJ45,'IN RPS-2015'!$P$164:$AA$202,9))</f>
        <v/>
      </c>
      <c r="AM45" s="461" t="str">
        <f t="shared" si="66"/>
        <v/>
      </c>
      <c r="AN45" s="461" t="str">
        <f>IF(AJ45="","",IF(AND($AG$3=$AG$1,AJ45&lt;=$AZ$1),0,ROUND(IF(BB45=3,0,IF(BB45=2,IF(AL45=VLOOKUP(AL45,'IN RPS-2015'!$I$2:$J$5,1),0,Main!$H$9)/2,IF(AL45=VLOOKUP(AL45,'IN RPS-2015'!$I$2:$J$5,1),0,Main!$H$9)))*(DAY(AK45)-DAY(AJ45)+1)/DAY(EOMONTH(AJ45,0)),0)))</f>
        <v/>
      </c>
      <c r="AO45" s="461" t="str">
        <f>IF(AJ45="","",IF(AND($AG$3=$AG$1,AJ45&lt;=$AZ$1),0,IF(AL45=VLOOKUP(AL45,'IN RPS-2015'!$I$2:$J$5,1),0,ROUND(AM45*VLOOKUP(AJ45,$AF$4:$AG$7,2)%,0))))</f>
        <v/>
      </c>
      <c r="AP45" s="461" t="str">
        <f>IF(AJ45="","",IF(AND($AG$3=$AG$1,AJ45&lt;=$AZ$1),0,IF(OR(BB45=3,AL45=VLOOKUP(AL45,'IN RPS-2015'!$I$2:$J$5,1)),0,ROUND(MIN(ROUND(AL45*VLOOKUP(AJ45,$B$1:$G$4,2)%,0),VLOOKUP(AJ45,$B$2:$I$4,IF($AG$3=$I$29,7,8),TRUE))*(DAY(AK45)-DAY(AJ45)+1)/DAY(EOMONTH(AJ45,0)),0))))</f>
        <v/>
      </c>
      <c r="AQ45" s="491" t="str">
        <f>IF(AJ45="","",IF(AND($AG$3=$AG$1,AJ45&lt;=$AZ$1),0,IF(Main!$C$26="UGC",0,IF(OR(AJ45&lt;DATE(2010,4,1),$I$6=VLOOKUP(AJ45,$B$2:$G$4,5,TRUE),AL45=VLOOKUP(AL45,'IN RPS-2015'!$I$2:$J$5,1)),0,ROUND(IF(BB45=3,0,IF(BB45=2,MIN(ROUND(AL45*$G$13%,0),IF(AJ45&lt;$J$152,$G$14,$G$15))/2,MIN(ROUND(AL45*$G$13%,0),IF(AJ45&lt;$J$152,$G$14,$G$15))))*(DAY(AK45)-DAY(AJ45)+1)/DAY(EOMONTH(AJ45,0)),0)))))</f>
        <v/>
      </c>
      <c r="AR45" s="461" t="str">
        <f>IF(AJ45="","",IF(AND($AG$3=$AG$1,AJ45&lt;=$AZ$1),0,IF(Main!$C$26="UGC",0,IF(AL45=VLOOKUP(AL45,'IN RPS-2015'!$I$2:$J$5,1),0,ROUND(AM45*VLOOKUP(AJ45,$AF$11:$AG$12,2)%,0)))))</f>
        <v/>
      </c>
      <c r="AS45" s="461" t="str">
        <f>IF(AJ45="","",IF(AND($AG$3=$AG$1,AJ45&lt;=$AZ$1),0,IF(Main!$C$26="UGC",0,IF(AJ45&lt;DATE(2010,4,1),0,IF(OR(BB45=2,BB45=3,AL45=VLOOKUP(AL45,'IN RPS-2015'!$I$2:$J$5,1)),0,ROUND(IF(AJ45&lt;$J$152,VLOOKUP(AJ45,$B$1:$G$4,4),VLOOKUP(VLOOKUP(AJ45,$B$1:$G$4,4),Main!$CE$2:$CF$5,2,FALSE))*(DAY(AK45)-DAY(AJ45)+1)/DAY(EOMONTH(AJ45,0)),0))))))</f>
        <v/>
      </c>
      <c r="AT45" s="461" t="str">
        <f>IF(AJ45="","",IF(AND($AG$3=$AG$1,AJ45&lt;=$AZ$1),0,IF(OR(BB45=2,BB45=3,$D$31=$D$28,AL45=VLOOKUP(AL45,'IN RPS-2015'!$I$2:$J$5,1)),0,ROUND(MIN(VLOOKUP(AI45,$A$27:$C$29,2,TRUE),ROUND(AL45*VLOOKUP(AI45,$A$27:$C$29,3,TRUE)%,0))*IF(AI45=$A$36,$C$36,IF(AI45=$A$37,$C$37,IF(AI45=$A$38,$C$38,IF(AI45=$A$39,$C$39,IF(AI45=$A$40,$C$40,IF(AI45=$A$41,$C$41,1))))))*(DAY(AK45)-DAY(AJ45)+1)/DAY(EOMONTH(AJ45,0)),0))))</f>
        <v/>
      </c>
      <c r="AU45" s="461" t="str">
        <f>IF(AJ45="","",IF(AND($AG$3=$AG$1,AJ45&lt;=$AZ$1),0,IF(Main!$C$26="UGC",0,IF(OR(BB45=3,AL45=VLOOKUP(AL45,'IN RPS-2015'!$I$2:$J$5,1)),0,ROUND(IF(BB45=2,VLOOKUP(AL45,IF($AG$3=$I$29,$A$20:$E$23,$F$144:$J$147),IF($B$19=VLOOKUP(AJ45,$B$2:$G$4,3,TRUE),2,IF($C$19=VLOOKUP(AJ45,$B$2:$G$4,3,TRUE),3,IF($D$19=VLOOKUP(AJ45,$B$2:$G$4,3,TRUE),4,5))),TRUE),VLOOKUP(AL45,IF($AG$3=$I$29,$A$20:$E$23,$F$144:$J$147),IF($B$19=VLOOKUP(AJ45,$B$2:$G$4,3,TRUE),2,IF($C$19=VLOOKUP(AJ45,$B$2:$G$4,3,TRUE),3,IF($D$19=VLOOKUP(AJ45,$B$2:$G$4,3,TRUE),4,5))),TRUE))*(DAY(AK45)-DAY(AJ45)+1)/DAY(EOMONTH(AJ45,0)),0)))))</f>
        <v/>
      </c>
      <c r="AV45" s="461" t="str">
        <f>IF(AJ45="","",IF(AND($AG$3=$AG$1,AJ45&lt;=$AZ$1),0,IF(Main!$C$26="UGC",0,IF(OR(AI45&lt;DATE(2010,4,1),BB45=3,AL45=VLOOKUP(AL45,'IN RPS-2015'!$I$2:$J$5,1)),0,ROUND(IF(BB45=2,IF(AJ45&lt;$J$152,Main!$L$9,Main!$CI$3)/2,IF(AJ45&lt;$J$152,Main!$L$9,Main!$CI$3))*(DAY(AK45)-DAY(AJ45)+1)/DAY(EOMONTH(AJ45,0)),0)))))</f>
        <v/>
      </c>
      <c r="AW45" s="461"/>
      <c r="AX45" s="461" t="str">
        <f>IF(AJ45="","",IF(AND($AG$3=$AG$1,AJ45&lt;=$AZ$1),0,IF(Main!$C$26="UGC",0,IF(OR(BB45=3,AL45=VLOOKUP(AL45,'IN RPS-2015'!$I$2:$J$5,1)),0,ROUND(IF(BB45=2,VLOOKUP(AM45,IF(AJ45&lt;$J$152,$A$154:$E$159,$F$154:$J$159),IF($B$10=VLOOKUP(AI45,$B$2:$G$4,6,TRUE),2,IF($B$10=VLOOKUP(AI45,$B$2:$G$4,6,TRUE),3,IF($D$10=VLOOKUP(AI45,$B$2:$G$4,6,TRUE),4,5))))/2,VLOOKUP(AM45,IF(AJ45&lt;$J$152,$A$154:$E$159,$F$154:$J$159),IF($B$10=VLOOKUP(AI45,$B$2:$G$4,6,TRUE),2,IF($B$10=VLOOKUP(AI45,$B$2:$G$4,6,TRUE),3,IF($D$10=VLOOKUP(AI45,$B$2:$G$4,6,TRUE),4,5)))))*(DAY(AK45)-DAY(AJ45)+1)/DAY(EOMONTH(AJ45,0)),0)))))</f>
        <v/>
      </c>
      <c r="AY45" s="461">
        <f t="shared" si="67"/>
        <v>0</v>
      </c>
      <c r="AZ45" s="464" t="str">
        <f>IF(AJ45="","",IF(AND($AG$3=$AG$1,AJ45&lt;=$AZ$1),0,IF(AND(Main!$F$22=Main!$CA$24,AJ45&gt;$AZ$1),ROUND(SUM(AM45,AO45)*10%,0),"")))</f>
        <v/>
      </c>
      <c r="BA45" s="464" t="str">
        <f>IF(AI45="","",IF(AND($AG$3=$AG$1,AJ45&lt;=$AZ$1),0,IF(OR(Main!$H$10=Main!$BH$4,Main!$H$10=Main!$BH$5),0,LOOKUP(AY45*DAY(EOMONTH(AJ45,0))/(DAY(AK45)-DAY(AJ45)+1),$H$184:$I$189))))</f>
        <v/>
      </c>
      <c r="BB45" s="497">
        <f t="shared" si="55"/>
        <v>1</v>
      </c>
      <c r="BC45" s="464"/>
      <c r="BD45" s="501" t="str">
        <f t="shared" si="56"/>
        <v/>
      </c>
      <c r="BE45" s="502" t="str">
        <f t="shared" si="85"/>
        <v/>
      </c>
      <c r="BF45" s="484" t="str">
        <f>IF(BE45="","",MIN(EOMONTH(BE45,0),VLOOKUP(BE45,'IN RPS-2015'!$O$164:$P$202,2,TRUE)-1,LOOKUP(BE45,$E$47:$F$53)-1,IF(BE45&lt;$B$2,$B$2-1,'IN RPS-2015'!$Q$9),IF(BE45&lt;$B$3,$B$3-1,'IN RPS-2015'!$Q$9),IF(BE45&lt;$B$4,$B$4-1,'IN RPS-2015'!$Q$9),LOOKUP(BE45,$H$47:$I$53)))</f>
        <v/>
      </c>
      <c r="BG45" s="493" t="str">
        <f>IF(BE45="","",VLOOKUP(BE45,'IN RPS-2015'!$P$164:$AA$202,10))</f>
        <v/>
      </c>
      <c r="BH45" s="461" t="str">
        <f t="shared" si="68"/>
        <v/>
      </c>
      <c r="BI45" s="461" t="str">
        <f>IF(BE45="","",IF(AND($AG$3=$AG$1,BE45&lt;=$AZ$1),0,ROUND(IF(BW45=3,0,IF(BW45=2,IF(BG45=VLOOKUP(BG45,'IN RPS-2015'!$I$2:$J$5,1),0,Main!$H$9)/2,IF(BG45=VLOOKUP(BG45,'IN RPS-2015'!$I$2:$J$5,1),0,Main!$H$9)))*(DAY(BF45)-DAY(BE45)+1)/DAY(EOMONTH(BE45,0)),0)))</f>
        <v/>
      </c>
      <c r="BJ45" s="461" t="str">
        <f>IF(BE45="","",IF(AND($AG$3=$AG$1,BE45&lt;=$AZ$1),0,IF(BG45=VLOOKUP(BG45,'IN RPS-2015'!$I$2:$J$5,1),0,ROUND(BH45*VLOOKUP(BE45,$AF$4:$AG$7,2)%,0))))</f>
        <v/>
      </c>
      <c r="BK45" s="461" t="str">
        <f>IF(BE45="","",IF(AND($AG$3=$AG$1,BE45&lt;=$AZ$1),0,IF(OR(BW45=3,BG45=VLOOKUP(BG45,'IN RPS-2015'!$I$2:$J$5,1)),0,ROUND(MIN(ROUND(BG45*VLOOKUP(BE45,$B$1:$G$4,2)%,0),VLOOKUP(BE45,$B$2:$I$4,IF($AG$3=$I$29,7,8),TRUE))*(DAY(BF45)-DAY(BE45)+1)/DAY(EOMONTH(BE45,0)),0))))</f>
        <v/>
      </c>
      <c r="BL45" s="491" t="str">
        <f>IF(BE45="","",IF(AND($AG$3=$AG$1,BE45&lt;=$AZ$1),0,IF(Main!$C$26="UGC",0,IF(OR(BE45&lt;DATE(2010,4,1),$I$6=VLOOKUP(BE45,$B$2:$G$4,5,TRUE),BG45=VLOOKUP(BG45,'IN RPS-2015'!$I$2:$J$5,1)),0,ROUND(IF(BW45=3,0,IF(BW45=2,MIN(ROUND(BG45*$G$13%,0),IF(BE45&lt;$J$152,$G$14,$G$15))/2,MIN(ROUND(BG45*$G$13%,0),IF(BE45&lt;$J$152,$G$14,$G$15))))*(DAY(BF45)-DAY(BE45)+1)/DAY(EOMONTH(BE45,0)),0)))))</f>
        <v/>
      </c>
      <c r="BM45" s="461" t="str">
        <f>IF(BE45="","",IF(AND($AG$3=$AG$1,BE45&lt;=$AZ$1),0,IF(Main!$C$26="UGC",0,IF(BG45=VLOOKUP(BG45,'IN RPS-2015'!$I$2:$J$5,1),0,ROUND(BH45*VLOOKUP(BE45,$AF$11:$AG$12,2)%,0)))))</f>
        <v/>
      </c>
      <c r="BN45" s="461" t="str">
        <f>IF(BE45="","",IF(AND($AG$3=$AG$1,BE45&lt;=$AZ$1),0,IF(Main!$C$26="UGC",0,IF(BE45&lt;DATE(2010,4,1),0,IF(OR(BW45=2,BW45=3,BG45=VLOOKUP(BG45,'IN RPS-2015'!$I$2:$J$5,1)),0,ROUND(IF(BE45&lt;$J$152,VLOOKUP(BE45,$B$1:$G$4,4),VLOOKUP(VLOOKUP(BE45,$B$1:$G$4,4),Main!$CE$2:$CF$5,2,FALSE))*(DAY(BF45)-DAY(BE45)+1)/DAY(EOMONTH(BE45,0)),0))))))</f>
        <v/>
      </c>
      <c r="BO45" s="461" t="str">
        <f>IF(BE45="","",IF(AND($AG$3=$AG$1,BE45&lt;=$AZ$1),0,IF(OR(BW45=2,BW45=3,$D$31=$D$28,BG45=VLOOKUP(BG45,'IN RPS-2015'!$I$2:$J$5,1)),0,ROUND(MIN(VLOOKUP(BD45,$A$27:$C$29,2,TRUE),ROUND(BG45*VLOOKUP(BD45,$A$27:$C$29,3,TRUE)%,0))*IF(BD45=$A$36,$C$36,IF(BD45=$A$37,$C$37,IF(BD45=$A$38,$C$38,IF(BD45=$A$39,$C$39,IF(BD45=$A$40,$C$40,IF(BD45=$A$41,$C$41,1))))))*(DAY(BF45)-DAY(BE45)+1)/DAY(EOMONTH(BE45,0)),0))))</f>
        <v/>
      </c>
      <c r="BP45" s="461" t="str">
        <f>IF(BE45="","",IF(AND($AG$3=$AG$1,BE45&lt;=$AZ$1),0,IF(Main!$C$26="UGC",0,IF(OR(BW45=3,BG45=VLOOKUP(BG45,'IN RPS-2015'!$I$2:$J$5,1)),0,ROUND(IF(BW45=2,VLOOKUP(BG45,IF($AG$3=$I$29,$A$20:$E$23,$F$144:$J$147),IF($B$19=VLOOKUP(BE45,$B$2:$G$4,3,TRUE),2,IF($C$19=VLOOKUP(BE45,$B$2:$G$4,3,TRUE),3,IF($D$19=VLOOKUP(BE45,$B$2:$G$4,3,TRUE),4,5))),TRUE),VLOOKUP(BG45,IF($AG$3=$I$29,$A$20:$E$23,$F$144:$J$147),IF($B$19=VLOOKUP(BE45,$B$2:$G$4,3,TRUE),2,IF($C$19=VLOOKUP(BE45,$B$2:$G$4,3,TRUE),3,IF($D$19=VLOOKUP(BE45,$B$2:$G$4,3,TRUE),4,5))),TRUE))*(DAY(BF45)-DAY(BE45)+1)/DAY(EOMONTH(BE45,0)),0)))))</f>
        <v/>
      </c>
      <c r="BQ45" s="461" t="str">
        <f>IF(BE45="","",IF(AND($AG$3=$AG$1,BE45&lt;=$AZ$1),0,IF(Main!$C$26="UGC",0,IF(OR(BD45&lt;DATE(2010,4,1),BW45=3,BG45=VLOOKUP(BG45,'IN RPS-2015'!$I$2:$J$5,1)),0,ROUND(IF(BW45=2,IF(BE45&lt;$J$152,Main!$L$9,Main!$CI$3)/2,IF(BE45&lt;$J$152,Main!$L$9,Main!$CI$3))*(DAY(BF45)-DAY(BE45)+1)/DAY(EOMONTH(BE45,0)),0)))))</f>
        <v/>
      </c>
      <c r="BR45" s="461"/>
      <c r="BS45" s="461" t="str">
        <f>IF(BE45="","",IF(AND($AG$3=$AG$1,BE45&lt;=$AZ$1),0,IF(Main!$C$26="UGC",0,IF(OR(BW45=3,BG45=VLOOKUP(BG45,'IN RPS-2015'!$I$2:$J$5,1)),0,ROUND(IF(BW45=2,VLOOKUP(BH45,IF(BE45&lt;$J$152,$A$154:$E$159,$F$154:$J$159),IF($B$10=VLOOKUP(BD45,$B$2:$G$4,6,TRUE),2,IF($B$10=VLOOKUP(BD45,$B$2:$G$4,6,TRUE),3,IF($D$10=VLOOKUP(BD45,$B$2:$G$4,6,TRUE),4,5))))/2,VLOOKUP(BH45,IF(BE45&lt;$J$152,$A$154:$E$159,$F$154:$J$159),IF($B$10=VLOOKUP(BD45,$B$2:$G$4,6,TRUE),2,IF($B$10=VLOOKUP(BD45,$B$2:$G$4,6,TRUE),3,IF($D$10=VLOOKUP(BD45,$B$2:$G$4,6,TRUE),4,5)))))*(DAY(BF45)-DAY(BE45)+1)/DAY(EOMONTH(BE45,0)),0)))))</f>
        <v/>
      </c>
      <c r="BT45" s="461">
        <f t="shared" si="69"/>
        <v>0</v>
      </c>
      <c r="BU45" s="464" t="str">
        <f>IF(BE45="","",IF(AND($AG$3=$AG$1,BE45&lt;=$AZ$1),0,IF(AND(Main!$F$22=Main!$CA$24,BE45&gt;$AZ$1),ROUND(SUM(BH45,BJ45)*10%,0),"")))</f>
        <v/>
      </c>
      <c r="BV45" s="464" t="str">
        <f>IF(BD45="","",IF(AND($AG$3=$AG$1,BE45&lt;=$AZ$1),0,IF(OR(Main!$H$10=Main!$BH$4,Main!$H$10=Main!$BH$5),0,LOOKUP(BT45*DAY(EOMONTH(BE45,0))/(DAY(BF45)-DAY(BE45)+1),$H$184:$I$189))))</f>
        <v/>
      </c>
      <c r="BW45" s="503">
        <f t="shared" si="70"/>
        <v>1</v>
      </c>
      <c r="BX45" s="457">
        <f t="shared" si="90"/>
        <v>0</v>
      </c>
      <c r="BY45" s="457"/>
      <c r="BZ45" s="457"/>
      <c r="CA45" s="457"/>
      <c r="CB45" s="461"/>
      <c r="CC45" s="499" t="str">
        <f t="shared" si="57"/>
        <v/>
      </c>
      <c r="CD45" s="500" t="str">
        <f t="shared" si="86"/>
        <v/>
      </c>
      <c r="CE45" s="484" t="str">
        <f>IF(CD45="","",MIN(EOMONTH(CD45,0),VLOOKUP(CD45,'IN RPS-2015'!$O$164:$P$202,2,TRUE)-1,LOOKUP(CD45,$E$47:$F$53)-1,IF(CD45&lt;$B$2,$B$2-1,'IN RPS-2015'!$Q$9),IF(CD45&lt;$B$3,$B$3-1,'IN RPS-2015'!$Q$9),IF(CD45&lt;$B$4,$B$4-1,'IN RPS-2015'!$Q$9),LOOKUP(CD45,$H$47:$I$53)))</f>
        <v/>
      </c>
      <c r="CF45" s="490" t="str">
        <f>IF(CD45="","",VLOOKUP(CD45,'IN RPS-2015'!$T$207:$Y$222,5))</f>
        <v/>
      </c>
      <c r="CG45" s="461" t="str">
        <f t="shared" si="72"/>
        <v/>
      </c>
      <c r="CH45" s="461" t="str">
        <f>IF(CD45="","",IF(AND($CA$3=$CA$1,CD45&lt;=$CT$1),0,ROUND(IF(CV45=3,0,IF(CV45=2,IF(CF45=VLOOKUP(CF45,'IN RPS-2015'!$I$2:$J$5,1),0,Main!$H$9)/2,IF(CF45=VLOOKUP(CF45,'IN RPS-2015'!$I$2:$J$5,1),0,Main!$H$9)))*(DAY(CE45)-DAY(CD45)+1)/DAY(EOMONTH(CD45,0)),0)))</f>
        <v/>
      </c>
      <c r="CI45" s="461" t="str">
        <f>IF(CD45="","",IF(AND($CA$3=$CA$1,CD45&lt;=$CT$1),0,IF(CF45=VLOOKUP(CF45,'IN RPS-2015'!$I$2:$J$5,1),0,ROUND(CG45*VLOOKUP(CD45,$BZ$4:$CA$7,2)%,0))))</f>
        <v/>
      </c>
      <c r="CJ45" s="461" t="str">
        <f>IF(CD45="","",IF(AND($CA$3=$CA$1,CD45&lt;=$CT$1),0,IF(OR(CV45=3,CF45=VLOOKUP(CF45,'IN RPS-2015'!$I$2:$J$5,1)),0,ROUND(MIN(ROUND(CF45*VLOOKUP(CD45,$B$1:$G$4,2)%,0),VLOOKUP(CD45,$B$2:$I$4,IF($CA$3=$I$29,7,8),TRUE))*(DAY(CE45)-DAY(CD45)+1)/DAY(EOMONTH(CD45,0)),0))))</f>
        <v/>
      </c>
      <c r="CK45" s="491" t="str">
        <f>IF(CD45="","",IF(AND($CA$3=$CA$1,CD45&lt;=$CT$1),0,IF(Main!$C$26="UGC",0,IF(OR(CD45&lt;DATE(2010,4,1),$I$6=VLOOKUP(CD45,$B$2:$G$4,5,TRUE),CF45=VLOOKUP(CF45,'IN RPS-2015'!$I$2:$J$5,1)),0,ROUND(IF(CV45=3,0,IF(CV45=2,MIN(ROUND(CF45*$G$13%,0),IF(CD45&lt;$J$152,$G$14,$G$15))/2,MIN(ROUND(CF45*$G$13%,0),IF(CD45&lt;$J$152,$G$14,$G$15))))*(DAY(CE45)-DAY(CD45)+1)/DAY(EOMONTH(CD45,0)),0)))))</f>
        <v/>
      </c>
      <c r="CL45" s="461" t="str">
        <f>IF(CD45="","",IF(AND($CA$3=$CA$1,CD45&lt;=$CT$1),0,IF(Main!$C$26="UGC",0,IF(CF45=VLOOKUP(CF45,'IN RPS-2015'!$I$2:$J$5,1),0,ROUND(CG45*VLOOKUP(CD45,$BZ$11:$CA$12,2)%,0)))))</f>
        <v/>
      </c>
      <c r="CM45" s="461" t="str">
        <f>IF(CD45="","",IF(AND($CA$3=$CA$1,CD45&lt;=$CT$1),0,IF(Main!$C$26="UGC",0,IF(CD45&lt;DATE(2010,4,1),0,IF(OR(CV45=2,CV45=3,CF45=VLOOKUP(CF45,'IN RPS-2015'!$I$2:$J$5,1)),0,ROUND(IF(CD45&lt;$J$152,VLOOKUP(CD45,$B$1:$G$4,4),VLOOKUP(VLOOKUP(CD45,$B$1:$G$4,4),Main!$CE$2:$CF$5,2,FALSE))*(DAY(CE45)-DAY(CD45)+1)/DAY(EOMONTH(CD45,0)),0))))))</f>
        <v/>
      </c>
      <c r="CN45" s="461" t="str">
        <f>IF(CD45="","",IF(AND($CA$3=$CA$1,CD45&lt;=$CT$1),0,IF(OR(CV45=2,CV45=3,$D$31=$D$28,CF45=VLOOKUP(CF45,'IN RPS-2015'!$I$2:$J$5,1)),0,ROUND(MIN(VLOOKUP(CC45,$A$27:$C$29,2,TRUE),ROUND(CF45*VLOOKUP(CC45,$A$27:$C$29,3,TRUE)%,0))*IF(CC45=$A$36,$C$36,IF(CC45=$A$37,$C$37,IF(CC45=$A$38,$C$38,IF(CC45=$A$39,$C$39,IF(CC45=$A$40,$C$40,IF(CC45=$A$41,$C$41,1))))))*(DAY(CE45)-DAY(CD45)+1)/DAY(EOMONTH(CD45,0)),0))))</f>
        <v/>
      </c>
      <c r="CO45" s="461" t="str">
        <f>IF(CD45="","",IF(AND($CA$3=$CA$1,CD45&lt;=$CT$1),0,IF(Main!$C$26="UGC",0,IF(OR(CV45=3,CF45=VLOOKUP(CF45,'IN RPS-2015'!$I$2:$J$5,1)),0,ROUND(IF(CV45=2,VLOOKUP(CF45,IF($CA$3=$I$29,$A$20:$E$23,$F$144:$J$147),IF($B$19=VLOOKUP(CD45,$B$2:$G$4,3,TRUE),2,IF($C$19=VLOOKUP(CD45,$B$2:$G$4,3,TRUE),3,IF($D$19=VLOOKUP(CD45,$B$2:$G$4,3,TRUE),4,5))),TRUE),VLOOKUP(CF45,IF($CA$3=$I$29,$A$20:$E$23,$F$144:$J$147),IF($B$19=VLOOKUP(CD45,$B$2:$G$4,3,TRUE),2,IF($C$19=VLOOKUP(CD45,$B$2:$G$4,3,TRUE),3,IF($D$19=VLOOKUP(CD45,$B$2:$G$4,3,TRUE),4,5))),TRUE))*(DAY(CE45)-DAY(CD45)+1)/DAY(EOMONTH(CD45,0)),0)))))</f>
        <v/>
      </c>
      <c r="CP45" s="461" t="str">
        <f>IF(CD45="","",IF(AND($CA$3=$CA$1,CD45&lt;=$CT$1),0,IF(Main!$C$26="UGC",0,IF(OR(CC45&lt;DATE(2010,4,1),CV45=3,CF45=VLOOKUP(CF45,'IN RPS-2015'!$I$2:$J$5,1)),0,ROUND(IF(CV45=2,IF(CD45&lt;$J$152,Main!$L$9,Main!$CI$3)/2,IF(CD45&lt;$J$152,Main!$L$9,Main!$CI$3))*(DAY(CE45)-DAY(CD45)+1)/DAY(EOMONTH(CD45,0)),0)))))</f>
        <v/>
      </c>
      <c r="CQ45" s="461"/>
      <c r="CR45" s="461" t="str">
        <f>IF(CD45="","",IF(AND($CA$3=$CA$1,CD45&lt;=$CT$1),0,IF(Main!$C$26="UGC",0,IF(OR(CV45=3,CF45=VLOOKUP(CF45,'IN RPS-2015'!$I$2:$J$5,1)),0,ROUND(IF(CV45=2,VLOOKUP(CG45,IF(CD45&lt;$J$152,$A$154:$E$159,$F$154:$J$159),IF($B$10=VLOOKUP(CC45,$B$2:$G$4,6,TRUE),2,IF($B$10=VLOOKUP(CC45,$B$2:$G$4,6,TRUE),3,IF($D$10=VLOOKUP(CC45,$B$2:$G$4,6,TRUE),4,5))))/2,VLOOKUP(CG45,IF(CD45&lt;$J$152,$A$154:$E$159,$F$154:$J$159),IF($B$10=VLOOKUP(CC45,$B$2:$G$4,6,TRUE),2,IF($B$10=VLOOKUP(CC45,$B$2:$G$4,6,TRUE),3,IF($D$10=VLOOKUP(CC45,$B$2:$G$4,6,TRUE),4,5)))))*(DAY(CE45)-DAY(CD45)+1)/DAY(EOMONTH(CD45,0)),0)))))</f>
        <v/>
      </c>
      <c r="CS45" s="461">
        <f t="shared" si="73"/>
        <v>0</v>
      </c>
      <c r="CT45" s="464" t="str">
        <f>IF(CD45="","",IF(AND($CA$3=$CA$1,CD45&lt;=$CT$1),0,IF(AND(Main!$F$22=Main!$CA$24,CD45&gt;$CT$1),ROUND(SUM(CG45,CI45)*10%,0),"")))</f>
        <v/>
      </c>
      <c r="CU45" s="464" t="str">
        <f>IF(CC45="","",IF(CG45=0,0,IF(OR(Main!$H$10=Main!$BH$4,Main!$H$10=Main!$BH$5),0,LOOKUP(CS45*DAY(EOMONTH(CD45,0))/(DAY(CE45)-DAY(CD45)+1),$H$184:$I$189))))</f>
        <v/>
      </c>
      <c r="CV45" s="457">
        <f t="shared" si="74"/>
        <v>1</v>
      </c>
      <c r="CW45" s="464"/>
      <c r="CX45" s="501" t="str">
        <f t="shared" si="59"/>
        <v/>
      </c>
      <c r="CY45" s="502" t="str">
        <f t="shared" si="87"/>
        <v/>
      </c>
      <c r="CZ45" s="484" t="str">
        <f>IF(CY45="","",MIN(EOMONTH(CY45,0),VLOOKUP(CY45,'IN RPS-2015'!$O$164:$P$202,2,TRUE)-1,LOOKUP(CY45,$E$47:$F$53)-1,IF(CY45&lt;$B$2,$B$2-1,'IN RPS-2015'!$Q$9),IF(CY45&lt;$B$3,$B$3-1,'IN RPS-2015'!$Q$9),IF(CY45&lt;$B$4,$B$4-1,'IN RPS-2015'!$Q$9),LOOKUP(CY45,$H$47:$I$53)))</f>
        <v/>
      </c>
      <c r="DA45" s="493" t="str">
        <f>IF(CY45="","",VLOOKUP(CY45,'IN RPS-2015'!$T$207:$Y$222,6))</f>
        <v/>
      </c>
      <c r="DB45" s="461" t="str">
        <f t="shared" si="75"/>
        <v/>
      </c>
      <c r="DC45" s="461" t="str">
        <f>IF(CY45="","",IF(AND($CA$3=$CA$1,CY45&lt;=$CT$1),0,ROUND(IF(DQ45=3,0,IF(DQ45=2,IF(DA45=VLOOKUP(DA45,'IN RPS-2015'!$I$2:$J$5,1),0,Main!$H$9)/2,IF(DA45=VLOOKUP(DA45,'IN RPS-2015'!$I$2:$J$5,1),0,Main!$H$9)))*(DAY(CZ45)-DAY(CY45)+1)/DAY(EOMONTH(CY45,0)),0)))</f>
        <v/>
      </c>
      <c r="DD45" s="461" t="str">
        <f>IF(CY45="","",IF(AND($CA$3=$CA$1,CY45&lt;=$CT$1),0,IF(DA45=VLOOKUP(DA45,'IN RPS-2015'!$I$2:$J$5,1),0,ROUND(DB45*VLOOKUP(CY45,$BZ$4:$CA$7,2)%,0))))</f>
        <v/>
      </c>
      <c r="DE45" s="461" t="str">
        <f>IF(CY45="","",IF(AND($CA$3=$CA$1,CY45&lt;=$CT$1),0,IF(OR(DQ45=3,DA45=VLOOKUP(DA45,'IN RPS-2015'!$I$2:$J$5,1)),0,ROUND(MIN(ROUND(DA45*VLOOKUP(CY45,$B$1:$G$4,2)%,0),VLOOKUP(CY45,$B$2:$I$4,IF($CA$3=$I$29,7,8),TRUE))*(DAY(CZ45)-DAY(CY45)+1)/DAY(EOMONTH(CY45,0)),0))))</f>
        <v/>
      </c>
      <c r="DF45" s="491" t="str">
        <f>IF(CY45="","",IF(AND($CA$3=$CA$1,CY45&lt;=$CT$1),0,IF(Main!$C$26="UGC",0,IF(OR(CY45&lt;DATE(2010,4,1),$I$6=VLOOKUP(CY45,$B$2:$G$4,5,TRUE),DA45=VLOOKUP(DA45,'IN RPS-2015'!$I$2:$J$5,1)),0,ROUND(IF(DQ45=3,0,IF(DQ45=2,MIN(ROUND(DA45*$G$13%,0),IF(CY45&lt;$J$152,$G$14,$G$15))/2,MIN(ROUND(DA45*$G$13%,0),IF(CY45&lt;$J$152,$G$14,$G$15))))*(DAY(CZ45)-DAY(CY45)+1)/DAY(EOMONTH(CY45,0)),0)))))</f>
        <v/>
      </c>
      <c r="DG45" s="461" t="str">
        <f>IF(CY45="","",IF(AND($CA$3=$CA$1,CY45&lt;=$CT$1),0,IF(Main!$C$26="UGC",0,IF(DA45=VLOOKUP(DA45,'IN RPS-2015'!$I$2:$J$5,1),0,ROUND(DB45*VLOOKUP(CY45,$BZ$11:$CA$12,2)%,0)))))</f>
        <v/>
      </c>
      <c r="DH45" s="461" t="str">
        <f>IF(CY45="","",IF(AND($CA$3=$CA$1,CY45&lt;=$CT$1),0,IF(Main!$C$26="UGC",0,IF(CY45&lt;DATE(2010,4,1),0,IF(OR(DQ45=2,DQ45=3,DA45=VLOOKUP(DA45,'IN RPS-2015'!$I$2:$J$5,1)),0,ROUND(IF(CY45&lt;$J$152,VLOOKUP(CY45,$B$1:$G$4,4),VLOOKUP(VLOOKUP(CY45,$B$1:$G$4,4),Main!$CE$2:$CF$5,2,FALSE))*(DAY(CZ45)-DAY(CY45)+1)/DAY(EOMONTH(CY45,0)),0))))))</f>
        <v/>
      </c>
      <c r="DI45" s="461" t="str">
        <f>IF(CY45="","",IF(AND($CA$3=$CA$1,CY45&lt;=$CT$1),0,IF(OR(DQ45=2,DQ45=3,$D$31=$D$28,DA45=VLOOKUP(DA45,'IN RPS-2015'!$I$2:$J$5,1)),0,ROUND(MIN(VLOOKUP(CX45,$A$27:$C$29,2,TRUE),ROUND(DA45*VLOOKUP(CX45,$A$27:$C$29,3,TRUE)%,0))*IF(CX45=$A$36,$C$36,IF(CX45=$A$37,$C$37,IF(CX45=$A$38,$C$38,IF(CX45=$A$39,$C$39,IF(CX45=$A$40,$C$40,IF(CX45=$A$41,$C$41,1))))))*(DAY(CZ45)-DAY(CY45)+1)/DAY(EOMONTH(CY45,0)),0))))</f>
        <v/>
      </c>
      <c r="DJ45" s="461" t="str">
        <f>IF(CY45="","",IF(AND($CA$3=$CA$1,CY45&lt;=$CT$1),0,IF(Main!$C$26="UGC",0,IF(OR(DQ45=3,DA45=VLOOKUP(DA45,'IN RPS-2015'!$I$2:$J$5,1)),0,ROUND(IF(DQ45=2,VLOOKUP(DA45,IF($CA$3=$I$29,$A$20:$E$23,$F$144:$J$147),IF($B$19=VLOOKUP(CY45,$B$2:$G$4,3,TRUE),2,IF($C$19=VLOOKUP(CY45,$B$2:$G$4,3,TRUE),3,IF($D$19=VLOOKUP(CY45,$B$2:$G$4,3,TRUE),4,5))),TRUE),VLOOKUP(DA45,IF($CA$3=$I$29,$A$20:$E$23,$F$144:$J$147),IF($B$19=VLOOKUP(CY45,$B$2:$G$4,3,TRUE),2,IF($C$19=VLOOKUP(CY45,$B$2:$G$4,3,TRUE),3,IF($D$19=VLOOKUP(CY45,$B$2:$G$4,3,TRUE),4,5))),TRUE))*(DAY(CZ45)-DAY(CY45)+1)/DAY(EOMONTH(CY45,0)),0)))))</f>
        <v/>
      </c>
      <c r="DK45" s="461" t="str">
        <f>IF(CY45="","",IF(AND($CA$3=$CA$1,CY45&lt;=$CT$1),0,IF(Main!$C$26="UGC",0,IF(OR(CX45&lt;DATE(2010,4,1),DQ45=3,DA45=VLOOKUP(DA45,'IN RPS-2015'!$I$2:$J$5,1)),0,ROUND(IF(DQ45=2,IF(CY45&lt;$J$152,Main!$L$9,Main!$CI$3)/2,IF(CY45&lt;$J$152,Main!$L$9,Main!$CI$3))*(DAY(CZ45)-DAY(CY45)+1)/DAY(EOMONTH(CY45,0)),0)))))</f>
        <v/>
      </c>
      <c r="DL45" s="461"/>
      <c r="DM45" s="461" t="str">
        <f>IF(CY45="","",IF(AND($CA$3=$CA$1,CY45&lt;=$CT$1),0,IF(Main!$C$26="UGC",0,IF(OR(DQ45=3,DA45=VLOOKUP(DA45,'IN RPS-2015'!$I$2:$J$5,1)),0,ROUND(IF(DQ45=2,VLOOKUP(DB45,IF(CY45&lt;$J$152,$A$154:$E$159,$F$154:$J$159),IF($B$10=VLOOKUP(CX45,$B$2:$G$4,6,TRUE),2,IF($B$10=VLOOKUP(CX45,$B$2:$G$4,6,TRUE),3,IF($D$10=VLOOKUP(CX45,$B$2:$G$4,6,TRUE),4,5))))/2,VLOOKUP(DB45,IF(CY45&lt;$J$152,$A$154:$E$159,$F$154:$J$159),IF($B$10=VLOOKUP(CX45,$B$2:$G$4,6,TRUE),2,IF($B$10=VLOOKUP(CX45,$B$2:$G$4,6,TRUE),3,IF($D$10=VLOOKUP(CX45,$B$2:$G$4,6,TRUE),4,5)))))*(DAY(CZ45)-DAY(CY45)+1)/DAY(EOMONTH(CY45,0)),0)))))</f>
        <v/>
      </c>
      <c r="DN45" s="461">
        <f t="shared" si="76"/>
        <v>0</v>
      </c>
      <c r="DO45" s="464" t="str">
        <f>IF(CY45="","",IF(AND($CA$3=$CA$1,CY45&lt;=$CT$1),0,IF(AND(Main!$F$22=Main!$CA$24,CY45&gt;$CT$1),ROUND(SUM(DB45,DD45)*10%,0),"")))</f>
        <v/>
      </c>
      <c r="DP45" s="464" t="str">
        <f>IF(CX45="","",IF(AND($CA$3=$CA$1,CY45&lt;=$CT$1),0,IF(OR(Main!$H$10=Main!$BH$4,Main!$H$10=Main!$BH$5),0,LOOKUP(DN45*DAY(EOMONTH(CY45,0))/(DAY(CZ45)-DAY(CY45)+1),$H$184:$I$189))))</f>
        <v/>
      </c>
      <c r="DQ45" s="457">
        <f t="shared" si="60"/>
        <v>1</v>
      </c>
      <c r="DR45" s="457">
        <f t="shared" si="77"/>
        <v>0</v>
      </c>
      <c r="DS45" s="457"/>
      <c r="DT45" s="457"/>
      <c r="DU45" s="457"/>
      <c r="DV45" s="461"/>
      <c r="DW45" s="499" t="str">
        <f t="shared" si="61"/>
        <v/>
      </c>
      <c r="DX45" s="500" t="str">
        <f t="shared" si="88"/>
        <v/>
      </c>
      <c r="DY45" s="484" t="str">
        <f>IF(DX45="","",MIN(EOMONTH(DX45,0),VLOOKUP(DX45,'IN RPS-2015'!$O$164:$P$202,2,TRUE)-1,LOOKUP(DX45,$E$47:$F$53)-1,IF(DX45&lt;$B$2,$B$2-1,'IN RPS-2015'!$Q$9),IF(DX45&lt;$B$3,$B$3-1,'IN RPS-2015'!$Q$9),IF(DX45&lt;$B$4,$B$4-1,'IN RPS-2015'!$Q$9),LOOKUP(DX45,$H$47:$I$53)))</f>
        <v/>
      </c>
      <c r="DZ45" s="490" t="str">
        <f>IF(DX45="","",VLOOKUP(DX45,'IN RPS-2015'!$P$164:$AA$202,11))</f>
        <v/>
      </c>
      <c r="EA45" s="461" t="str">
        <f t="shared" si="78"/>
        <v/>
      </c>
      <c r="EB45" s="461" t="str">
        <f>IF(DX45="","",ROUND(IF(EP45=3,0,IF(EP45=2,IF(DZ45=VLOOKUP(DZ45,'IN RPS-2015'!$I$2:$J$5,1),0,Main!$H$9)/2,IF(DZ45=VLOOKUP(DZ45,'IN RPS-2015'!$I$2:$J$5,1),0,Main!$H$9)))*(DAY(DY45)-DAY(DX45)+1)/DAY(EOMONTH(DX45,0)),0))</f>
        <v/>
      </c>
      <c r="EC45" s="461" t="str">
        <f>IF(DX45="","",IF(DZ45=VLOOKUP(DZ45,'IN RPS-2015'!$I$2:$J$5,1),0,ROUND(EA45*VLOOKUP(DX45,$DT$4:$DU$7,2)%,0)))</f>
        <v/>
      </c>
      <c r="ED45" s="461" t="str">
        <f>IF(DX45="","",IF(OR(EP45=3,DZ45=VLOOKUP(DZ45,'IN RPS-2015'!$I$2:$J$5,1)),0,ROUND(MIN(ROUND(DZ45*VLOOKUP(DX45,$B$1:$G$4,2)%,0),VLOOKUP(DX45,$B$2:$I$4,IF($DU$3=$I$29,7,8),TRUE))*(DAY(DY45)-DAY(DX45)+1)/DAY(EOMONTH(DX45,0)),0)))</f>
        <v/>
      </c>
      <c r="EE45" s="491" t="str">
        <f>IF(DX45="","",IF(Main!$C$26="UGC",0,IF(OR(DX45&lt;DATE(2010,4,1),$I$6=VLOOKUP(DX45,$B$2:$G$4,5,TRUE),DZ45=VLOOKUP(DZ45,'IN RPS-2015'!$I$2:$J$5,1)),0,ROUND(IF(EP45=3,0,IF(EP45=2,MIN(ROUND(DZ45*$G$13%,0),IF(DX45&lt;$I$152,$G$14,$G$15))/2,MIN(ROUND(DZ45*$G$13%,0),IF(DX45&lt;$I$152,$G$14,$G$15))))*(DAY(DY45)-DAY(DX45)+1)/DAY(EOMONTH(DX45,0)),0))))</f>
        <v/>
      </c>
      <c r="EF45" s="461" t="str">
        <f>IF(DX45="","",IF(Main!$C$26="UGC",0,IF(DZ45=VLOOKUP(DZ45,'IN RPS-2015'!$I$2:$J$5,1),0,ROUND(EA45*VLOOKUP(DX45,$DT$11:$DU$12,2)%,0))))</f>
        <v/>
      </c>
      <c r="EG45" s="461" t="str">
        <f>IF(DX45="","",IF(Main!$C$26="UGC",0,IF(DX45&lt;DATE(2010,4,1),0,IF(OR(EP45=2,EP45=3,DZ45=VLOOKUP(DZ45,'IN RPS-2015'!$I$2:$J$5,1)),0,ROUND(IF(DX45&lt;$I$152,VLOOKUP(DX45,$B$1:$G$4,4),VLOOKUP(VLOOKUP(DX45,$B$1:$G$4,4),Main!$CE$2:$CF$5,2,FALSE))*(DAY(DY45)-DAY(DX45)+1)/DAY(EOMONTH(DX45,0)),0)))))</f>
        <v/>
      </c>
      <c r="EH45" s="461" t="str">
        <f>IF(DX45="","",IF(OR(EP45=2,EP45=3,$D$31=$D$28,DZ45=VLOOKUP(DZ45,'IN RPS-2015'!$I$2:$J$5,1)),0,ROUND(MIN(IF(DX45&lt;$I$152,900,1350),ROUND(DZ45*VLOOKUP(DW45,$A$27:$C$29,3,TRUE)%,0))*IF(DW45=$A$36,$C$36,IF(DW45=$A$37,$C$37,IF(DW45=$A$38,$C$38,IF(DW45=$A$39,$C$39,IF(DW45=$A$40,$C$40,IF(DW45=$A$41,$C$41,1))))))*(DAY(DY45)-DAY(DX45)+1)/DAY(EOMONTH(DX45,0)),0)))</f>
        <v/>
      </c>
      <c r="EI45" s="461" t="str">
        <f>IF(DX45="","",IF(Main!$C$26="UGC",0,IF(OR(EP45=3,DZ45=VLOOKUP(DZ45,'IN RPS-2015'!$I$2:$J$5,1)),0,ROUND(IF(EP45=2,VLOOKUP(DZ45,IF($DU$3=$I$29,$A$20:$E$23,$F$144:$J$147),IF($B$19=VLOOKUP(DX45,$B$2:$G$4,3,TRUE),2,IF($C$19=VLOOKUP(DX45,$B$2:$G$4,3,TRUE),3,IF($D$19=VLOOKUP(DX45,$B$2:$G$4,3,TRUE),4,5))),TRUE),VLOOKUP(DZ45,IF($DU$3=$I$29,$A$20:$E$23,$F$144:$J$147),IF($B$19=VLOOKUP(DX45,$B$2:$G$4,3,TRUE),2,IF($C$19=VLOOKUP(DX45,$B$2:$G$4,3,TRUE),3,IF($D$19=VLOOKUP(DX45,$B$2:$G$4,3,TRUE),4,5))),TRUE))*(DAY(DY45)-DAY(DX45)+1)/DAY(EOMONTH(DX45,0)),0))))</f>
        <v/>
      </c>
      <c r="EJ45" s="461" t="str">
        <f>IF(DX45="","",IF(Main!$C$26="UGC",0,IF(OR(DW45&lt;DATE(2010,4,1),EP45=3,DZ45=VLOOKUP(DZ45,'IN RPS-2015'!$I$2:$J$5,1)),0,ROUND(IF(EP45=2,IF(DX45&lt;$I$152,Main!$L$9,Main!$CI$3)/2,IF(DX45&lt;$I$152,Main!$L$9,Main!$CI$3))*(DAY(DY45)-DAY(DX45)+1)/DAY(EOMONTH(DX45,0)),0))))</f>
        <v/>
      </c>
      <c r="EK45" s="461"/>
      <c r="EL45" s="461" t="str">
        <f>IF(DX45="","",IF(Main!$C$26="UGC",0,IF(OR(EP45=3,DZ45=VLOOKUP(DZ45,'IN RPS-2015'!$I$2:$J$5,1)),0,ROUND(IF(EP45=2,VLOOKUP(EA45,IF(DX45&lt;$I$152,$A$154:$E$159,$F$154:$J$159),IF($B$10=VLOOKUP(DW45,$B$2:$G$4,6,TRUE),2,IF($B$10=VLOOKUP(DW45,$B$2:$G$4,6,TRUE),3,IF($D$10=VLOOKUP(DW45,$B$2:$G$4,6,TRUE),4,5))))/2,VLOOKUP(EA45,IF(DX45&lt;$I$152,$A$154:$E$159,$F$154:$J$159),IF($B$10=VLOOKUP(DW45,$B$2:$G$4,6,TRUE),2,IF($B$10=VLOOKUP(DW45,$B$2:$G$4,6,TRUE),3,IF($D$10=VLOOKUP(DW45,$B$2:$G$4,6,TRUE),4,5)))))*(DAY(DY45)-DAY(DX45)+1)/DAY(EOMONTH(DX45,0)),0))))</f>
        <v/>
      </c>
      <c r="EM45" s="461">
        <f t="shared" si="79"/>
        <v>0</v>
      </c>
      <c r="EN45" s="464" t="str">
        <f>IF(DX45="","",IF(AND(Main!$F$22=Main!$CA$24,DX45&gt;$EN$1),ROUND(SUM(EA45,EC45)*10%,0),""))</f>
        <v/>
      </c>
      <c r="EO45" s="464" t="str">
        <f>IF(DW45="","",IF(EA45=0,0,IF(OR(Main!$H$10=Main!$BH$4,Main!$H$10=Main!$BH$5),0,LOOKUP(EM45*DAY(EOMONTH(DX45,0))/(DAY(DY45)-DAY(DX45)+1),$H$184:$I$189))))</f>
        <v/>
      </c>
      <c r="EP45" s="457">
        <f t="shared" si="62"/>
        <v>1</v>
      </c>
      <c r="ET45" s="461"/>
      <c r="EU45" s="499" t="str">
        <f t="shared" si="63"/>
        <v/>
      </c>
      <c r="EV45" s="500" t="str">
        <f t="shared" si="89"/>
        <v/>
      </c>
      <c r="EW45" s="484" t="str">
        <f>IF(EV45="","",MIN(EOMONTH(EV45,0),VLOOKUP(EV45,'IN RPS-2015'!$O$164:$P$202,2,TRUE)-1,LOOKUP(EV45,$E$47:$F$53)-1,IF(EV45&lt;$B$2,$B$2-1,'IN RPS-2015'!$Q$9),IF(EV45&lt;$B$3,$B$3-1,'IN RPS-2015'!$Q$9),IF(EV45&lt;$B$4,$B$4-1,'IN RPS-2015'!$Q$9),LOOKUP(EV45,$H$47:$I$53)))</f>
        <v/>
      </c>
      <c r="EX45" s="490" t="str">
        <f>IF(EV45="","",VLOOKUP(EV45,'IN RPS-2015'!$P$164:$AA$202,12))</f>
        <v/>
      </c>
      <c r="EY45" s="461" t="str">
        <f t="shared" si="80"/>
        <v/>
      </c>
      <c r="EZ45" s="461" t="str">
        <f>IF(EV45="","",ROUND(IF(FN45=3,0,IF(FN45=2,IF(EX45=VLOOKUP(EX45,'IN RPS-2015'!$I$2:$J$5,1),0,Main!$H$9)/2,IF(EX45=VLOOKUP(EX45,'IN RPS-2015'!$I$2:$J$5,1),0,Main!$H$9)))*(DAY(EW45)-DAY(EV45)+1)/DAY(EOMONTH(EV45,0)),0))</f>
        <v/>
      </c>
      <c r="FA45" s="461" t="str">
        <f>IF(EV45="","",IF(EX45=VLOOKUP(EX45,'IN RPS-2015'!$I$2:$J$5,1),0,ROUND(EY45*VLOOKUP(EV45,$ER$4:$ES$7,2)%,0)))</f>
        <v/>
      </c>
      <c r="FB45" s="461" t="str">
        <f>IF(EV45="","",IF(OR(FN45=3,EX45=VLOOKUP(EX45,'IN RPS-2015'!$I$2:$J$5,1)),0,ROUND(MIN(ROUND(EX45*VLOOKUP(EV45,$B$1:$G$4,2)%,0),VLOOKUP(EV45,$B$2:$I$4,IF($ES$3=$I$29,7,8),TRUE))*(DAY(EW45)-DAY(EV45)+1)/DAY(EOMONTH(EV45,0)),0)))</f>
        <v/>
      </c>
      <c r="FC45" s="491" t="str">
        <f>IF(EV45="","",IF(Main!$C$26="UGC",0,IF(OR(EV45&lt;DATE(2010,4,1),$I$6=VLOOKUP(EV45,$B$2:$G$4,5,TRUE),EX45=VLOOKUP(EX45,'IN RPS-2015'!$I$2:$J$5,1)),0,ROUND(IF(FN45=3,0,IF(FN45=2,MIN(ROUND(EX45*$G$13%,0),IF(EV45&lt;$J$152,$G$14,$G$15))/2,MIN(ROUND(EX45*$G$13%,0),IF(EV45&lt;$J$152,$G$14,$G$15))))*(DAY(EW45)-DAY(EV45)+1)/DAY(EOMONTH(EV45,0)),0))))</f>
        <v/>
      </c>
      <c r="FD45" s="461" t="str">
        <f>IF(EV45="","",IF(Main!$C$26="UGC",0,IF(EX45=VLOOKUP(EX45,'IN RPS-2015'!$I$2:$J$5,1),0,ROUND(EY45*VLOOKUP(EV45,$ER$11:$ES$12,2)%,0))))</f>
        <v/>
      </c>
      <c r="FE45" s="461" t="str">
        <f>IF(EV45="","",IF(Main!$C$26="UGC",0,IF(EV45&lt;DATE(2010,4,1),0,IF(OR(FN45=2,FN45=3,EX45=VLOOKUP(EX45,'IN RPS-2015'!$I$2:$J$5,1)),0,ROUND(IF(EV45&lt;$J$152,VLOOKUP(EV45,$B$1:$G$4,4),VLOOKUP(VLOOKUP(EV45,$B$1:$G$4,4),Main!$CE$2:$CF$5,2,FALSE))*(DAY(EW45)-DAY(EV45)+1)/DAY(EOMONTH(EV45,0)),0)))))</f>
        <v/>
      </c>
      <c r="FF45" s="461" t="str">
        <f>IF(EV45="","",IF(OR(FN45=2,FN45=3,$D$31=$D$28,EX45=VLOOKUP(EX45,'IN RPS-2015'!$I$2:$J$5,1)),0,ROUND(MIN(VLOOKUP(EU45,$A$27:$C$29,2,TRUE),ROUND(EX45*VLOOKUP(EU45,$A$27:$C$29,3,TRUE)%,0))*IF(EU45=$A$36,$C$36,IF(EU45=$A$37,$C$37,IF(EU45=$A$38,$C$38,IF(EU45=$A$39,$C$39,IF(EU45=$A$40,$C$40,IF(EU45=$A$41,$C$41,1))))))*(DAY(EW45)-DAY(EV45)+1)/DAY(EOMONTH(EV45,0)),0)))</f>
        <v/>
      </c>
      <c r="FG45" s="461" t="str">
        <f>IF(EV45="","",IF(Main!$C$26="UGC",0,IF(OR(FN45=3,EX45=VLOOKUP(EX45,'IN RPS-2015'!$I$2:$J$5,1)),0,ROUND(IF(FN45=2,VLOOKUP(EX45,IF($ES$3=$I$29,$A$20:$E$23,$F$144:$J$147),IF($B$19=VLOOKUP(EV45,$B$2:$G$4,3,TRUE),2,IF($C$19=VLOOKUP(EV45,$B$2:$G$4,3,TRUE),3,IF($D$19=VLOOKUP(EV45,$B$2:$G$4,3,TRUE),4,5))),TRUE),VLOOKUP(EX45,IF($ES$3=$I$29,$A$20:$E$23,$F$144:$J$147),IF($B$19=VLOOKUP(EV45,$B$2:$G$4,3,TRUE),2,IF($C$19=VLOOKUP(EV45,$B$2:$G$4,3,TRUE),3,IF($D$19=VLOOKUP(EV45,$B$2:$G$4,3,TRUE),4,5))),TRUE))*(DAY(EW45)-DAY(EV45)+1)/DAY(EOMONTH(EV45,0)),0))))</f>
        <v/>
      </c>
      <c r="FH45" s="461" t="str">
        <f>IF(EV45="","",IF(Main!$C$26="UGC",0,IF(OR(EU45&lt;DATE(2010,4,1),FN45=3,EX45=VLOOKUP(EX45,'IN RPS-2015'!$I$2:$J$5,1)),0,ROUND(IF(FN45=2,IF(EV45&lt;$J$152,Main!$L$9,Main!$CI$3)/2,IF(EV45&lt;$J$152,Main!$L$9,Main!$CI$3))*(DAY(EW45)-DAY(EV45)+1)/DAY(EOMONTH(EV45,0)),0))))</f>
        <v/>
      </c>
      <c r="FI45" s="461"/>
      <c r="FJ45" s="461" t="str">
        <f>IF(EV45="","",IF(Main!$C$26="UGC",0,IF(OR(FN45=3,EX45=VLOOKUP(EX45,'IN RPS-2015'!$I$2:$J$5,1)),0,ROUND(IF(FN45=2,VLOOKUP(EY45,IF(EV45&lt;$J$152,$A$154:$E$159,$F$154:$J$159),IF($B$10=VLOOKUP(EU45,$B$2:$G$4,6,TRUE),2,IF($B$10=VLOOKUP(EU45,$B$2:$G$4,6,TRUE),3,IF($D$10=VLOOKUP(EU45,$B$2:$G$4,6,TRUE),4,5))))/2,VLOOKUP(EY45,IF(EV45&lt;$J$152,$A$154:$E$159,$F$154:$J$159),IF($B$10=VLOOKUP(EU45,$B$2:$G$4,6,TRUE),2,IF($B$10=VLOOKUP(EU45,$B$2:$G$4,6,TRUE),3,IF($D$10=VLOOKUP(EU45,$B$2:$G$4,6,TRUE),4,5)))))*(DAY(EW45)-DAY(EV45)+1)/DAY(EOMONTH(EV45,0)),0))))</f>
        <v/>
      </c>
      <c r="FK45" s="461">
        <f t="shared" si="81"/>
        <v>0</v>
      </c>
      <c r="FL45" s="464" t="str">
        <f>IF(EV45="","",IF(AND(Main!$F$22=Main!$CA$24,EV45&gt;$FL$1),ROUND(SUM(EY45,FA45)*10%,0),""))</f>
        <v/>
      </c>
      <c r="FM45" s="464" t="str">
        <f>IF(EU45="","",IF(EY45=0,0,IF(OR(Main!$H$10=Main!$BH$4,Main!$H$10=Main!$BH$5),0,LOOKUP(FK45*DAY(EOMONTH(EV45,0))/(DAY(EW45)-DAY(EV45)+1),$H$184:$I$189))))</f>
        <v/>
      </c>
      <c r="FN45" s="457">
        <f t="shared" si="64"/>
        <v>1</v>
      </c>
    </row>
    <row r="46" spans="1:170">
      <c r="A46" s="1127" t="s">
        <v>46</v>
      </c>
      <c r="B46" s="1127"/>
      <c r="C46" s="1127"/>
      <c r="D46" s="1127"/>
      <c r="E46" s="514" t="s">
        <v>1547</v>
      </c>
      <c r="F46" s="514"/>
      <c r="G46" s="514"/>
      <c r="H46" s="514" t="s">
        <v>1548</v>
      </c>
      <c r="I46" s="514"/>
      <c r="AH46" s="461"/>
      <c r="AI46" s="499" t="str">
        <f t="shared" si="54"/>
        <v/>
      </c>
      <c r="AJ46" s="500" t="str">
        <f t="shared" si="84"/>
        <v/>
      </c>
      <c r="AK46" s="484" t="str">
        <f>IF(AJ46="","",MIN(EOMONTH(AJ46,0),VLOOKUP(AJ46,'IN RPS-2015'!$O$164:$P$202,2,TRUE)-1,LOOKUP(AJ46,$E$47:$F$53)-1,IF(AJ46&lt;$B$2,$B$2-1,'IN RPS-2015'!$Q$9),IF(AJ46&lt;$B$3,$B$3-1,'IN RPS-2015'!$Q$9),IF(AJ46&lt;$B$4,$B$4-1,'IN RPS-2015'!$Q$9),LOOKUP(AJ46,$H$47:$I$53)))</f>
        <v/>
      </c>
      <c r="AL46" s="490" t="str">
        <f>IF(AJ46="","",VLOOKUP(AJ46,'IN RPS-2015'!$P$164:$AA$202,9))</f>
        <v/>
      </c>
      <c r="AM46" s="461" t="str">
        <f t="shared" si="66"/>
        <v/>
      </c>
      <c r="AN46" s="461" t="str">
        <f>IF(AJ46="","",IF(AND($AG$3=$AG$1,AJ46&lt;=$AZ$1),0,ROUND(IF(BB46=3,0,IF(BB46=2,IF(AL46=VLOOKUP(AL46,'IN RPS-2015'!$I$2:$J$5,1),0,Main!$H$9)/2,IF(AL46=VLOOKUP(AL46,'IN RPS-2015'!$I$2:$J$5,1),0,Main!$H$9)))*(DAY(AK46)-DAY(AJ46)+1)/DAY(EOMONTH(AJ46,0)),0)))</f>
        <v/>
      </c>
      <c r="AO46" s="461" t="str">
        <f>IF(AJ46="","",IF(AND($AG$3=$AG$1,AJ46&lt;=$AZ$1),0,IF(AL46=VLOOKUP(AL46,'IN RPS-2015'!$I$2:$J$5,1),0,ROUND(AM46*VLOOKUP(AJ46,$AF$4:$AG$7,2)%,0))))</f>
        <v/>
      </c>
      <c r="AP46" s="461" t="str">
        <f>IF(AJ46="","",IF(AND($AG$3=$AG$1,AJ46&lt;=$AZ$1),0,IF(OR(BB46=3,AL46=VLOOKUP(AL46,'IN RPS-2015'!$I$2:$J$5,1)),0,ROUND(MIN(ROUND(AL46*VLOOKUP(AJ46,$B$1:$G$4,2)%,0),VLOOKUP(AJ46,$B$2:$I$4,IF($AG$3=$I$29,7,8),TRUE))*(DAY(AK46)-DAY(AJ46)+1)/DAY(EOMONTH(AJ46,0)),0))))</f>
        <v/>
      </c>
      <c r="AQ46" s="491" t="str">
        <f>IF(AJ46="","",IF(AND($AG$3=$AG$1,AJ46&lt;=$AZ$1),0,IF(Main!$C$26="UGC",0,IF(OR(AJ46&lt;DATE(2010,4,1),$I$6=VLOOKUP(AJ46,$B$2:$G$4,5,TRUE),AL46=VLOOKUP(AL46,'IN RPS-2015'!$I$2:$J$5,1)),0,ROUND(IF(BB46=3,0,IF(BB46=2,MIN(ROUND(AL46*$G$13%,0),IF(AJ46&lt;$J$152,$G$14,$G$15))/2,MIN(ROUND(AL46*$G$13%,0),IF(AJ46&lt;$J$152,$G$14,$G$15))))*(DAY(AK46)-DAY(AJ46)+1)/DAY(EOMONTH(AJ46,0)),0)))))</f>
        <v/>
      </c>
      <c r="AR46" s="461" t="str">
        <f>IF(AJ46="","",IF(AND($AG$3=$AG$1,AJ46&lt;=$AZ$1),0,IF(Main!$C$26="UGC",0,IF(AL46=VLOOKUP(AL46,'IN RPS-2015'!$I$2:$J$5,1),0,ROUND(AM46*VLOOKUP(AJ46,$AF$11:$AG$12,2)%,0)))))</f>
        <v/>
      </c>
      <c r="AS46" s="461" t="str">
        <f>IF(AJ46="","",IF(AND($AG$3=$AG$1,AJ46&lt;=$AZ$1),0,IF(Main!$C$26="UGC",0,IF(AJ46&lt;DATE(2010,4,1),0,IF(OR(BB46=2,BB46=3,AL46=VLOOKUP(AL46,'IN RPS-2015'!$I$2:$J$5,1)),0,ROUND(IF(AJ46&lt;$J$152,VLOOKUP(AJ46,$B$1:$G$4,4),VLOOKUP(VLOOKUP(AJ46,$B$1:$G$4,4),Main!$CE$2:$CF$5,2,FALSE))*(DAY(AK46)-DAY(AJ46)+1)/DAY(EOMONTH(AJ46,0)),0))))))</f>
        <v/>
      </c>
      <c r="AT46" s="461" t="str">
        <f>IF(AJ46="","",IF(AND($AG$3=$AG$1,AJ46&lt;=$AZ$1),0,IF(OR(BB46=2,BB46=3,$D$31=$D$28,AL46=VLOOKUP(AL46,'IN RPS-2015'!$I$2:$J$5,1)),0,ROUND(MIN(VLOOKUP(AI46,$A$27:$C$29,2,TRUE),ROUND(AL46*VLOOKUP(AI46,$A$27:$C$29,3,TRUE)%,0))*IF(AI46=$A$36,$C$36,IF(AI46=$A$37,$C$37,IF(AI46=$A$38,$C$38,IF(AI46=$A$39,$C$39,IF(AI46=$A$40,$C$40,IF(AI46=$A$41,$C$41,1))))))*(DAY(AK46)-DAY(AJ46)+1)/DAY(EOMONTH(AJ46,0)),0))))</f>
        <v/>
      </c>
      <c r="AU46" s="461" t="str">
        <f>IF(AJ46="","",IF(AND($AG$3=$AG$1,AJ46&lt;=$AZ$1),0,IF(Main!$C$26="UGC",0,IF(OR(BB46=3,AL46=VLOOKUP(AL46,'IN RPS-2015'!$I$2:$J$5,1)),0,ROUND(IF(BB46=2,VLOOKUP(AL46,IF($AG$3=$I$29,$A$20:$E$23,$F$144:$J$147),IF($B$19=VLOOKUP(AJ46,$B$2:$G$4,3,TRUE),2,IF($C$19=VLOOKUP(AJ46,$B$2:$G$4,3,TRUE),3,IF($D$19=VLOOKUP(AJ46,$B$2:$G$4,3,TRUE),4,5))),TRUE),VLOOKUP(AL46,IF($AG$3=$I$29,$A$20:$E$23,$F$144:$J$147),IF($B$19=VLOOKUP(AJ46,$B$2:$G$4,3,TRUE),2,IF($C$19=VLOOKUP(AJ46,$B$2:$G$4,3,TRUE),3,IF($D$19=VLOOKUP(AJ46,$B$2:$G$4,3,TRUE),4,5))),TRUE))*(DAY(AK46)-DAY(AJ46)+1)/DAY(EOMONTH(AJ46,0)),0)))))</f>
        <v/>
      </c>
      <c r="AV46" s="461" t="str">
        <f>IF(AJ46="","",IF(AND($AG$3=$AG$1,AJ46&lt;=$AZ$1),0,IF(Main!$C$26="UGC",0,IF(OR(AI46&lt;DATE(2010,4,1),BB46=3,AL46=VLOOKUP(AL46,'IN RPS-2015'!$I$2:$J$5,1)),0,ROUND(IF(BB46=2,IF(AJ46&lt;$J$152,Main!$L$9,Main!$CI$3)/2,IF(AJ46&lt;$J$152,Main!$L$9,Main!$CI$3))*(DAY(AK46)-DAY(AJ46)+1)/DAY(EOMONTH(AJ46,0)),0)))))</f>
        <v/>
      </c>
      <c r="AW46" s="461"/>
      <c r="AX46" s="461" t="str">
        <f>IF(AJ46="","",IF(AND($AG$3=$AG$1,AJ46&lt;=$AZ$1),0,IF(Main!$C$26="UGC",0,IF(OR(BB46=3,AL46=VLOOKUP(AL46,'IN RPS-2015'!$I$2:$J$5,1)),0,ROUND(IF(BB46=2,VLOOKUP(AM46,IF(AJ46&lt;$J$152,$A$154:$E$159,$F$154:$J$159),IF($B$10=VLOOKUP(AI46,$B$2:$G$4,6,TRUE),2,IF($B$10=VLOOKUP(AI46,$B$2:$G$4,6,TRUE),3,IF($D$10=VLOOKUP(AI46,$B$2:$G$4,6,TRUE),4,5))))/2,VLOOKUP(AM46,IF(AJ46&lt;$J$152,$A$154:$E$159,$F$154:$J$159),IF($B$10=VLOOKUP(AI46,$B$2:$G$4,6,TRUE),2,IF($B$10=VLOOKUP(AI46,$B$2:$G$4,6,TRUE),3,IF($D$10=VLOOKUP(AI46,$B$2:$G$4,6,TRUE),4,5)))))*(DAY(AK46)-DAY(AJ46)+1)/DAY(EOMONTH(AJ46,0)),0)))))</f>
        <v/>
      </c>
      <c r="AY46" s="461">
        <f t="shared" si="67"/>
        <v>0</v>
      </c>
      <c r="AZ46" s="464" t="str">
        <f>IF(AJ46="","",IF(AND($AG$3=$AG$1,AJ46&lt;=$AZ$1),0,IF(AND(Main!$F$22=Main!$CA$24,AJ46&gt;$AZ$1),ROUND(SUM(AM46,AO46)*10%,0),"")))</f>
        <v/>
      </c>
      <c r="BA46" s="464" t="str">
        <f>IF(AI46="","",IF(AND($AG$3=$AG$1,AJ46&lt;=$AZ$1),0,IF(OR(Main!$H$10=Main!$BH$4,Main!$H$10=Main!$BH$5),0,LOOKUP(AY46*DAY(EOMONTH(AJ46,0))/(DAY(AK46)-DAY(AJ46)+1),$H$184:$I$189))))</f>
        <v/>
      </c>
      <c r="BB46" s="497">
        <f t="shared" si="55"/>
        <v>1</v>
      </c>
      <c r="BC46" s="464"/>
      <c r="BD46" s="501" t="str">
        <f t="shared" si="56"/>
        <v/>
      </c>
      <c r="BE46" s="502" t="str">
        <f t="shared" si="85"/>
        <v/>
      </c>
      <c r="BF46" s="484" t="str">
        <f>IF(BE46="","",MIN(EOMONTH(BE46,0),VLOOKUP(BE46,'IN RPS-2015'!$O$164:$P$202,2,TRUE)-1,LOOKUP(BE46,$E$47:$F$53)-1,IF(BE46&lt;$B$2,$B$2-1,'IN RPS-2015'!$Q$9),IF(BE46&lt;$B$3,$B$3-1,'IN RPS-2015'!$Q$9),IF(BE46&lt;$B$4,$B$4-1,'IN RPS-2015'!$Q$9),LOOKUP(BE46,$H$47:$I$53)))</f>
        <v/>
      </c>
      <c r="BG46" s="493" t="str">
        <f>IF(BE46="","",VLOOKUP(BE46,'IN RPS-2015'!$P$164:$AA$202,10))</f>
        <v/>
      </c>
      <c r="BH46" s="461" t="str">
        <f t="shared" si="68"/>
        <v/>
      </c>
      <c r="BI46" s="461" t="str">
        <f>IF(BE46="","",IF(AND($AG$3=$AG$1,BE46&lt;=$AZ$1),0,ROUND(IF(BW46=3,0,IF(BW46=2,IF(BG46=VLOOKUP(BG46,'IN RPS-2015'!$I$2:$J$5,1),0,Main!$H$9)/2,IF(BG46=VLOOKUP(BG46,'IN RPS-2015'!$I$2:$J$5,1),0,Main!$H$9)))*(DAY(BF46)-DAY(BE46)+1)/DAY(EOMONTH(BE46,0)),0)))</f>
        <v/>
      </c>
      <c r="BJ46" s="461" t="str">
        <f>IF(BE46="","",IF(AND($AG$3=$AG$1,BE46&lt;=$AZ$1),0,IF(BG46=VLOOKUP(BG46,'IN RPS-2015'!$I$2:$J$5,1),0,ROUND(BH46*VLOOKUP(BE46,$AF$4:$AG$7,2)%,0))))</f>
        <v/>
      </c>
      <c r="BK46" s="461" t="str">
        <f>IF(BE46="","",IF(AND($AG$3=$AG$1,BE46&lt;=$AZ$1),0,IF(OR(BW46=3,BG46=VLOOKUP(BG46,'IN RPS-2015'!$I$2:$J$5,1)),0,ROUND(MIN(ROUND(BG46*VLOOKUP(BE46,$B$1:$G$4,2)%,0),VLOOKUP(BE46,$B$2:$I$4,IF($AG$3=$I$29,7,8),TRUE))*(DAY(BF46)-DAY(BE46)+1)/DAY(EOMONTH(BE46,0)),0))))</f>
        <v/>
      </c>
      <c r="BL46" s="491" t="str">
        <f>IF(BE46="","",IF(AND($AG$3=$AG$1,BE46&lt;=$AZ$1),0,IF(Main!$C$26="UGC",0,IF(OR(BE46&lt;DATE(2010,4,1),$I$6=VLOOKUP(BE46,$B$2:$G$4,5,TRUE),BG46=VLOOKUP(BG46,'IN RPS-2015'!$I$2:$J$5,1)),0,ROUND(IF(BW46=3,0,IF(BW46=2,MIN(ROUND(BG46*$G$13%,0),IF(BE46&lt;$J$152,$G$14,$G$15))/2,MIN(ROUND(BG46*$G$13%,0),IF(BE46&lt;$J$152,$G$14,$G$15))))*(DAY(BF46)-DAY(BE46)+1)/DAY(EOMONTH(BE46,0)),0)))))</f>
        <v/>
      </c>
      <c r="BM46" s="461" t="str">
        <f>IF(BE46="","",IF(AND($AG$3=$AG$1,BE46&lt;=$AZ$1),0,IF(Main!$C$26="UGC",0,IF(BG46=VLOOKUP(BG46,'IN RPS-2015'!$I$2:$J$5,1),0,ROUND(BH46*VLOOKUP(BE46,$AF$11:$AG$12,2)%,0)))))</f>
        <v/>
      </c>
      <c r="BN46" s="461" t="str">
        <f>IF(BE46="","",IF(AND($AG$3=$AG$1,BE46&lt;=$AZ$1),0,IF(Main!$C$26="UGC",0,IF(BE46&lt;DATE(2010,4,1),0,IF(OR(BW46=2,BW46=3,BG46=VLOOKUP(BG46,'IN RPS-2015'!$I$2:$J$5,1)),0,ROUND(IF(BE46&lt;$J$152,VLOOKUP(BE46,$B$1:$G$4,4),VLOOKUP(VLOOKUP(BE46,$B$1:$G$4,4),Main!$CE$2:$CF$5,2,FALSE))*(DAY(BF46)-DAY(BE46)+1)/DAY(EOMONTH(BE46,0)),0))))))</f>
        <v/>
      </c>
      <c r="BO46" s="461" t="str">
        <f>IF(BE46="","",IF(AND($AG$3=$AG$1,BE46&lt;=$AZ$1),0,IF(OR(BW46=2,BW46=3,$D$31=$D$28,BG46=VLOOKUP(BG46,'IN RPS-2015'!$I$2:$J$5,1)),0,ROUND(MIN(VLOOKUP(BD46,$A$27:$C$29,2,TRUE),ROUND(BG46*VLOOKUP(BD46,$A$27:$C$29,3,TRUE)%,0))*IF(BD46=$A$36,$C$36,IF(BD46=$A$37,$C$37,IF(BD46=$A$38,$C$38,IF(BD46=$A$39,$C$39,IF(BD46=$A$40,$C$40,IF(BD46=$A$41,$C$41,1))))))*(DAY(BF46)-DAY(BE46)+1)/DAY(EOMONTH(BE46,0)),0))))</f>
        <v/>
      </c>
      <c r="BP46" s="461" t="str">
        <f>IF(BE46="","",IF(AND($AG$3=$AG$1,BE46&lt;=$AZ$1),0,IF(Main!$C$26="UGC",0,IF(OR(BW46=3,BG46=VLOOKUP(BG46,'IN RPS-2015'!$I$2:$J$5,1)),0,ROUND(IF(BW46=2,VLOOKUP(BG46,IF($AG$3=$I$29,$A$20:$E$23,$F$144:$J$147),IF($B$19=VLOOKUP(BE46,$B$2:$G$4,3,TRUE),2,IF($C$19=VLOOKUP(BE46,$B$2:$G$4,3,TRUE),3,IF($D$19=VLOOKUP(BE46,$B$2:$G$4,3,TRUE),4,5))),TRUE),VLOOKUP(BG46,IF($AG$3=$I$29,$A$20:$E$23,$F$144:$J$147),IF($B$19=VLOOKUP(BE46,$B$2:$G$4,3,TRUE),2,IF($C$19=VLOOKUP(BE46,$B$2:$G$4,3,TRUE),3,IF($D$19=VLOOKUP(BE46,$B$2:$G$4,3,TRUE),4,5))),TRUE))*(DAY(BF46)-DAY(BE46)+1)/DAY(EOMONTH(BE46,0)),0)))))</f>
        <v/>
      </c>
      <c r="BQ46" s="461" t="str">
        <f>IF(BE46="","",IF(AND($AG$3=$AG$1,BE46&lt;=$AZ$1),0,IF(Main!$C$26="UGC",0,IF(OR(BD46&lt;DATE(2010,4,1),BW46=3,BG46=VLOOKUP(BG46,'IN RPS-2015'!$I$2:$J$5,1)),0,ROUND(IF(BW46=2,IF(BE46&lt;$J$152,Main!$L$9,Main!$CI$3)/2,IF(BE46&lt;$J$152,Main!$L$9,Main!$CI$3))*(DAY(BF46)-DAY(BE46)+1)/DAY(EOMONTH(BE46,0)),0)))))</f>
        <v/>
      </c>
      <c r="BR46" s="461"/>
      <c r="BS46" s="461" t="str">
        <f>IF(BE46="","",IF(AND($AG$3=$AG$1,BE46&lt;=$AZ$1),0,IF(Main!$C$26="UGC",0,IF(OR(BW46=3,BG46=VLOOKUP(BG46,'IN RPS-2015'!$I$2:$J$5,1)),0,ROUND(IF(BW46=2,VLOOKUP(BH46,IF(BE46&lt;$J$152,$A$154:$E$159,$F$154:$J$159),IF($B$10=VLOOKUP(BD46,$B$2:$G$4,6,TRUE),2,IF($B$10=VLOOKUP(BD46,$B$2:$G$4,6,TRUE),3,IF($D$10=VLOOKUP(BD46,$B$2:$G$4,6,TRUE),4,5))))/2,VLOOKUP(BH46,IF(BE46&lt;$J$152,$A$154:$E$159,$F$154:$J$159),IF($B$10=VLOOKUP(BD46,$B$2:$G$4,6,TRUE),2,IF($B$10=VLOOKUP(BD46,$B$2:$G$4,6,TRUE),3,IF($D$10=VLOOKUP(BD46,$B$2:$G$4,6,TRUE),4,5)))))*(DAY(BF46)-DAY(BE46)+1)/DAY(EOMONTH(BE46,0)),0)))))</f>
        <v/>
      </c>
      <c r="BT46" s="461">
        <f t="shared" si="69"/>
        <v>0</v>
      </c>
      <c r="BU46" s="464" t="str">
        <f>IF(BE46="","",IF(AND($AG$3=$AG$1,BE46&lt;=$AZ$1),0,IF(AND(Main!$F$22=Main!$CA$24,BE46&gt;$AZ$1),ROUND(SUM(BH46,BJ46)*10%,0),"")))</f>
        <v/>
      </c>
      <c r="BV46" s="464" t="str">
        <f>IF(BD46="","",IF(AND($AG$3=$AG$1,BE46&lt;=$AZ$1),0,IF(OR(Main!$H$10=Main!$BH$4,Main!$H$10=Main!$BH$5),0,LOOKUP(BT46*DAY(EOMONTH(BE46,0))/(DAY(BF46)-DAY(BE46)+1),$H$184:$I$189))))</f>
        <v/>
      </c>
      <c r="BW46" s="503">
        <f t="shared" si="70"/>
        <v>1</v>
      </c>
      <c r="BX46" s="457">
        <f t="shared" si="90"/>
        <v>0</v>
      </c>
      <c r="BY46" s="457"/>
      <c r="BZ46" s="457"/>
      <c r="CA46" s="457"/>
      <c r="CB46" s="461"/>
      <c r="CC46" s="499" t="str">
        <f t="shared" si="57"/>
        <v/>
      </c>
      <c r="CD46" s="500" t="str">
        <f t="shared" si="86"/>
        <v/>
      </c>
      <c r="CE46" s="484" t="str">
        <f>IF(CD46="","",MIN(EOMONTH(CD46,0),VLOOKUP(CD46,'IN RPS-2015'!$O$164:$P$202,2,TRUE)-1,LOOKUP(CD46,$E$47:$F$53)-1,IF(CD46&lt;$B$2,$B$2-1,'IN RPS-2015'!$Q$9),IF(CD46&lt;$B$3,$B$3-1,'IN RPS-2015'!$Q$9),IF(CD46&lt;$B$4,$B$4-1,'IN RPS-2015'!$Q$9),LOOKUP(CD46,$H$47:$I$53)))</f>
        <v/>
      </c>
      <c r="CF46" s="490" t="str">
        <f>IF(CD46="","",VLOOKUP(CD46,'IN RPS-2015'!$T$207:$Y$222,5))</f>
        <v/>
      </c>
      <c r="CG46" s="461" t="str">
        <f t="shared" si="72"/>
        <v/>
      </c>
      <c r="CH46" s="461" t="str">
        <f>IF(CD46="","",IF(AND($CA$3=$CA$1,CD46&lt;=$CT$1),0,ROUND(IF(CV46=3,0,IF(CV46=2,IF(CF46=VLOOKUP(CF46,'IN RPS-2015'!$I$2:$J$5,1),0,Main!$H$9)/2,IF(CF46=VLOOKUP(CF46,'IN RPS-2015'!$I$2:$J$5,1),0,Main!$H$9)))*(DAY(CE46)-DAY(CD46)+1)/DAY(EOMONTH(CD46,0)),0)))</f>
        <v/>
      </c>
      <c r="CI46" s="461" t="str">
        <f>IF(CD46="","",IF(AND($CA$3=$CA$1,CD46&lt;=$CT$1),0,IF(CF46=VLOOKUP(CF46,'IN RPS-2015'!$I$2:$J$5,1),0,ROUND(CG46*VLOOKUP(CD46,$BZ$4:$CA$7,2)%,0))))</f>
        <v/>
      </c>
      <c r="CJ46" s="461" t="str">
        <f>IF(CD46="","",IF(AND($CA$3=$CA$1,CD46&lt;=$CT$1),0,IF(OR(CV46=3,CF46=VLOOKUP(CF46,'IN RPS-2015'!$I$2:$J$5,1)),0,ROUND(MIN(ROUND(CF46*VLOOKUP(CD46,$B$1:$G$4,2)%,0),VLOOKUP(CD46,$B$2:$I$4,IF($CA$3=$I$29,7,8),TRUE))*(DAY(CE46)-DAY(CD46)+1)/DAY(EOMONTH(CD46,0)),0))))</f>
        <v/>
      </c>
      <c r="CK46" s="491" t="str">
        <f>IF(CD46="","",IF(AND($CA$3=$CA$1,CD46&lt;=$CT$1),0,IF(Main!$C$26="UGC",0,IF(OR(CD46&lt;DATE(2010,4,1),$I$6=VLOOKUP(CD46,$B$2:$G$4,5,TRUE),CF46=VLOOKUP(CF46,'IN RPS-2015'!$I$2:$J$5,1)),0,ROUND(IF(CV46=3,0,IF(CV46=2,MIN(ROUND(CF46*$G$13%,0),IF(CD46&lt;$J$152,$G$14,$G$15))/2,MIN(ROUND(CF46*$G$13%,0),IF(CD46&lt;$J$152,$G$14,$G$15))))*(DAY(CE46)-DAY(CD46)+1)/DAY(EOMONTH(CD46,0)),0)))))</f>
        <v/>
      </c>
      <c r="CL46" s="461" t="str">
        <f>IF(CD46="","",IF(AND($CA$3=$CA$1,CD46&lt;=$CT$1),0,IF(Main!$C$26="UGC",0,IF(CF46=VLOOKUP(CF46,'IN RPS-2015'!$I$2:$J$5,1),0,ROUND(CG46*VLOOKUP(CD46,$BZ$11:$CA$12,2)%,0)))))</f>
        <v/>
      </c>
      <c r="CM46" s="461" t="str">
        <f>IF(CD46="","",IF(AND($CA$3=$CA$1,CD46&lt;=$CT$1),0,IF(Main!$C$26="UGC",0,IF(CD46&lt;DATE(2010,4,1),0,IF(OR(CV46=2,CV46=3,CF46=VLOOKUP(CF46,'IN RPS-2015'!$I$2:$J$5,1)),0,ROUND(IF(CD46&lt;$J$152,VLOOKUP(CD46,$B$1:$G$4,4),VLOOKUP(VLOOKUP(CD46,$B$1:$G$4,4),Main!$CE$2:$CF$5,2,FALSE))*(DAY(CE46)-DAY(CD46)+1)/DAY(EOMONTH(CD46,0)),0))))))</f>
        <v/>
      </c>
      <c r="CN46" s="461" t="str">
        <f>IF(CD46="","",IF(AND($CA$3=$CA$1,CD46&lt;=$CT$1),0,IF(OR(CV46=2,CV46=3,$D$31=$D$28,CF46=VLOOKUP(CF46,'IN RPS-2015'!$I$2:$J$5,1)),0,ROUND(MIN(VLOOKUP(CC46,$A$27:$C$29,2,TRUE),ROUND(CF46*VLOOKUP(CC46,$A$27:$C$29,3,TRUE)%,0))*IF(CC46=$A$36,$C$36,IF(CC46=$A$37,$C$37,IF(CC46=$A$38,$C$38,IF(CC46=$A$39,$C$39,IF(CC46=$A$40,$C$40,IF(CC46=$A$41,$C$41,1))))))*(DAY(CE46)-DAY(CD46)+1)/DAY(EOMONTH(CD46,0)),0))))</f>
        <v/>
      </c>
      <c r="CO46" s="461" t="str">
        <f>IF(CD46="","",IF(AND($CA$3=$CA$1,CD46&lt;=$CT$1),0,IF(Main!$C$26="UGC",0,IF(OR(CV46=3,CF46=VLOOKUP(CF46,'IN RPS-2015'!$I$2:$J$5,1)),0,ROUND(IF(CV46=2,VLOOKUP(CF46,IF($CA$3=$I$29,$A$20:$E$23,$F$144:$J$147),IF($B$19=VLOOKUP(CD46,$B$2:$G$4,3,TRUE),2,IF($C$19=VLOOKUP(CD46,$B$2:$G$4,3,TRUE),3,IF($D$19=VLOOKUP(CD46,$B$2:$G$4,3,TRUE),4,5))),TRUE),VLOOKUP(CF46,IF($CA$3=$I$29,$A$20:$E$23,$F$144:$J$147),IF($B$19=VLOOKUP(CD46,$B$2:$G$4,3,TRUE),2,IF($C$19=VLOOKUP(CD46,$B$2:$G$4,3,TRUE),3,IF($D$19=VLOOKUP(CD46,$B$2:$G$4,3,TRUE),4,5))),TRUE))*(DAY(CE46)-DAY(CD46)+1)/DAY(EOMONTH(CD46,0)),0)))))</f>
        <v/>
      </c>
      <c r="CP46" s="461" t="str">
        <f>IF(CD46="","",IF(AND($CA$3=$CA$1,CD46&lt;=$CT$1),0,IF(Main!$C$26="UGC",0,IF(OR(CC46&lt;DATE(2010,4,1),CV46=3,CF46=VLOOKUP(CF46,'IN RPS-2015'!$I$2:$J$5,1)),0,ROUND(IF(CV46=2,IF(CD46&lt;$J$152,Main!$L$9,Main!$CI$3)/2,IF(CD46&lt;$J$152,Main!$L$9,Main!$CI$3))*(DAY(CE46)-DAY(CD46)+1)/DAY(EOMONTH(CD46,0)),0)))))</f>
        <v/>
      </c>
      <c r="CQ46" s="461"/>
      <c r="CR46" s="461" t="str">
        <f>IF(CD46="","",IF(AND($CA$3=$CA$1,CD46&lt;=$CT$1),0,IF(Main!$C$26="UGC",0,IF(OR(CV46=3,CF46=VLOOKUP(CF46,'IN RPS-2015'!$I$2:$J$5,1)),0,ROUND(IF(CV46=2,VLOOKUP(CG46,IF(CD46&lt;$J$152,$A$154:$E$159,$F$154:$J$159),IF($B$10=VLOOKUP(CC46,$B$2:$G$4,6,TRUE),2,IF($B$10=VLOOKUP(CC46,$B$2:$G$4,6,TRUE),3,IF($D$10=VLOOKUP(CC46,$B$2:$G$4,6,TRUE),4,5))))/2,VLOOKUP(CG46,IF(CD46&lt;$J$152,$A$154:$E$159,$F$154:$J$159),IF($B$10=VLOOKUP(CC46,$B$2:$G$4,6,TRUE),2,IF($B$10=VLOOKUP(CC46,$B$2:$G$4,6,TRUE),3,IF($D$10=VLOOKUP(CC46,$B$2:$G$4,6,TRUE),4,5)))))*(DAY(CE46)-DAY(CD46)+1)/DAY(EOMONTH(CD46,0)),0)))))</f>
        <v/>
      </c>
      <c r="CS46" s="461">
        <f t="shared" si="73"/>
        <v>0</v>
      </c>
      <c r="CT46" s="464" t="str">
        <f>IF(CD46="","",IF(AND($CA$3=$CA$1,CD46&lt;=$CT$1),0,IF(AND(Main!$F$22=Main!$CA$24,CD46&gt;$CT$1),ROUND(SUM(CG46,CI46)*10%,0),"")))</f>
        <v/>
      </c>
      <c r="CU46" s="464" t="str">
        <f>IF(CC46="","",IF(CG46=0,0,IF(OR(Main!$H$10=Main!$BH$4,Main!$H$10=Main!$BH$5),0,LOOKUP(CS46*DAY(EOMONTH(CD46,0))/(DAY(CE46)-DAY(CD46)+1),$H$184:$I$189))))</f>
        <v/>
      </c>
      <c r="CV46" s="457">
        <f t="shared" si="74"/>
        <v>1</v>
      </c>
      <c r="CW46" s="464"/>
      <c r="CX46" s="501" t="str">
        <f t="shared" si="59"/>
        <v/>
      </c>
      <c r="CY46" s="502" t="str">
        <f t="shared" si="87"/>
        <v/>
      </c>
      <c r="CZ46" s="484" t="str">
        <f>IF(CY46="","",MIN(EOMONTH(CY46,0),VLOOKUP(CY46,'IN RPS-2015'!$O$164:$P$202,2,TRUE)-1,LOOKUP(CY46,$E$47:$F$53)-1,IF(CY46&lt;$B$2,$B$2-1,'IN RPS-2015'!$Q$9),IF(CY46&lt;$B$3,$B$3-1,'IN RPS-2015'!$Q$9),IF(CY46&lt;$B$4,$B$4-1,'IN RPS-2015'!$Q$9),LOOKUP(CY46,$H$47:$I$53)))</f>
        <v/>
      </c>
      <c r="DA46" s="493" t="str">
        <f>IF(CY46="","",VLOOKUP(CY46,'IN RPS-2015'!$T$207:$Y$222,6))</f>
        <v/>
      </c>
      <c r="DB46" s="461" t="str">
        <f t="shared" si="75"/>
        <v/>
      </c>
      <c r="DC46" s="461" t="str">
        <f>IF(CY46="","",IF(AND($CA$3=$CA$1,CY46&lt;=$CT$1),0,ROUND(IF(DQ46=3,0,IF(DQ46=2,IF(DA46=VLOOKUP(DA46,'IN RPS-2015'!$I$2:$J$5,1),0,Main!$H$9)/2,IF(DA46=VLOOKUP(DA46,'IN RPS-2015'!$I$2:$J$5,1),0,Main!$H$9)))*(DAY(CZ46)-DAY(CY46)+1)/DAY(EOMONTH(CY46,0)),0)))</f>
        <v/>
      </c>
      <c r="DD46" s="461" t="str">
        <f>IF(CY46="","",IF(AND($CA$3=$CA$1,CY46&lt;=$CT$1),0,IF(DA46=VLOOKUP(DA46,'IN RPS-2015'!$I$2:$J$5,1),0,ROUND(DB46*VLOOKUP(CY46,$BZ$4:$CA$7,2)%,0))))</f>
        <v/>
      </c>
      <c r="DE46" s="461" t="str">
        <f>IF(CY46="","",IF(AND($CA$3=$CA$1,CY46&lt;=$CT$1),0,IF(OR(DQ46=3,DA46=VLOOKUP(DA46,'IN RPS-2015'!$I$2:$J$5,1)),0,ROUND(MIN(ROUND(DA46*VLOOKUP(CY46,$B$1:$G$4,2)%,0),VLOOKUP(CY46,$B$2:$I$4,IF($CA$3=$I$29,7,8),TRUE))*(DAY(CZ46)-DAY(CY46)+1)/DAY(EOMONTH(CY46,0)),0))))</f>
        <v/>
      </c>
      <c r="DF46" s="491" t="str">
        <f>IF(CY46="","",IF(AND($CA$3=$CA$1,CY46&lt;=$CT$1),0,IF(Main!$C$26="UGC",0,IF(OR(CY46&lt;DATE(2010,4,1),$I$6=VLOOKUP(CY46,$B$2:$G$4,5,TRUE),DA46=VLOOKUP(DA46,'IN RPS-2015'!$I$2:$J$5,1)),0,ROUND(IF(DQ46=3,0,IF(DQ46=2,MIN(ROUND(DA46*$G$13%,0),IF(CY46&lt;$J$152,$G$14,$G$15))/2,MIN(ROUND(DA46*$G$13%,0),IF(CY46&lt;$J$152,$G$14,$G$15))))*(DAY(CZ46)-DAY(CY46)+1)/DAY(EOMONTH(CY46,0)),0)))))</f>
        <v/>
      </c>
      <c r="DG46" s="461" t="str">
        <f>IF(CY46="","",IF(AND($CA$3=$CA$1,CY46&lt;=$CT$1),0,IF(Main!$C$26="UGC",0,IF(DA46=VLOOKUP(DA46,'IN RPS-2015'!$I$2:$J$5,1),0,ROUND(DB46*VLOOKUP(CY46,$BZ$11:$CA$12,2)%,0)))))</f>
        <v/>
      </c>
      <c r="DH46" s="461" t="str">
        <f>IF(CY46="","",IF(AND($CA$3=$CA$1,CY46&lt;=$CT$1),0,IF(Main!$C$26="UGC",0,IF(CY46&lt;DATE(2010,4,1),0,IF(OR(DQ46=2,DQ46=3,DA46=VLOOKUP(DA46,'IN RPS-2015'!$I$2:$J$5,1)),0,ROUND(IF(CY46&lt;$J$152,VLOOKUP(CY46,$B$1:$G$4,4),VLOOKUP(VLOOKUP(CY46,$B$1:$G$4,4),Main!$CE$2:$CF$5,2,FALSE))*(DAY(CZ46)-DAY(CY46)+1)/DAY(EOMONTH(CY46,0)),0))))))</f>
        <v/>
      </c>
      <c r="DI46" s="461" t="str">
        <f>IF(CY46="","",IF(AND($CA$3=$CA$1,CY46&lt;=$CT$1),0,IF(OR(DQ46=2,DQ46=3,$D$31=$D$28,DA46=VLOOKUP(DA46,'IN RPS-2015'!$I$2:$J$5,1)),0,ROUND(MIN(VLOOKUP(CX46,$A$27:$C$29,2,TRUE),ROUND(DA46*VLOOKUP(CX46,$A$27:$C$29,3,TRUE)%,0))*IF(CX46=$A$36,$C$36,IF(CX46=$A$37,$C$37,IF(CX46=$A$38,$C$38,IF(CX46=$A$39,$C$39,IF(CX46=$A$40,$C$40,IF(CX46=$A$41,$C$41,1))))))*(DAY(CZ46)-DAY(CY46)+1)/DAY(EOMONTH(CY46,0)),0))))</f>
        <v/>
      </c>
      <c r="DJ46" s="461" t="str">
        <f>IF(CY46="","",IF(AND($CA$3=$CA$1,CY46&lt;=$CT$1),0,IF(Main!$C$26="UGC",0,IF(OR(DQ46=3,DA46=VLOOKUP(DA46,'IN RPS-2015'!$I$2:$J$5,1)),0,ROUND(IF(DQ46=2,VLOOKUP(DA46,IF($CA$3=$I$29,$A$20:$E$23,$F$144:$J$147),IF($B$19=VLOOKUP(CY46,$B$2:$G$4,3,TRUE),2,IF($C$19=VLOOKUP(CY46,$B$2:$G$4,3,TRUE),3,IF($D$19=VLOOKUP(CY46,$B$2:$G$4,3,TRUE),4,5))),TRUE),VLOOKUP(DA46,IF($CA$3=$I$29,$A$20:$E$23,$F$144:$J$147),IF($B$19=VLOOKUP(CY46,$B$2:$G$4,3,TRUE),2,IF($C$19=VLOOKUP(CY46,$B$2:$G$4,3,TRUE),3,IF($D$19=VLOOKUP(CY46,$B$2:$G$4,3,TRUE),4,5))),TRUE))*(DAY(CZ46)-DAY(CY46)+1)/DAY(EOMONTH(CY46,0)),0)))))</f>
        <v/>
      </c>
      <c r="DK46" s="461" t="str">
        <f>IF(CY46="","",IF(AND($CA$3=$CA$1,CY46&lt;=$CT$1),0,IF(Main!$C$26="UGC",0,IF(OR(CX46&lt;DATE(2010,4,1),DQ46=3,DA46=VLOOKUP(DA46,'IN RPS-2015'!$I$2:$J$5,1)),0,ROUND(IF(DQ46=2,IF(CY46&lt;$J$152,Main!$L$9,Main!$CI$3)/2,IF(CY46&lt;$J$152,Main!$L$9,Main!$CI$3))*(DAY(CZ46)-DAY(CY46)+1)/DAY(EOMONTH(CY46,0)),0)))))</f>
        <v/>
      </c>
      <c r="DL46" s="461"/>
      <c r="DM46" s="461" t="str">
        <f>IF(CY46="","",IF(AND($CA$3=$CA$1,CY46&lt;=$CT$1),0,IF(Main!$C$26="UGC",0,IF(OR(DQ46=3,DA46=VLOOKUP(DA46,'IN RPS-2015'!$I$2:$J$5,1)),0,ROUND(IF(DQ46=2,VLOOKUP(DB46,IF(CY46&lt;$J$152,$A$154:$E$159,$F$154:$J$159),IF($B$10=VLOOKUP(CX46,$B$2:$G$4,6,TRUE),2,IF($B$10=VLOOKUP(CX46,$B$2:$G$4,6,TRUE),3,IF($D$10=VLOOKUP(CX46,$B$2:$G$4,6,TRUE),4,5))))/2,VLOOKUP(DB46,IF(CY46&lt;$J$152,$A$154:$E$159,$F$154:$J$159),IF($B$10=VLOOKUP(CX46,$B$2:$G$4,6,TRUE),2,IF($B$10=VLOOKUP(CX46,$B$2:$G$4,6,TRUE),3,IF($D$10=VLOOKUP(CX46,$B$2:$G$4,6,TRUE),4,5)))))*(DAY(CZ46)-DAY(CY46)+1)/DAY(EOMONTH(CY46,0)),0)))))</f>
        <v/>
      </c>
      <c r="DN46" s="461">
        <f t="shared" si="76"/>
        <v>0</v>
      </c>
      <c r="DO46" s="464" t="str">
        <f>IF(CY46="","",IF(AND($CA$3=$CA$1,CY46&lt;=$CT$1),0,IF(AND(Main!$F$22=Main!$CA$24,CY46&gt;$CT$1),ROUND(SUM(DB46,DD46)*10%,0),"")))</f>
        <v/>
      </c>
      <c r="DP46" s="464" t="str">
        <f>IF(CX46="","",IF(AND($CA$3=$CA$1,CY46&lt;=$CT$1),0,IF(OR(Main!$H$10=Main!$BH$4,Main!$H$10=Main!$BH$5),0,LOOKUP(DN46*DAY(EOMONTH(CY46,0))/(DAY(CZ46)-DAY(CY46)+1),$H$184:$I$189))))</f>
        <v/>
      </c>
      <c r="DQ46" s="457">
        <f t="shared" si="60"/>
        <v>1</v>
      </c>
      <c r="DR46" s="457">
        <f t="shared" si="77"/>
        <v>0</v>
      </c>
      <c r="DS46" s="457"/>
      <c r="DT46" s="457"/>
      <c r="DU46" s="457"/>
      <c r="DV46" s="461"/>
      <c r="DW46" s="499" t="str">
        <f t="shared" si="61"/>
        <v/>
      </c>
      <c r="DX46" s="500" t="str">
        <f t="shared" si="88"/>
        <v/>
      </c>
      <c r="DY46" s="484" t="str">
        <f>IF(DX46="","",MIN(EOMONTH(DX46,0),VLOOKUP(DX46,'IN RPS-2015'!$O$164:$P$202,2,TRUE)-1,LOOKUP(DX46,$E$47:$F$53)-1,IF(DX46&lt;$B$2,$B$2-1,'IN RPS-2015'!$Q$9),IF(DX46&lt;$B$3,$B$3-1,'IN RPS-2015'!$Q$9),IF(DX46&lt;$B$4,$B$4-1,'IN RPS-2015'!$Q$9),LOOKUP(DX46,$H$47:$I$53)))</f>
        <v/>
      </c>
      <c r="DZ46" s="490" t="str">
        <f>IF(DX46="","",VLOOKUP(DX46,'IN RPS-2015'!$P$164:$AA$202,11))</f>
        <v/>
      </c>
      <c r="EA46" s="461" t="str">
        <f t="shared" si="78"/>
        <v/>
      </c>
      <c r="EB46" s="461" t="str">
        <f>IF(DX46="","",ROUND(IF(EP46=3,0,IF(EP46=2,IF(DZ46=VLOOKUP(DZ46,'IN RPS-2015'!$I$2:$J$5,1),0,Main!$H$9)/2,IF(DZ46=VLOOKUP(DZ46,'IN RPS-2015'!$I$2:$J$5,1),0,Main!$H$9)))*(DAY(DY46)-DAY(DX46)+1)/DAY(EOMONTH(DX46,0)),0))</f>
        <v/>
      </c>
      <c r="EC46" s="461" t="str">
        <f>IF(DX46="","",IF(DZ46=VLOOKUP(DZ46,'IN RPS-2015'!$I$2:$J$5,1),0,ROUND(EA46*VLOOKUP(DX46,$DT$4:$DU$7,2)%,0)))</f>
        <v/>
      </c>
      <c r="ED46" s="461" t="str">
        <f>IF(DX46="","",IF(OR(EP46=3,DZ46=VLOOKUP(DZ46,'IN RPS-2015'!$I$2:$J$5,1)),0,ROUND(MIN(ROUND(DZ46*VLOOKUP(DX46,$B$1:$G$4,2)%,0),VLOOKUP(DX46,$B$2:$I$4,IF($DU$3=$I$29,7,8),TRUE))*(DAY(DY46)-DAY(DX46)+1)/DAY(EOMONTH(DX46,0)),0)))</f>
        <v/>
      </c>
      <c r="EE46" s="491" t="str">
        <f>IF(DX46="","",IF(Main!$C$26="UGC",0,IF(OR(DX46&lt;DATE(2010,4,1),$I$6=VLOOKUP(DX46,$B$2:$G$4,5,TRUE),DZ46=VLOOKUP(DZ46,'IN RPS-2015'!$I$2:$J$5,1)),0,ROUND(IF(EP46=3,0,IF(EP46=2,MIN(ROUND(DZ46*$G$13%,0),IF(DX46&lt;$I$152,$G$14,$G$15))/2,MIN(ROUND(DZ46*$G$13%,0),IF(DX46&lt;$I$152,$G$14,$G$15))))*(DAY(DY46)-DAY(DX46)+1)/DAY(EOMONTH(DX46,0)),0))))</f>
        <v/>
      </c>
      <c r="EF46" s="461" t="str">
        <f>IF(DX46="","",IF(Main!$C$26="UGC",0,IF(DZ46=VLOOKUP(DZ46,'IN RPS-2015'!$I$2:$J$5,1),0,ROUND(EA46*VLOOKUP(DX46,$DT$11:$DU$12,2)%,0))))</f>
        <v/>
      </c>
      <c r="EG46" s="461" t="str">
        <f>IF(DX46="","",IF(Main!$C$26="UGC",0,IF(DX46&lt;DATE(2010,4,1),0,IF(OR(EP46=2,EP46=3,DZ46=VLOOKUP(DZ46,'IN RPS-2015'!$I$2:$J$5,1)),0,ROUND(IF(DX46&lt;$I$152,VLOOKUP(DX46,$B$1:$G$4,4),VLOOKUP(VLOOKUP(DX46,$B$1:$G$4,4),Main!$CE$2:$CF$5,2,FALSE))*(DAY(DY46)-DAY(DX46)+1)/DAY(EOMONTH(DX46,0)),0)))))</f>
        <v/>
      </c>
      <c r="EH46" s="461" t="str">
        <f>IF(DX46="","",IF(OR(EP46=2,EP46=3,$D$31=$D$28,DZ46=VLOOKUP(DZ46,'IN RPS-2015'!$I$2:$J$5,1)),0,ROUND(MIN(IF(DX46&lt;$I$152,900,1350),ROUND(DZ46*VLOOKUP(DW46,$A$27:$C$29,3,TRUE)%,0))*IF(DW46=$A$36,$C$36,IF(DW46=$A$37,$C$37,IF(DW46=$A$38,$C$38,IF(DW46=$A$39,$C$39,IF(DW46=$A$40,$C$40,IF(DW46=$A$41,$C$41,1))))))*(DAY(DY46)-DAY(DX46)+1)/DAY(EOMONTH(DX46,0)),0)))</f>
        <v/>
      </c>
      <c r="EI46" s="461" t="str">
        <f>IF(DX46="","",IF(Main!$C$26="UGC",0,IF(OR(EP46=3,DZ46=VLOOKUP(DZ46,'IN RPS-2015'!$I$2:$J$5,1)),0,ROUND(IF(EP46=2,VLOOKUP(DZ46,IF($DU$3=$I$29,$A$20:$E$23,$F$144:$J$147),IF($B$19=VLOOKUP(DX46,$B$2:$G$4,3,TRUE),2,IF($C$19=VLOOKUP(DX46,$B$2:$G$4,3,TRUE),3,IF($D$19=VLOOKUP(DX46,$B$2:$G$4,3,TRUE),4,5))),TRUE),VLOOKUP(DZ46,IF($DU$3=$I$29,$A$20:$E$23,$F$144:$J$147),IF($B$19=VLOOKUP(DX46,$B$2:$G$4,3,TRUE),2,IF($C$19=VLOOKUP(DX46,$B$2:$G$4,3,TRUE),3,IF($D$19=VLOOKUP(DX46,$B$2:$G$4,3,TRUE),4,5))),TRUE))*(DAY(DY46)-DAY(DX46)+1)/DAY(EOMONTH(DX46,0)),0))))</f>
        <v/>
      </c>
      <c r="EJ46" s="461" t="str">
        <f>IF(DX46="","",IF(Main!$C$26="UGC",0,IF(OR(DW46&lt;DATE(2010,4,1),EP46=3,DZ46=VLOOKUP(DZ46,'IN RPS-2015'!$I$2:$J$5,1)),0,ROUND(IF(EP46=2,IF(DX46&lt;$I$152,Main!$L$9,Main!$CI$3)/2,IF(DX46&lt;$I$152,Main!$L$9,Main!$CI$3))*(DAY(DY46)-DAY(DX46)+1)/DAY(EOMONTH(DX46,0)),0))))</f>
        <v/>
      </c>
      <c r="EK46" s="461"/>
      <c r="EL46" s="461" t="str">
        <f>IF(DX46="","",IF(Main!$C$26="UGC",0,IF(OR(EP46=3,DZ46=VLOOKUP(DZ46,'IN RPS-2015'!$I$2:$J$5,1)),0,ROUND(IF(EP46=2,VLOOKUP(EA46,IF(DX46&lt;$I$152,$A$154:$E$159,$F$154:$J$159),IF($B$10=VLOOKUP(DW46,$B$2:$G$4,6,TRUE),2,IF($B$10=VLOOKUP(DW46,$B$2:$G$4,6,TRUE),3,IF($D$10=VLOOKUP(DW46,$B$2:$G$4,6,TRUE),4,5))))/2,VLOOKUP(EA46,IF(DX46&lt;$I$152,$A$154:$E$159,$F$154:$J$159),IF($B$10=VLOOKUP(DW46,$B$2:$G$4,6,TRUE),2,IF($B$10=VLOOKUP(DW46,$B$2:$G$4,6,TRUE),3,IF($D$10=VLOOKUP(DW46,$B$2:$G$4,6,TRUE),4,5)))))*(DAY(DY46)-DAY(DX46)+1)/DAY(EOMONTH(DX46,0)),0))))</f>
        <v/>
      </c>
      <c r="EM46" s="461">
        <f t="shared" si="79"/>
        <v>0</v>
      </c>
      <c r="EN46" s="464" t="str">
        <f>IF(DX46="","",IF(AND(Main!$F$22=Main!$CA$24,DX46&gt;$EN$1),ROUND(SUM(EA46,EC46)*10%,0),""))</f>
        <v/>
      </c>
      <c r="EO46" s="464" t="str">
        <f>IF(DW46="","",IF(EA46=0,0,IF(OR(Main!$H$10=Main!$BH$4,Main!$H$10=Main!$BH$5),0,LOOKUP(EM46*DAY(EOMONTH(DX46,0))/(DAY(DY46)-DAY(DX46)+1),$H$184:$I$189))))</f>
        <v/>
      </c>
      <c r="EP46" s="457">
        <f t="shared" si="62"/>
        <v>1</v>
      </c>
      <c r="ET46" s="461"/>
      <c r="EU46" s="499" t="str">
        <f t="shared" si="63"/>
        <v/>
      </c>
      <c r="EV46" s="500" t="str">
        <f t="shared" si="89"/>
        <v/>
      </c>
      <c r="EW46" s="484" t="str">
        <f>IF(EV46="","",MIN(EOMONTH(EV46,0),VLOOKUP(EV46,'IN RPS-2015'!$O$164:$P$202,2,TRUE)-1,LOOKUP(EV46,$E$47:$F$53)-1,IF(EV46&lt;$B$2,$B$2-1,'IN RPS-2015'!$Q$9),IF(EV46&lt;$B$3,$B$3-1,'IN RPS-2015'!$Q$9),IF(EV46&lt;$B$4,$B$4-1,'IN RPS-2015'!$Q$9),LOOKUP(EV46,$H$47:$I$53)))</f>
        <v/>
      </c>
      <c r="EX46" s="490" t="str">
        <f>IF(EV46="","",VLOOKUP(EV46,'IN RPS-2015'!$P$164:$AA$202,12))</f>
        <v/>
      </c>
      <c r="EY46" s="461" t="str">
        <f t="shared" si="80"/>
        <v/>
      </c>
      <c r="EZ46" s="461" t="str">
        <f>IF(EV46="","",ROUND(IF(FN46=3,0,IF(FN46=2,IF(EX46=VLOOKUP(EX46,'IN RPS-2015'!$I$2:$J$5,1),0,Main!$H$9)/2,IF(EX46=VLOOKUP(EX46,'IN RPS-2015'!$I$2:$J$5,1),0,Main!$H$9)))*(DAY(EW46)-DAY(EV46)+1)/DAY(EOMONTH(EV46,0)),0))</f>
        <v/>
      </c>
      <c r="FA46" s="461" t="str">
        <f>IF(EV46="","",IF(EX46=VLOOKUP(EX46,'IN RPS-2015'!$I$2:$J$5,1),0,ROUND(EY46*VLOOKUP(EV46,$ER$4:$ES$7,2)%,0)))</f>
        <v/>
      </c>
      <c r="FB46" s="461" t="str">
        <f>IF(EV46="","",IF(OR(FN46=3,EX46=VLOOKUP(EX46,'IN RPS-2015'!$I$2:$J$5,1)),0,ROUND(MIN(ROUND(EX46*VLOOKUP(EV46,$B$1:$G$4,2)%,0),VLOOKUP(EV46,$B$2:$I$4,IF($ES$3=$I$29,7,8),TRUE))*(DAY(EW46)-DAY(EV46)+1)/DAY(EOMONTH(EV46,0)),0)))</f>
        <v/>
      </c>
      <c r="FC46" s="491" t="str">
        <f>IF(EV46="","",IF(Main!$C$26="UGC",0,IF(OR(EV46&lt;DATE(2010,4,1),$I$6=VLOOKUP(EV46,$B$2:$G$4,5,TRUE),EX46=VLOOKUP(EX46,'IN RPS-2015'!$I$2:$J$5,1)),0,ROUND(IF(FN46=3,0,IF(FN46=2,MIN(ROUND(EX46*$G$13%,0),IF(EV46&lt;$J$152,$G$14,$G$15))/2,MIN(ROUND(EX46*$G$13%,0),IF(EV46&lt;$J$152,$G$14,$G$15))))*(DAY(EW46)-DAY(EV46)+1)/DAY(EOMONTH(EV46,0)),0))))</f>
        <v/>
      </c>
      <c r="FD46" s="461" t="str">
        <f>IF(EV46="","",IF(Main!$C$26="UGC",0,IF(EX46=VLOOKUP(EX46,'IN RPS-2015'!$I$2:$J$5,1),0,ROUND(EY46*VLOOKUP(EV46,$ER$11:$ES$12,2)%,0))))</f>
        <v/>
      </c>
      <c r="FE46" s="461" t="str">
        <f>IF(EV46="","",IF(Main!$C$26="UGC",0,IF(EV46&lt;DATE(2010,4,1),0,IF(OR(FN46=2,FN46=3,EX46=VLOOKUP(EX46,'IN RPS-2015'!$I$2:$J$5,1)),0,ROUND(IF(EV46&lt;$J$152,VLOOKUP(EV46,$B$1:$G$4,4),VLOOKUP(VLOOKUP(EV46,$B$1:$G$4,4),Main!$CE$2:$CF$5,2,FALSE))*(DAY(EW46)-DAY(EV46)+1)/DAY(EOMONTH(EV46,0)),0)))))</f>
        <v/>
      </c>
      <c r="FF46" s="461" t="str">
        <f>IF(EV46="","",IF(OR(FN46=2,FN46=3,$D$31=$D$28,EX46=VLOOKUP(EX46,'IN RPS-2015'!$I$2:$J$5,1)),0,ROUND(MIN(VLOOKUP(EU46,$A$27:$C$29,2,TRUE),ROUND(EX46*VLOOKUP(EU46,$A$27:$C$29,3,TRUE)%,0))*IF(EU46=$A$36,$C$36,IF(EU46=$A$37,$C$37,IF(EU46=$A$38,$C$38,IF(EU46=$A$39,$C$39,IF(EU46=$A$40,$C$40,IF(EU46=$A$41,$C$41,1))))))*(DAY(EW46)-DAY(EV46)+1)/DAY(EOMONTH(EV46,0)),0)))</f>
        <v/>
      </c>
      <c r="FG46" s="461" t="str">
        <f>IF(EV46="","",IF(Main!$C$26="UGC",0,IF(OR(FN46=3,EX46=VLOOKUP(EX46,'IN RPS-2015'!$I$2:$J$5,1)),0,ROUND(IF(FN46=2,VLOOKUP(EX46,IF($ES$3=$I$29,$A$20:$E$23,$F$144:$J$147),IF($B$19=VLOOKUP(EV46,$B$2:$G$4,3,TRUE),2,IF($C$19=VLOOKUP(EV46,$B$2:$G$4,3,TRUE),3,IF($D$19=VLOOKUP(EV46,$B$2:$G$4,3,TRUE),4,5))),TRUE),VLOOKUP(EX46,IF($ES$3=$I$29,$A$20:$E$23,$F$144:$J$147),IF($B$19=VLOOKUP(EV46,$B$2:$G$4,3,TRUE),2,IF($C$19=VLOOKUP(EV46,$B$2:$G$4,3,TRUE),3,IF($D$19=VLOOKUP(EV46,$B$2:$G$4,3,TRUE),4,5))),TRUE))*(DAY(EW46)-DAY(EV46)+1)/DAY(EOMONTH(EV46,0)),0))))</f>
        <v/>
      </c>
      <c r="FH46" s="461" t="str">
        <f>IF(EV46="","",IF(Main!$C$26="UGC",0,IF(OR(EU46&lt;DATE(2010,4,1),FN46=3,EX46=VLOOKUP(EX46,'IN RPS-2015'!$I$2:$J$5,1)),0,ROUND(IF(FN46=2,IF(EV46&lt;$J$152,Main!$L$9,Main!$CI$3)/2,IF(EV46&lt;$J$152,Main!$L$9,Main!$CI$3))*(DAY(EW46)-DAY(EV46)+1)/DAY(EOMONTH(EV46,0)),0))))</f>
        <v/>
      </c>
      <c r="FI46" s="461"/>
      <c r="FJ46" s="461" t="str">
        <f>IF(EV46="","",IF(Main!$C$26="UGC",0,IF(OR(FN46=3,EX46=VLOOKUP(EX46,'IN RPS-2015'!$I$2:$J$5,1)),0,ROUND(IF(FN46=2,VLOOKUP(EY46,IF(EV46&lt;$J$152,$A$154:$E$159,$F$154:$J$159),IF($B$10=VLOOKUP(EU46,$B$2:$G$4,6,TRUE),2,IF($B$10=VLOOKUP(EU46,$B$2:$G$4,6,TRUE),3,IF($D$10=VLOOKUP(EU46,$B$2:$G$4,6,TRUE),4,5))))/2,VLOOKUP(EY46,IF(EV46&lt;$J$152,$A$154:$E$159,$F$154:$J$159),IF($B$10=VLOOKUP(EU46,$B$2:$G$4,6,TRUE),2,IF($B$10=VLOOKUP(EU46,$B$2:$G$4,6,TRUE),3,IF($D$10=VLOOKUP(EU46,$B$2:$G$4,6,TRUE),4,5)))))*(DAY(EW46)-DAY(EV46)+1)/DAY(EOMONTH(EV46,0)),0))))</f>
        <v/>
      </c>
      <c r="FK46" s="461">
        <f t="shared" si="81"/>
        <v>0</v>
      </c>
      <c r="FL46" s="464" t="str">
        <f>IF(EV46="","",IF(AND(Main!$F$22=Main!$CA$24,EV46&gt;$FL$1),ROUND(SUM(EY46,FA46)*10%,0),""))</f>
        <v/>
      </c>
      <c r="FM46" s="464" t="str">
        <f>IF(EU46="","",IF(EY46=0,0,IF(OR(Main!$H$10=Main!$BH$4,Main!$H$10=Main!$BH$5),0,LOOKUP(FK46*DAY(EOMONTH(EV46,0))/(DAY(EW46)-DAY(EV46)+1),$H$184:$I$189))))</f>
        <v/>
      </c>
      <c r="FN46" s="457">
        <f t="shared" si="64"/>
        <v>1</v>
      </c>
    </row>
    <row r="47" spans="1:170">
      <c r="B47" s="457" t="s">
        <v>307</v>
      </c>
      <c r="C47" s="457" t="s">
        <v>1884</v>
      </c>
      <c r="D47" s="457" t="s">
        <v>1573</v>
      </c>
      <c r="E47" s="515">
        <f>Main!BL2-1</f>
        <v>42004</v>
      </c>
      <c r="F47" s="516">
        <f t="shared" ref="F47:F52" si="92">F38</f>
        <v>42461</v>
      </c>
      <c r="G47" s="514"/>
      <c r="H47" s="516">
        <f>E47</f>
        <v>42004</v>
      </c>
      <c r="I47" s="516">
        <f t="shared" ref="I47:I52" si="93">G38</f>
        <v>42461</v>
      </c>
      <c r="AH47" s="461"/>
      <c r="AI47" s="499" t="str">
        <f t="shared" si="54"/>
        <v/>
      </c>
      <c r="AJ47" s="500" t="str">
        <f t="shared" si="84"/>
        <v/>
      </c>
      <c r="AK47" s="484" t="str">
        <f>IF(AJ47="","",MIN(EOMONTH(AJ47,0),VLOOKUP(AJ47,'IN RPS-2015'!$O$164:$P$202,2,TRUE)-1,LOOKUP(AJ47,$E$47:$F$53)-1,IF(AJ47&lt;$B$2,$B$2-1,'IN RPS-2015'!$Q$9),IF(AJ47&lt;$B$3,$B$3-1,'IN RPS-2015'!$Q$9),IF(AJ47&lt;$B$4,$B$4-1,'IN RPS-2015'!$Q$9),LOOKUP(AJ47,$H$47:$I$53)))</f>
        <v/>
      </c>
      <c r="AL47" s="490" t="str">
        <f>IF(AJ47="","",VLOOKUP(AJ47,'IN RPS-2015'!$P$164:$AA$202,9))</f>
        <v/>
      </c>
      <c r="AM47" s="461" t="str">
        <f t="shared" si="66"/>
        <v/>
      </c>
      <c r="AN47" s="461" t="str">
        <f>IF(AJ47="","",IF(AND($AG$3=$AG$1,AJ47&lt;=$AZ$1),0,ROUND(IF(BB47=3,0,IF(BB47=2,IF(AL47=VLOOKUP(AL47,'IN RPS-2015'!$I$2:$J$5,1),0,Main!$H$9)/2,IF(AL47=VLOOKUP(AL47,'IN RPS-2015'!$I$2:$J$5,1),0,Main!$H$9)))*(DAY(AK47)-DAY(AJ47)+1)/DAY(EOMONTH(AJ47,0)),0)))</f>
        <v/>
      </c>
      <c r="AO47" s="461" t="str">
        <f>IF(AJ47="","",IF(AND($AG$3=$AG$1,AJ47&lt;=$AZ$1),0,IF(AL47=VLOOKUP(AL47,'IN RPS-2015'!$I$2:$J$5,1),0,ROUND(AM47*VLOOKUP(AJ47,$AF$4:$AG$7,2)%,0))))</f>
        <v/>
      </c>
      <c r="AP47" s="461" t="str">
        <f>IF(AJ47="","",IF(AND($AG$3=$AG$1,AJ47&lt;=$AZ$1),0,IF(OR(BB47=3,AL47=VLOOKUP(AL47,'IN RPS-2015'!$I$2:$J$5,1)),0,ROUND(MIN(ROUND(AL47*VLOOKUP(AJ47,$B$1:$G$4,2)%,0),VLOOKUP(AJ47,$B$2:$I$4,IF($AG$3=$I$29,7,8),TRUE))*(DAY(AK47)-DAY(AJ47)+1)/DAY(EOMONTH(AJ47,0)),0))))</f>
        <v/>
      </c>
      <c r="AQ47" s="491" t="str">
        <f>IF(AJ47="","",IF(AND($AG$3=$AG$1,AJ47&lt;=$AZ$1),0,IF(Main!$C$26="UGC",0,IF(OR(AJ47&lt;DATE(2010,4,1),$I$6=VLOOKUP(AJ47,$B$2:$G$4,5,TRUE),AL47=VLOOKUP(AL47,'IN RPS-2015'!$I$2:$J$5,1)),0,ROUND(IF(BB47=3,0,IF(BB47=2,MIN(ROUND(AL47*$G$13%,0),IF(AJ47&lt;$J$152,$G$14,$G$15))/2,MIN(ROUND(AL47*$G$13%,0),IF(AJ47&lt;$J$152,$G$14,$G$15))))*(DAY(AK47)-DAY(AJ47)+1)/DAY(EOMONTH(AJ47,0)),0)))))</f>
        <v/>
      </c>
      <c r="AR47" s="461" t="str">
        <f>IF(AJ47="","",IF(AND($AG$3=$AG$1,AJ47&lt;=$AZ$1),0,IF(Main!$C$26="UGC",0,IF(AL47=VLOOKUP(AL47,'IN RPS-2015'!$I$2:$J$5,1),0,ROUND(AM47*VLOOKUP(AJ47,$AF$11:$AG$12,2)%,0)))))</f>
        <v/>
      </c>
      <c r="AS47" s="461" t="str">
        <f>IF(AJ47="","",IF(AND($AG$3=$AG$1,AJ47&lt;=$AZ$1),0,IF(Main!$C$26="UGC",0,IF(AJ47&lt;DATE(2010,4,1),0,IF(OR(BB47=2,BB47=3,AL47=VLOOKUP(AL47,'IN RPS-2015'!$I$2:$J$5,1)),0,ROUND(IF(AJ47&lt;$J$152,VLOOKUP(AJ47,$B$1:$G$4,4),VLOOKUP(VLOOKUP(AJ47,$B$1:$G$4,4),Main!$CE$2:$CF$5,2,FALSE))*(DAY(AK47)-DAY(AJ47)+1)/DAY(EOMONTH(AJ47,0)),0))))))</f>
        <v/>
      </c>
      <c r="AT47" s="461" t="str">
        <f>IF(AJ47="","",IF(AND($AG$3=$AG$1,AJ47&lt;=$AZ$1),0,IF(OR(BB47=2,BB47=3,$D$31=$D$28,AL47=VLOOKUP(AL47,'IN RPS-2015'!$I$2:$J$5,1)),0,ROUND(MIN(VLOOKUP(AI47,$A$27:$C$29,2,TRUE),ROUND(AL47*VLOOKUP(AI47,$A$27:$C$29,3,TRUE)%,0))*IF(AI47=$A$36,$C$36,IF(AI47=$A$37,$C$37,IF(AI47=$A$38,$C$38,IF(AI47=$A$39,$C$39,IF(AI47=$A$40,$C$40,IF(AI47=$A$41,$C$41,1))))))*(DAY(AK47)-DAY(AJ47)+1)/DAY(EOMONTH(AJ47,0)),0))))</f>
        <v/>
      </c>
      <c r="AU47" s="461" t="str">
        <f>IF(AJ47="","",IF(AND($AG$3=$AG$1,AJ47&lt;=$AZ$1),0,IF(Main!$C$26="UGC",0,IF(OR(BB47=3,AL47=VLOOKUP(AL47,'IN RPS-2015'!$I$2:$J$5,1)),0,ROUND(IF(BB47=2,VLOOKUP(AL47,IF($AG$3=$I$29,$A$20:$E$23,$F$144:$J$147),IF($B$19=VLOOKUP(AJ47,$B$2:$G$4,3,TRUE),2,IF($C$19=VLOOKUP(AJ47,$B$2:$G$4,3,TRUE),3,IF($D$19=VLOOKUP(AJ47,$B$2:$G$4,3,TRUE),4,5))),TRUE),VLOOKUP(AL47,IF($AG$3=$I$29,$A$20:$E$23,$F$144:$J$147),IF($B$19=VLOOKUP(AJ47,$B$2:$G$4,3,TRUE),2,IF($C$19=VLOOKUP(AJ47,$B$2:$G$4,3,TRUE),3,IF($D$19=VLOOKUP(AJ47,$B$2:$G$4,3,TRUE),4,5))),TRUE))*(DAY(AK47)-DAY(AJ47)+1)/DAY(EOMONTH(AJ47,0)),0)))))</f>
        <v/>
      </c>
      <c r="AV47" s="461" t="str">
        <f>IF(AJ47="","",IF(AND($AG$3=$AG$1,AJ47&lt;=$AZ$1),0,IF(Main!$C$26="UGC",0,IF(OR(AI47&lt;DATE(2010,4,1),BB47=3,AL47=VLOOKUP(AL47,'IN RPS-2015'!$I$2:$J$5,1)),0,ROUND(IF(BB47=2,IF(AJ47&lt;$J$152,Main!$L$9,Main!$CI$3)/2,IF(AJ47&lt;$J$152,Main!$L$9,Main!$CI$3))*(DAY(AK47)-DAY(AJ47)+1)/DAY(EOMONTH(AJ47,0)),0)))))</f>
        <v/>
      </c>
      <c r="AW47" s="461"/>
      <c r="AX47" s="461" t="str">
        <f>IF(AJ47="","",IF(AND($AG$3=$AG$1,AJ47&lt;=$AZ$1),0,IF(Main!$C$26="UGC",0,IF(OR(BB47=3,AL47=VLOOKUP(AL47,'IN RPS-2015'!$I$2:$J$5,1)),0,ROUND(IF(BB47=2,VLOOKUP(AM47,IF(AJ47&lt;$J$152,$A$154:$E$159,$F$154:$J$159),IF($B$10=VLOOKUP(AI47,$B$2:$G$4,6,TRUE),2,IF($B$10=VLOOKUP(AI47,$B$2:$G$4,6,TRUE),3,IF($D$10=VLOOKUP(AI47,$B$2:$G$4,6,TRUE),4,5))))/2,VLOOKUP(AM47,IF(AJ47&lt;$J$152,$A$154:$E$159,$F$154:$J$159),IF($B$10=VLOOKUP(AI47,$B$2:$G$4,6,TRUE),2,IF($B$10=VLOOKUP(AI47,$B$2:$G$4,6,TRUE),3,IF($D$10=VLOOKUP(AI47,$B$2:$G$4,6,TRUE),4,5)))))*(DAY(AK47)-DAY(AJ47)+1)/DAY(EOMONTH(AJ47,0)),0)))))</f>
        <v/>
      </c>
      <c r="AY47" s="461">
        <f t="shared" si="67"/>
        <v>0</v>
      </c>
      <c r="AZ47" s="464" t="str">
        <f>IF(AJ47="","",IF(AND($AG$3=$AG$1,AJ47&lt;=$AZ$1),0,IF(AND(Main!$F$22=Main!$CA$24,AJ47&gt;$AZ$1),ROUND(SUM(AM47,AO47)*10%,0),"")))</f>
        <v/>
      </c>
      <c r="BA47" s="464" t="str">
        <f>IF(AI47="","",IF(AND($AG$3=$AG$1,AJ47&lt;=$AZ$1),0,IF(OR(Main!$H$10=Main!$BH$4,Main!$H$10=Main!$BH$5),0,LOOKUP(AY47*DAY(EOMONTH(AJ47,0))/(DAY(AK47)-DAY(AJ47)+1),$H$184:$I$189))))</f>
        <v/>
      </c>
      <c r="BB47" s="497">
        <f t="shared" si="55"/>
        <v>1</v>
      </c>
      <c r="BC47" s="464"/>
      <c r="BD47" s="501" t="str">
        <f t="shared" si="56"/>
        <v/>
      </c>
      <c r="BE47" s="502" t="str">
        <f t="shared" si="85"/>
        <v/>
      </c>
      <c r="BF47" s="484" t="str">
        <f>IF(BE47="","",MIN(EOMONTH(BE47,0),VLOOKUP(BE47,'IN RPS-2015'!$O$164:$P$202,2,TRUE)-1,LOOKUP(BE47,$E$47:$F$53)-1,IF(BE47&lt;$B$2,$B$2-1,'IN RPS-2015'!$Q$9),IF(BE47&lt;$B$3,$B$3-1,'IN RPS-2015'!$Q$9),IF(BE47&lt;$B$4,$B$4-1,'IN RPS-2015'!$Q$9),LOOKUP(BE47,$H$47:$I$53)))</f>
        <v/>
      </c>
      <c r="BG47" s="493" t="str">
        <f>IF(BE47="","",VLOOKUP(BE47,'IN RPS-2015'!$P$164:$AA$202,10))</f>
        <v/>
      </c>
      <c r="BH47" s="461" t="str">
        <f t="shared" si="68"/>
        <v/>
      </c>
      <c r="BI47" s="461" t="str">
        <f>IF(BE47="","",IF(AND($AG$3=$AG$1,BE47&lt;=$AZ$1),0,ROUND(IF(BW47=3,0,IF(BW47=2,IF(BG47=VLOOKUP(BG47,'IN RPS-2015'!$I$2:$J$5,1),0,Main!$H$9)/2,IF(BG47=VLOOKUP(BG47,'IN RPS-2015'!$I$2:$J$5,1),0,Main!$H$9)))*(DAY(BF47)-DAY(BE47)+1)/DAY(EOMONTH(BE47,0)),0)))</f>
        <v/>
      </c>
      <c r="BJ47" s="461" t="str">
        <f>IF(BE47="","",IF(AND($AG$3=$AG$1,BE47&lt;=$AZ$1),0,IF(BG47=VLOOKUP(BG47,'IN RPS-2015'!$I$2:$J$5,1),0,ROUND(BH47*VLOOKUP(BE47,$AF$4:$AG$7,2)%,0))))</f>
        <v/>
      </c>
      <c r="BK47" s="461" t="str">
        <f>IF(BE47="","",IF(AND($AG$3=$AG$1,BE47&lt;=$AZ$1),0,IF(OR(BW47=3,BG47=VLOOKUP(BG47,'IN RPS-2015'!$I$2:$J$5,1)),0,ROUND(MIN(ROUND(BG47*VLOOKUP(BE47,$B$1:$G$4,2)%,0),VLOOKUP(BE47,$B$2:$I$4,IF($AG$3=$I$29,7,8),TRUE))*(DAY(BF47)-DAY(BE47)+1)/DAY(EOMONTH(BE47,0)),0))))</f>
        <v/>
      </c>
      <c r="BL47" s="491" t="str">
        <f>IF(BE47="","",IF(AND($AG$3=$AG$1,BE47&lt;=$AZ$1),0,IF(Main!$C$26="UGC",0,IF(OR(BE47&lt;DATE(2010,4,1),$I$6=VLOOKUP(BE47,$B$2:$G$4,5,TRUE),BG47=VLOOKUP(BG47,'IN RPS-2015'!$I$2:$J$5,1)),0,ROUND(IF(BW47=3,0,IF(BW47=2,MIN(ROUND(BG47*$G$13%,0),IF(BE47&lt;$J$152,$G$14,$G$15))/2,MIN(ROUND(BG47*$G$13%,0),IF(BE47&lt;$J$152,$G$14,$G$15))))*(DAY(BF47)-DAY(BE47)+1)/DAY(EOMONTH(BE47,0)),0)))))</f>
        <v/>
      </c>
      <c r="BM47" s="461" t="str">
        <f>IF(BE47="","",IF(AND($AG$3=$AG$1,BE47&lt;=$AZ$1),0,IF(Main!$C$26="UGC",0,IF(BG47=VLOOKUP(BG47,'IN RPS-2015'!$I$2:$J$5,1),0,ROUND(BH47*VLOOKUP(BE47,$AF$11:$AG$12,2)%,0)))))</f>
        <v/>
      </c>
      <c r="BN47" s="461" t="str">
        <f>IF(BE47="","",IF(AND($AG$3=$AG$1,BE47&lt;=$AZ$1),0,IF(Main!$C$26="UGC",0,IF(BE47&lt;DATE(2010,4,1),0,IF(OR(BW47=2,BW47=3,BG47=VLOOKUP(BG47,'IN RPS-2015'!$I$2:$J$5,1)),0,ROUND(IF(BE47&lt;$J$152,VLOOKUP(BE47,$B$1:$G$4,4),VLOOKUP(VLOOKUP(BE47,$B$1:$G$4,4),Main!$CE$2:$CF$5,2,FALSE))*(DAY(BF47)-DAY(BE47)+1)/DAY(EOMONTH(BE47,0)),0))))))</f>
        <v/>
      </c>
      <c r="BO47" s="461" t="str">
        <f>IF(BE47="","",IF(AND($AG$3=$AG$1,BE47&lt;=$AZ$1),0,IF(OR(BW47=2,BW47=3,$D$31=$D$28,BG47=VLOOKUP(BG47,'IN RPS-2015'!$I$2:$J$5,1)),0,ROUND(MIN(VLOOKUP(BD47,$A$27:$C$29,2,TRUE),ROUND(BG47*VLOOKUP(BD47,$A$27:$C$29,3,TRUE)%,0))*IF(BD47=$A$36,$C$36,IF(BD47=$A$37,$C$37,IF(BD47=$A$38,$C$38,IF(BD47=$A$39,$C$39,IF(BD47=$A$40,$C$40,IF(BD47=$A$41,$C$41,1))))))*(DAY(BF47)-DAY(BE47)+1)/DAY(EOMONTH(BE47,0)),0))))</f>
        <v/>
      </c>
      <c r="BP47" s="461" t="str">
        <f>IF(BE47="","",IF(AND($AG$3=$AG$1,BE47&lt;=$AZ$1),0,IF(Main!$C$26="UGC",0,IF(OR(BW47=3,BG47=VLOOKUP(BG47,'IN RPS-2015'!$I$2:$J$5,1)),0,ROUND(IF(BW47=2,VLOOKUP(BG47,IF($AG$3=$I$29,$A$20:$E$23,$F$144:$J$147),IF($B$19=VLOOKUP(BE47,$B$2:$G$4,3,TRUE),2,IF($C$19=VLOOKUP(BE47,$B$2:$G$4,3,TRUE),3,IF($D$19=VLOOKUP(BE47,$B$2:$G$4,3,TRUE),4,5))),TRUE),VLOOKUP(BG47,IF($AG$3=$I$29,$A$20:$E$23,$F$144:$J$147),IF($B$19=VLOOKUP(BE47,$B$2:$G$4,3,TRUE),2,IF($C$19=VLOOKUP(BE47,$B$2:$G$4,3,TRUE),3,IF($D$19=VLOOKUP(BE47,$B$2:$G$4,3,TRUE),4,5))),TRUE))*(DAY(BF47)-DAY(BE47)+1)/DAY(EOMONTH(BE47,0)),0)))))</f>
        <v/>
      </c>
      <c r="BQ47" s="461" t="str">
        <f>IF(BE47="","",IF(AND($AG$3=$AG$1,BE47&lt;=$AZ$1),0,IF(Main!$C$26="UGC",0,IF(OR(BD47&lt;DATE(2010,4,1),BW47=3,BG47=VLOOKUP(BG47,'IN RPS-2015'!$I$2:$J$5,1)),0,ROUND(IF(BW47=2,IF(BE47&lt;$J$152,Main!$L$9,Main!$CI$3)/2,IF(BE47&lt;$J$152,Main!$L$9,Main!$CI$3))*(DAY(BF47)-DAY(BE47)+1)/DAY(EOMONTH(BE47,0)),0)))))</f>
        <v/>
      </c>
      <c r="BR47" s="461"/>
      <c r="BS47" s="461" t="str">
        <f>IF(BE47="","",IF(AND($AG$3=$AG$1,BE47&lt;=$AZ$1),0,IF(Main!$C$26="UGC",0,IF(OR(BW47=3,BG47=VLOOKUP(BG47,'IN RPS-2015'!$I$2:$J$5,1)),0,ROUND(IF(BW47=2,VLOOKUP(BH47,IF(BE47&lt;$J$152,$A$154:$E$159,$F$154:$J$159),IF($B$10=VLOOKUP(BD47,$B$2:$G$4,6,TRUE),2,IF($B$10=VLOOKUP(BD47,$B$2:$G$4,6,TRUE),3,IF($D$10=VLOOKUP(BD47,$B$2:$G$4,6,TRUE),4,5))))/2,VLOOKUP(BH47,IF(BE47&lt;$J$152,$A$154:$E$159,$F$154:$J$159),IF($B$10=VLOOKUP(BD47,$B$2:$G$4,6,TRUE),2,IF($B$10=VLOOKUP(BD47,$B$2:$G$4,6,TRUE),3,IF($D$10=VLOOKUP(BD47,$B$2:$G$4,6,TRUE),4,5)))))*(DAY(BF47)-DAY(BE47)+1)/DAY(EOMONTH(BE47,0)),0)))))</f>
        <v/>
      </c>
      <c r="BT47" s="461">
        <f t="shared" si="69"/>
        <v>0</v>
      </c>
      <c r="BU47" s="464" t="str">
        <f>IF(BE47="","",IF(AND($AG$3=$AG$1,BE47&lt;=$AZ$1),0,IF(AND(Main!$F$22=Main!$CA$24,BE47&gt;$AZ$1),ROUND(SUM(BH47,BJ47)*10%,0),"")))</f>
        <v/>
      </c>
      <c r="BV47" s="464" t="str">
        <f>IF(BD47="","",IF(AND($AG$3=$AG$1,BE47&lt;=$AZ$1),0,IF(OR(Main!$H$10=Main!$BH$4,Main!$H$10=Main!$BH$5),0,LOOKUP(BT47*DAY(EOMONTH(BE47,0))/(DAY(BF47)-DAY(BE47)+1),$H$184:$I$189))))</f>
        <v/>
      </c>
      <c r="BW47" s="503">
        <f t="shared" si="70"/>
        <v>1</v>
      </c>
      <c r="BX47" s="457">
        <f t="shared" si="90"/>
        <v>0</v>
      </c>
      <c r="BY47" s="457"/>
      <c r="BZ47" s="457"/>
      <c r="CA47" s="457"/>
      <c r="CB47" s="461"/>
      <c r="CC47" s="499" t="str">
        <f t="shared" si="57"/>
        <v/>
      </c>
      <c r="CD47" s="500" t="str">
        <f t="shared" si="86"/>
        <v/>
      </c>
      <c r="CE47" s="484" t="str">
        <f>IF(CD47="","",MIN(EOMONTH(CD47,0),VLOOKUP(CD47,'IN RPS-2015'!$O$164:$P$202,2,TRUE)-1,LOOKUP(CD47,$E$47:$F$53)-1,IF(CD47&lt;$B$2,$B$2-1,'IN RPS-2015'!$Q$9),IF(CD47&lt;$B$3,$B$3-1,'IN RPS-2015'!$Q$9),IF(CD47&lt;$B$4,$B$4-1,'IN RPS-2015'!$Q$9),LOOKUP(CD47,$H$47:$I$53)))</f>
        <v/>
      </c>
      <c r="CF47" s="490" t="str">
        <f>IF(CD47="","",VLOOKUP(CD47,'IN RPS-2015'!$T$207:$Y$222,5))</f>
        <v/>
      </c>
      <c r="CG47" s="461" t="str">
        <f t="shared" si="72"/>
        <v/>
      </c>
      <c r="CH47" s="461" t="str">
        <f>IF(CD47="","",IF(AND($CA$3=$CA$1,CD47&lt;=$CT$1),0,ROUND(IF(CV47=3,0,IF(CV47=2,IF(CF47=VLOOKUP(CF47,'IN RPS-2015'!$I$2:$J$5,1),0,Main!$H$9)/2,IF(CF47=VLOOKUP(CF47,'IN RPS-2015'!$I$2:$J$5,1),0,Main!$H$9)))*(DAY(CE47)-DAY(CD47)+1)/DAY(EOMONTH(CD47,0)),0)))</f>
        <v/>
      </c>
      <c r="CI47" s="461" t="str">
        <f>IF(CD47="","",IF(AND($CA$3=$CA$1,CD47&lt;=$CT$1),0,IF(CF47=VLOOKUP(CF47,'IN RPS-2015'!$I$2:$J$5,1),0,ROUND(CG47*VLOOKUP(CD47,$BZ$4:$CA$7,2)%,0))))</f>
        <v/>
      </c>
      <c r="CJ47" s="461" t="str">
        <f>IF(CD47="","",IF(AND($CA$3=$CA$1,CD47&lt;=$CT$1),0,IF(OR(CV47=3,CF47=VLOOKUP(CF47,'IN RPS-2015'!$I$2:$J$5,1)),0,ROUND(MIN(ROUND(CF47*VLOOKUP(CD47,$B$1:$G$4,2)%,0),VLOOKUP(CD47,$B$2:$I$4,IF($CA$3=$I$29,7,8),TRUE))*(DAY(CE47)-DAY(CD47)+1)/DAY(EOMONTH(CD47,0)),0))))</f>
        <v/>
      </c>
      <c r="CK47" s="491" t="str">
        <f>IF(CD47="","",IF(AND($CA$3=$CA$1,CD47&lt;=$CT$1),0,IF(Main!$C$26="UGC",0,IF(OR(CD47&lt;DATE(2010,4,1),$I$6=VLOOKUP(CD47,$B$2:$G$4,5,TRUE),CF47=VLOOKUP(CF47,'IN RPS-2015'!$I$2:$J$5,1)),0,ROUND(IF(CV47=3,0,IF(CV47=2,MIN(ROUND(CF47*$G$13%,0),IF(CD47&lt;$J$152,$G$14,$G$15))/2,MIN(ROUND(CF47*$G$13%,0),IF(CD47&lt;$J$152,$G$14,$G$15))))*(DAY(CE47)-DAY(CD47)+1)/DAY(EOMONTH(CD47,0)),0)))))</f>
        <v/>
      </c>
      <c r="CL47" s="461" t="str">
        <f>IF(CD47="","",IF(AND($CA$3=$CA$1,CD47&lt;=$CT$1),0,IF(Main!$C$26="UGC",0,IF(CF47=VLOOKUP(CF47,'IN RPS-2015'!$I$2:$J$5,1),0,ROUND(CG47*VLOOKUP(CD47,$BZ$11:$CA$12,2)%,0)))))</f>
        <v/>
      </c>
      <c r="CM47" s="461" t="str">
        <f>IF(CD47="","",IF(AND($CA$3=$CA$1,CD47&lt;=$CT$1),0,IF(Main!$C$26="UGC",0,IF(CD47&lt;DATE(2010,4,1),0,IF(OR(CV47=2,CV47=3,CF47=VLOOKUP(CF47,'IN RPS-2015'!$I$2:$J$5,1)),0,ROUND(IF(CD47&lt;$J$152,VLOOKUP(CD47,$B$1:$G$4,4),VLOOKUP(VLOOKUP(CD47,$B$1:$G$4,4),Main!$CE$2:$CF$5,2,FALSE))*(DAY(CE47)-DAY(CD47)+1)/DAY(EOMONTH(CD47,0)),0))))))</f>
        <v/>
      </c>
      <c r="CN47" s="461" t="str">
        <f>IF(CD47="","",IF(AND($CA$3=$CA$1,CD47&lt;=$CT$1),0,IF(OR(CV47=2,CV47=3,$D$31=$D$28,CF47=VLOOKUP(CF47,'IN RPS-2015'!$I$2:$J$5,1)),0,ROUND(MIN(VLOOKUP(CC47,$A$27:$C$29,2,TRUE),ROUND(CF47*VLOOKUP(CC47,$A$27:$C$29,3,TRUE)%,0))*IF(CC47=$A$36,$C$36,IF(CC47=$A$37,$C$37,IF(CC47=$A$38,$C$38,IF(CC47=$A$39,$C$39,IF(CC47=$A$40,$C$40,IF(CC47=$A$41,$C$41,1))))))*(DAY(CE47)-DAY(CD47)+1)/DAY(EOMONTH(CD47,0)),0))))</f>
        <v/>
      </c>
      <c r="CO47" s="461" t="str">
        <f>IF(CD47="","",IF(AND($CA$3=$CA$1,CD47&lt;=$CT$1),0,IF(Main!$C$26="UGC",0,IF(OR(CV47=3,CF47=VLOOKUP(CF47,'IN RPS-2015'!$I$2:$J$5,1)),0,ROUND(IF(CV47=2,VLOOKUP(CF47,IF($CA$3=$I$29,$A$20:$E$23,$F$144:$J$147),IF($B$19=VLOOKUP(CD47,$B$2:$G$4,3,TRUE),2,IF($C$19=VLOOKUP(CD47,$B$2:$G$4,3,TRUE),3,IF($D$19=VLOOKUP(CD47,$B$2:$G$4,3,TRUE),4,5))),TRUE),VLOOKUP(CF47,IF($CA$3=$I$29,$A$20:$E$23,$F$144:$J$147),IF($B$19=VLOOKUP(CD47,$B$2:$G$4,3,TRUE),2,IF($C$19=VLOOKUP(CD47,$B$2:$G$4,3,TRUE),3,IF($D$19=VLOOKUP(CD47,$B$2:$G$4,3,TRUE),4,5))),TRUE))*(DAY(CE47)-DAY(CD47)+1)/DAY(EOMONTH(CD47,0)),0)))))</f>
        <v/>
      </c>
      <c r="CP47" s="461" t="str">
        <f>IF(CD47="","",IF(AND($CA$3=$CA$1,CD47&lt;=$CT$1),0,IF(Main!$C$26="UGC",0,IF(OR(CC47&lt;DATE(2010,4,1),CV47=3,CF47=VLOOKUP(CF47,'IN RPS-2015'!$I$2:$J$5,1)),0,ROUND(IF(CV47=2,IF(CD47&lt;$J$152,Main!$L$9,Main!$CI$3)/2,IF(CD47&lt;$J$152,Main!$L$9,Main!$CI$3))*(DAY(CE47)-DAY(CD47)+1)/DAY(EOMONTH(CD47,0)),0)))))</f>
        <v/>
      </c>
      <c r="CQ47" s="461"/>
      <c r="CR47" s="461" t="str">
        <f>IF(CD47="","",IF(AND($CA$3=$CA$1,CD47&lt;=$CT$1),0,IF(Main!$C$26="UGC",0,IF(OR(CV47=3,CF47=VLOOKUP(CF47,'IN RPS-2015'!$I$2:$J$5,1)),0,ROUND(IF(CV47=2,VLOOKUP(CG47,IF(CD47&lt;$J$152,$A$154:$E$159,$F$154:$J$159),IF($B$10=VLOOKUP(CC47,$B$2:$G$4,6,TRUE),2,IF($B$10=VLOOKUP(CC47,$B$2:$G$4,6,TRUE),3,IF($D$10=VLOOKUP(CC47,$B$2:$G$4,6,TRUE),4,5))))/2,VLOOKUP(CG47,IF(CD47&lt;$J$152,$A$154:$E$159,$F$154:$J$159),IF($B$10=VLOOKUP(CC47,$B$2:$G$4,6,TRUE),2,IF($B$10=VLOOKUP(CC47,$B$2:$G$4,6,TRUE),3,IF($D$10=VLOOKUP(CC47,$B$2:$G$4,6,TRUE),4,5)))))*(DAY(CE47)-DAY(CD47)+1)/DAY(EOMONTH(CD47,0)),0)))))</f>
        <v/>
      </c>
      <c r="CS47" s="461">
        <f t="shared" si="73"/>
        <v>0</v>
      </c>
      <c r="CT47" s="464" t="str">
        <f>IF(CD47="","",IF(AND($CA$3=$CA$1,CD47&lt;=$CT$1),0,IF(AND(Main!$F$22=Main!$CA$24,CD47&gt;$CT$1),ROUND(SUM(CG47,CI47)*10%,0),"")))</f>
        <v/>
      </c>
      <c r="CU47" s="464" t="str">
        <f>IF(CC47="","",IF(CG47=0,0,IF(OR(Main!$H$10=Main!$BH$4,Main!$H$10=Main!$BH$5),0,LOOKUP(CS47*DAY(EOMONTH(CD47,0))/(DAY(CE47)-DAY(CD47)+1),$H$184:$I$189))))</f>
        <v/>
      </c>
      <c r="CV47" s="457">
        <f t="shared" si="74"/>
        <v>1</v>
      </c>
      <c r="CW47" s="464"/>
      <c r="CX47" s="501" t="str">
        <f t="shared" si="59"/>
        <v/>
      </c>
      <c r="CY47" s="502" t="str">
        <f t="shared" si="87"/>
        <v/>
      </c>
      <c r="CZ47" s="484" t="str">
        <f>IF(CY47="","",MIN(EOMONTH(CY47,0),VLOOKUP(CY47,'IN RPS-2015'!$O$164:$P$202,2,TRUE)-1,LOOKUP(CY47,$E$47:$F$53)-1,IF(CY47&lt;$B$2,$B$2-1,'IN RPS-2015'!$Q$9),IF(CY47&lt;$B$3,$B$3-1,'IN RPS-2015'!$Q$9),IF(CY47&lt;$B$4,$B$4-1,'IN RPS-2015'!$Q$9),LOOKUP(CY47,$H$47:$I$53)))</f>
        <v/>
      </c>
      <c r="DA47" s="493" t="str">
        <f>IF(CY47="","",VLOOKUP(CY47,'IN RPS-2015'!$T$207:$Y$222,6))</f>
        <v/>
      </c>
      <c r="DB47" s="461" t="str">
        <f t="shared" si="75"/>
        <v/>
      </c>
      <c r="DC47" s="461" t="str">
        <f>IF(CY47="","",IF(AND($CA$3=$CA$1,CY47&lt;=$CT$1),0,ROUND(IF(DQ47=3,0,IF(DQ47=2,IF(DA47=VLOOKUP(DA47,'IN RPS-2015'!$I$2:$J$5,1),0,Main!$H$9)/2,IF(DA47=VLOOKUP(DA47,'IN RPS-2015'!$I$2:$J$5,1),0,Main!$H$9)))*(DAY(CZ47)-DAY(CY47)+1)/DAY(EOMONTH(CY47,0)),0)))</f>
        <v/>
      </c>
      <c r="DD47" s="461" t="str">
        <f>IF(CY47="","",IF(AND($CA$3=$CA$1,CY47&lt;=$CT$1),0,IF(DA47=VLOOKUP(DA47,'IN RPS-2015'!$I$2:$J$5,1),0,ROUND(DB47*VLOOKUP(CY47,$BZ$4:$CA$7,2)%,0))))</f>
        <v/>
      </c>
      <c r="DE47" s="461" t="str">
        <f>IF(CY47="","",IF(AND($CA$3=$CA$1,CY47&lt;=$CT$1),0,IF(OR(DQ47=3,DA47=VLOOKUP(DA47,'IN RPS-2015'!$I$2:$J$5,1)),0,ROUND(MIN(ROUND(DA47*VLOOKUP(CY47,$B$1:$G$4,2)%,0),VLOOKUP(CY47,$B$2:$I$4,IF($CA$3=$I$29,7,8),TRUE))*(DAY(CZ47)-DAY(CY47)+1)/DAY(EOMONTH(CY47,0)),0))))</f>
        <v/>
      </c>
      <c r="DF47" s="491" t="str">
        <f>IF(CY47="","",IF(AND($CA$3=$CA$1,CY47&lt;=$CT$1),0,IF(Main!$C$26="UGC",0,IF(OR(CY47&lt;DATE(2010,4,1),$I$6=VLOOKUP(CY47,$B$2:$G$4,5,TRUE),DA47=VLOOKUP(DA47,'IN RPS-2015'!$I$2:$J$5,1)),0,ROUND(IF(DQ47=3,0,IF(DQ47=2,MIN(ROUND(DA47*$G$13%,0),IF(CY47&lt;$J$152,$G$14,$G$15))/2,MIN(ROUND(DA47*$G$13%,0),IF(CY47&lt;$J$152,$G$14,$G$15))))*(DAY(CZ47)-DAY(CY47)+1)/DAY(EOMONTH(CY47,0)),0)))))</f>
        <v/>
      </c>
      <c r="DG47" s="461" t="str">
        <f>IF(CY47="","",IF(AND($CA$3=$CA$1,CY47&lt;=$CT$1),0,IF(Main!$C$26="UGC",0,IF(DA47=VLOOKUP(DA47,'IN RPS-2015'!$I$2:$J$5,1),0,ROUND(DB47*VLOOKUP(CY47,$BZ$11:$CA$12,2)%,0)))))</f>
        <v/>
      </c>
      <c r="DH47" s="461" t="str">
        <f>IF(CY47="","",IF(AND($CA$3=$CA$1,CY47&lt;=$CT$1),0,IF(Main!$C$26="UGC",0,IF(CY47&lt;DATE(2010,4,1),0,IF(OR(DQ47=2,DQ47=3,DA47=VLOOKUP(DA47,'IN RPS-2015'!$I$2:$J$5,1)),0,ROUND(IF(CY47&lt;$J$152,VLOOKUP(CY47,$B$1:$G$4,4),VLOOKUP(VLOOKUP(CY47,$B$1:$G$4,4),Main!$CE$2:$CF$5,2,FALSE))*(DAY(CZ47)-DAY(CY47)+1)/DAY(EOMONTH(CY47,0)),0))))))</f>
        <v/>
      </c>
      <c r="DI47" s="461" t="str">
        <f>IF(CY47="","",IF(AND($CA$3=$CA$1,CY47&lt;=$CT$1),0,IF(OR(DQ47=2,DQ47=3,$D$31=$D$28,DA47=VLOOKUP(DA47,'IN RPS-2015'!$I$2:$J$5,1)),0,ROUND(MIN(VLOOKUP(CX47,$A$27:$C$29,2,TRUE),ROUND(DA47*VLOOKUP(CX47,$A$27:$C$29,3,TRUE)%,0))*IF(CX47=$A$36,$C$36,IF(CX47=$A$37,$C$37,IF(CX47=$A$38,$C$38,IF(CX47=$A$39,$C$39,IF(CX47=$A$40,$C$40,IF(CX47=$A$41,$C$41,1))))))*(DAY(CZ47)-DAY(CY47)+1)/DAY(EOMONTH(CY47,0)),0))))</f>
        <v/>
      </c>
      <c r="DJ47" s="461" t="str">
        <f>IF(CY47="","",IF(AND($CA$3=$CA$1,CY47&lt;=$CT$1),0,IF(Main!$C$26="UGC",0,IF(OR(DQ47=3,DA47=VLOOKUP(DA47,'IN RPS-2015'!$I$2:$J$5,1)),0,ROUND(IF(DQ47=2,VLOOKUP(DA47,IF($CA$3=$I$29,$A$20:$E$23,$F$144:$J$147),IF($B$19=VLOOKUP(CY47,$B$2:$G$4,3,TRUE),2,IF($C$19=VLOOKUP(CY47,$B$2:$G$4,3,TRUE),3,IF($D$19=VLOOKUP(CY47,$B$2:$G$4,3,TRUE),4,5))),TRUE),VLOOKUP(DA47,IF($CA$3=$I$29,$A$20:$E$23,$F$144:$J$147),IF($B$19=VLOOKUP(CY47,$B$2:$G$4,3,TRUE),2,IF($C$19=VLOOKUP(CY47,$B$2:$G$4,3,TRUE),3,IF($D$19=VLOOKUP(CY47,$B$2:$G$4,3,TRUE),4,5))),TRUE))*(DAY(CZ47)-DAY(CY47)+1)/DAY(EOMONTH(CY47,0)),0)))))</f>
        <v/>
      </c>
      <c r="DK47" s="461" t="str">
        <f>IF(CY47="","",IF(AND($CA$3=$CA$1,CY47&lt;=$CT$1),0,IF(Main!$C$26="UGC",0,IF(OR(CX47&lt;DATE(2010,4,1),DQ47=3,DA47=VLOOKUP(DA47,'IN RPS-2015'!$I$2:$J$5,1)),0,ROUND(IF(DQ47=2,IF(CY47&lt;$J$152,Main!$L$9,Main!$CI$3)/2,IF(CY47&lt;$J$152,Main!$L$9,Main!$CI$3))*(DAY(CZ47)-DAY(CY47)+1)/DAY(EOMONTH(CY47,0)),0)))))</f>
        <v/>
      </c>
      <c r="DL47" s="461"/>
      <c r="DM47" s="461" t="str">
        <f>IF(CY47="","",IF(AND($CA$3=$CA$1,CY47&lt;=$CT$1),0,IF(Main!$C$26="UGC",0,IF(OR(DQ47=3,DA47=VLOOKUP(DA47,'IN RPS-2015'!$I$2:$J$5,1)),0,ROUND(IF(DQ47=2,VLOOKUP(DB47,IF(CY47&lt;$J$152,$A$154:$E$159,$F$154:$J$159),IF($B$10=VLOOKUP(CX47,$B$2:$G$4,6,TRUE),2,IF($B$10=VLOOKUP(CX47,$B$2:$G$4,6,TRUE),3,IF($D$10=VLOOKUP(CX47,$B$2:$G$4,6,TRUE),4,5))))/2,VLOOKUP(DB47,IF(CY47&lt;$J$152,$A$154:$E$159,$F$154:$J$159),IF($B$10=VLOOKUP(CX47,$B$2:$G$4,6,TRUE),2,IF($B$10=VLOOKUP(CX47,$B$2:$G$4,6,TRUE),3,IF($D$10=VLOOKUP(CX47,$B$2:$G$4,6,TRUE),4,5)))))*(DAY(CZ47)-DAY(CY47)+1)/DAY(EOMONTH(CY47,0)),0)))))</f>
        <v/>
      </c>
      <c r="DN47" s="461">
        <f t="shared" si="76"/>
        <v>0</v>
      </c>
      <c r="DO47" s="464" t="str">
        <f>IF(CY47="","",IF(AND($CA$3=$CA$1,CY47&lt;=$CT$1),0,IF(AND(Main!$F$22=Main!$CA$24,CY47&gt;$CT$1),ROUND(SUM(DB47,DD47)*10%,0),"")))</f>
        <v/>
      </c>
      <c r="DP47" s="464" t="str">
        <f>IF(CX47="","",IF(AND($CA$3=$CA$1,CY47&lt;=$CT$1),0,IF(OR(Main!$H$10=Main!$BH$4,Main!$H$10=Main!$BH$5),0,LOOKUP(DN47*DAY(EOMONTH(CY47,0))/(DAY(CZ47)-DAY(CY47)+1),$H$184:$I$189))))</f>
        <v/>
      </c>
      <c r="DQ47" s="457">
        <f t="shared" si="60"/>
        <v>1</v>
      </c>
      <c r="DR47" s="457">
        <f t="shared" si="77"/>
        <v>0</v>
      </c>
      <c r="DS47" s="457"/>
      <c r="DT47" s="457"/>
      <c r="DU47" s="457"/>
      <c r="DV47" s="461"/>
      <c r="DW47" s="499" t="str">
        <f t="shared" si="61"/>
        <v/>
      </c>
      <c r="DX47" s="500" t="str">
        <f t="shared" si="88"/>
        <v/>
      </c>
      <c r="DY47" s="484" t="str">
        <f>IF(DX47="","",MIN(EOMONTH(DX47,0),VLOOKUP(DX47,'IN RPS-2015'!$O$164:$P$202,2,TRUE)-1,LOOKUP(DX47,$E$47:$F$53)-1,IF(DX47&lt;$B$2,$B$2-1,'IN RPS-2015'!$Q$9),IF(DX47&lt;$B$3,$B$3-1,'IN RPS-2015'!$Q$9),IF(DX47&lt;$B$4,$B$4-1,'IN RPS-2015'!$Q$9),LOOKUP(DX47,$H$47:$I$53)))</f>
        <v/>
      </c>
      <c r="DZ47" s="490" t="str">
        <f>IF(DX47="","",VLOOKUP(DX47,'IN RPS-2015'!$P$164:$AA$202,11))</f>
        <v/>
      </c>
      <c r="EA47" s="461" t="str">
        <f t="shared" si="78"/>
        <v/>
      </c>
      <c r="EB47" s="461" t="str">
        <f>IF(DX47="","",ROUND(IF(EP47=3,0,IF(EP47=2,IF(DZ47=VLOOKUP(DZ47,'IN RPS-2015'!$I$2:$J$5,1),0,Main!$H$9)/2,IF(DZ47=VLOOKUP(DZ47,'IN RPS-2015'!$I$2:$J$5,1),0,Main!$H$9)))*(DAY(DY47)-DAY(DX47)+1)/DAY(EOMONTH(DX47,0)),0))</f>
        <v/>
      </c>
      <c r="EC47" s="461" t="str">
        <f>IF(DX47="","",IF(DZ47=VLOOKUP(DZ47,'IN RPS-2015'!$I$2:$J$5,1),0,ROUND(EA47*VLOOKUP(DX47,$DT$4:$DU$7,2)%,0)))</f>
        <v/>
      </c>
      <c r="ED47" s="461" t="str">
        <f>IF(DX47="","",IF(OR(EP47=3,DZ47=VLOOKUP(DZ47,'IN RPS-2015'!$I$2:$J$5,1)),0,ROUND(MIN(ROUND(DZ47*VLOOKUP(DX47,$B$1:$G$4,2)%,0),VLOOKUP(DX47,$B$2:$I$4,IF($DU$3=$I$29,7,8),TRUE))*(DAY(DY47)-DAY(DX47)+1)/DAY(EOMONTH(DX47,0)),0)))</f>
        <v/>
      </c>
      <c r="EE47" s="491" t="str">
        <f>IF(DX47="","",IF(Main!$C$26="UGC",0,IF(OR(DX47&lt;DATE(2010,4,1),$I$6=VLOOKUP(DX47,$B$2:$G$4,5,TRUE),DZ47=VLOOKUP(DZ47,'IN RPS-2015'!$I$2:$J$5,1)),0,ROUND(IF(EP47=3,0,IF(EP47=2,MIN(ROUND(DZ47*$G$13%,0),IF(DX47&lt;$I$152,$G$14,$G$15))/2,MIN(ROUND(DZ47*$G$13%,0),IF(DX47&lt;$I$152,$G$14,$G$15))))*(DAY(DY47)-DAY(DX47)+1)/DAY(EOMONTH(DX47,0)),0))))</f>
        <v/>
      </c>
      <c r="EF47" s="461" t="str">
        <f>IF(DX47="","",IF(Main!$C$26="UGC",0,IF(DZ47=VLOOKUP(DZ47,'IN RPS-2015'!$I$2:$J$5,1),0,ROUND(EA47*VLOOKUP(DX47,$DT$11:$DU$12,2)%,0))))</f>
        <v/>
      </c>
      <c r="EG47" s="461" t="str">
        <f>IF(DX47="","",IF(Main!$C$26="UGC",0,IF(DX47&lt;DATE(2010,4,1),0,IF(OR(EP47=2,EP47=3,DZ47=VLOOKUP(DZ47,'IN RPS-2015'!$I$2:$J$5,1)),0,ROUND(IF(DX47&lt;$I$152,VLOOKUP(DX47,$B$1:$G$4,4),VLOOKUP(VLOOKUP(DX47,$B$1:$G$4,4),Main!$CE$2:$CF$5,2,FALSE))*(DAY(DY47)-DAY(DX47)+1)/DAY(EOMONTH(DX47,0)),0)))))</f>
        <v/>
      </c>
      <c r="EH47" s="461" t="str">
        <f>IF(DX47="","",IF(OR(EP47=2,EP47=3,$D$31=$D$28,DZ47=VLOOKUP(DZ47,'IN RPS-2015'!$I$2:$J$5,1)),0,ROUND(MIN(IF(DX47&lt;$I$152,900,1350),ROUND(DZ47*VLOOKUP(DW47,$A$27:$C$29,3,TRUE)%,0))*IF(DW47=$A$36,$C$36,IF(DW47=$A$37,$C$37,IF(DW47=$A$38,$C$38,IF(DW47=$A$39,$C$39,IF(DW47=$A$40,$C$40,IF(DW47=$A$41,$C$41,1))))))*(DAY(DY47)-DAY(DX47)+1)/DAY(EOMONTH(DX47,0)),0)))</f>
        <v/>
      </c>
      <c r="EI47" s="461" t="str">
        <f>IF(DX47="","",IF(Main!$C$26="UGC",0,IF(OR(EP47=3,DZ47=VLOOKUP(DZ47,'IN RPS-2015'!$I$2:$J$5,1)),0,ROUND(IF(EP47=2,VLOOKUP(DZ47,IF($DU$3=$I$29,$A$20:$E$23,$F$144:$J$147),IF($B$19=VLOOKUP(DX47,$B$2:$G$4,3,TRUE),2,IF($C$19=VLOOKUP(DX47,$B$2:$G$4,3,TRUE),3,IF($D$19=VLOOKUP(DX47,$B$2:$G$4,3,TRUE),4,5))),TRUE),VLOOKUP(DZ47,IF($DU$3=$I$29,$A$20:$E$23,$F$144:$J$147),IF($B$19=VLOOKUP(DX47,$B$2:$G$4,3,TRUE),2,IF($C$19=VLOOKUP(DX47,$B$2:$G$4,3,TRUE),3,IF($D$19=VLOOKUP(DX47,$B$2:$G$4,3,TRUE),4,5))),TRUE))*(DAY(DY47)-DAY(DX47)+1)/DAY(EOMONTH(DX47,0)),0))))</f>
        <v/>
      </c>
      <c r="EJ47" s="461" t="str">
        <f>IF(DX47="","",IF(Main!$C$26="UGC",0,IF(OR(DW47&lt;DATE(2010,4,1),EP47=3,DZ47=VLOOKUP(DZ47,'IN RPS-2015'!$I$2:$J$5,1)),0,ROUND(IF(EP47=2,IF(DX47&lt;$I$152,Main!$L$9,Main!$CI$3)/2,IF(DX47&lt;$I$152,Main!$L$9,Main!$CI$3))*(DAY(DY47)-DAY(DX47)+1)/DAY(EOMONTH(DX47,0)),0))))</f>
        <v/>
      </c>
      <c r="EK47" s="461"/>
      <c r="EL47" s="461" t="str">
        <f>IF(DX47="","",IF(Main!$C$26="UGC",0,IF(OR(EP47=3,DZ47=VLOOKUP(DZ47,'IN RPS-2015'!$I$2:$J$5,1)),0,ROUND(IF(EP47=2,VLOOKUP(EA47,IF(DX47&lt;$I$152,$A$154:$E$159,$F$154:$J$159),IF($B$10=VLOOKUP(DW47,$B$2:$G$4,6,TRUE),2,IF($B$10=VLOOKUP(DW47,$B$2:$G$4,6,TRUE),3,IF($D$10=VLOOKUP(DW47,$B$2:$G$4,6,TRUE),4,5))))/2,VLOOKUP(EA47,IF(DX47&lt;$I$152,$A$154:$E$159,$F$154:$J$159),IF($B$10=VLOOKUP(DW47,$B$2:$G$4,6,TRUE),2,IF($B$10=VLOOKUP(DW47,$B$2:$G$4,6,TRUE),3,IF($D$10=VLOOKUP(DW47,$B$2:$G$4,6,TRUE),4,5)))))*(DAY(DY47)-DAY(DX47)+1)/DAY(EOMONTH(DX47,0)),0))))</f>
        <v/>
      </c>
      <c r="EM47" s="461">
        <f t="shared" si="79"/>
        <v>0</v>
      </c>
      <c r="EN47" s="464" t="str">
        <f>IF(DX47="","",IF(AND(Main!$F$22=Main!$CA$24,DX47&gt;$EN$1),ROUND(SUM(EA47,EC47)*10%,0),""))</f>
        <v/>
      </c>
      <c r="EO47" s="464" t="str">
        <f>IF(DW47="","",IF(EA47=0,0,IF(OR(Main!$H$10=Main!$BH$4,Main!$H$10=Main!$BH$5),0,LOOKUP(EM47*DAY(EOMONTH(DX47,0))/(DAY(DY47)-DAY(DX47)+1),$H$184:$I$189))))</f>
        <v/>
      </c>
      <c r="EP47" s="457">
        <f t="shared" si="62"/>
        <v>1</v>
      </c>
      <c r="ET47" s="461"/>
      <c r="EU47" s="499" t="str">
        <f t="shared" si="63"/>
        <v/>
      </c>
      <c r="EV47" s="500" t="str">
        <f t="shared" si="89"/>
        <v/>
      </c>
      <c r="EW47" s="484" t="str">
        <f>IF(EV47="","",MIN(EOMONTH(EV47,0),VLOOKUP(EV47,'IN RPS-2015'!$O$164:$P$202,2,TRUE)-1,LOOKUP(EV47,$E$47:$F$53)-1,IF(EV47&lt;$B$2,$B$2-1,'IN RPS-2015'!$Q$9),IF(EV47&lt;$B$3,$B$3-1,'IN RPS-2015'!$Q$9),IF(EV47&lt;$B$4,$B$4-1,'IN RPS-2015'!$Q$9),LOOKUP(EV47,$H$47:$I$53)))</f>
        <v/>
      </c>
      <c r="EX47" s="490" t="str">
        <f>IF(EV47="","",VLOOKUP(EV47,'IN RPS-2015'!$P$164:$AA$202,12))</f>
        <v/>
      </c>
      <c r="EY47" s="461" t="str">
        <f t="shared" si="80"/>
        <v/>
      </c>
      <c r="EZ47" s="461" t="str">
        <f>IF(EV47="","",ROUND(IF(FN47=3,0,IF(FN47=2,IF(EX47=VLOOKUP(EX47,'IN RPS-2015'!$I$2:$J$5,1),0,Main!$H$9)/2,IF(EX47=VLOOKUP(EX47,'IN RPS-2015'!$I$2:$J$5,1),0,Main!$H$9)))*(DAY(EW47)-DAY(EV47)+1)/DAY(EOMONTH(EV47,0)),0))</f>
        <v/>
      </c>
      <c r="FA47" s="461" t="str">
        <f>IF(EV47="","",IF(EX47=VLOOKUP(EX47,'IN RPS-2015'!$I$2:$J$5,1),0,ROUND(EY47*VLOOKUP(EV47,$ER$4:$ES$7,2)%,0)))</f>
        <v/>
      </c>
      <c r="FB47" s="461" t="str">
        <f>IF(EV47="","",IF(OR(FN47=3,EX47=VLOOKUP(EX47,'IN RPS-2015'!$I$2:$J$5,1)),0,ROUND(MIN(ROUND(EX47*VLOOKUP(EV47,$B$1:$G$4,2)%,0),VLOOKUP(EV47,$B$2:$I$4,IF($ES$3=$I$29,7,8),TRUE))*(DAY(EW47)-DAY(EV47)+1)/DAY(EOMONTH(EV47,0)),0)))</f>
        <v/>
      </c>
      <c r="FC47" s="491" t="str">
        <f>IF(EV47="","",IF(Main!$C$26="UGC",0,IF(OR(EV47&lt;DATE(2010,4,1),$I$6=VLOOKUP(EV47,$B$2:$G$4,5,TRUE),EX47=VLOOKUP(EX47,'IN RPS-2015'!$I$2:$J$5,1)),0,ROUND(IF(FN47=3,0,IF(FN47=2,MIN(ROUND(EX47*$G$13%,0),IF(EV47&lt;$J$152,$G$14,$G$15))/2,MIN(ROUND(EX47*$G$13%,0),IF(EV47&lt;$J$152,$G$14,$G$15))))*(DAY(EW47)-DAY(EV47)+1)/DAY(EOMONTH(EV47,0)),0))))</f>
        <v/>
      </c>
      <c r="FD47" s="461" t="str">
        <f>IF(EV47="","",IF(Main!$C$26="UGC",0,IF(EX47=VLOOKUP(EX47,'IN RPS-2015'!$I$2:$J$5,1),0,ROUND(EY47*VLOOKUP(EV47,$ER$11:$ES$12,2)%,0))))</f>
        <v/>
      </c>
      <c r="FE47" s="461" t="str">
        <f>IF(EV47="","",IF(Main!$C$26="UGC",0,IF(EV47&lt;DATE(2010,4,1),0,IF(OR(FN47=2,FN47=3,EX47=VLOOKUP(EX47,'IN RPS-2015'!$I$2:$J$5,1)),0,ROUND(IF(EV47&lt;$J$152,VLOOKUP(EV47,$B$1:$G$4,4),VLOOKUP(VLOOKUP(EV47,$B$1:$G$4,4),Main!$CE$2:$CF$5,2,FALSE))*(DAY(EW47)-DAY(EV47)+1)/DAY(EOMONTH(EV47,0)),0)))))</f>
        <v/>
      </c>
      <c r="FF47" s="461" t="str">
        <f>IF(EV47="","",IF(OR(FN47=2,FN47=3,$D$31=$D$28,EX47=VLOOKUP(EX47,'IN RPS-2015'!$I$2:$J$5,1)),0,ROUND(MIN(VLOOKUP(EU47,$A$27:$C$29,2,TRUE),ROUND(EX47*VLOOKUP(EU47,$A$27:$C$29,3,TRUE)%,0))*IF(EU47=$A$36,$C$36,IF(EU47=$A$37,$C$37,IF(EU47=$A$38,$C$38,IF(EU47=$A$39,$C$39,IF(EU47=$A$40,$C$40,IF(EU47=$A$41,$C$41,1))))))*(DAY(EW47)-DAY(EV47)+1)/DAY(EOMONTH(EV47,0)),0)))</f>
        <v/>
      </c>
      <c r="FG47" s="461" t="str">
        <f>IF(EV47="","",IF(Main!$C$26="UGC",0,IF(OR(FN47=3,EX47=VLOOKUP(EX47,'IN RPS-2015'!$I$2:$J$5,1)),0,ROUND(IF(FN47=2,VLOOKUP(EX47,IF($ES$3=$I$29,$A$20:$E$23,$F$144:$J$147),IF($B$19=VLOOKUP(EV47,$B$2:$G$4,3,TRUE),2,IF($C$19=VLOOKUP(EV47,$B$2:$G$4,3,TRUE),3,IF($D$19=VLOOKUP(EV47,$B$2:$G$4,3,TRUE),4,5))),TRUE),VLOOKUP(EX47,IF($ES$3=$I$29,$A$20:$E$23,$F$144:$J$147),IF($B$19=VLOOKUP(EV47,$B$2:$G$4,3,TRUE),2,IF($C$19=VLOOKUP(EV47,$B$2:$G$4,3,TRUE),3,IF($D$19=VLOOKUP(EV47,$B$2:$G$4,3,TRUE),4,5))),TRUE))*(DAY(EW47)-DAY(EV47)+1)/DAY(EOMONTH(EV47,0)),0))))</f>
        <v/>
      </c>
      <c r="FH47" s="461" t="str">
        <f>IF(EV47="","",IF(Main!$C$26="UGC",0,IF(OR(EU47&lt;DATE(2010,4,1),FN47=3,EX47=VLOOKUP(EX47,'IN RPS-2015'!$I$2:$J$5,1)),0,ROUND(IF(FN47=2,IF(EV47&lt;$J$152,Main!$L$9,Main!$CI$3)/2,IF(EV47&lt;$J$152,Main!$L$9,Main!$CI$3))*(DAY(EW47)-DAY(EV47)+1)/DAY(EOMONTH(EV47,0)),0))))</f>
        <v/>
      </c>
      <c r="FI47" s="461"/>
      <c r="FJ47" s="461" t="str">
        <f>IF(EV47="","",IF(Main!$C$26="UGC",0,IF(OR(FN47=3,EX47=VLOOKUP(EX47,'IN RPS-2015'!$I$2:$J$5,1)),0,ROUND(IF(FN47=2,VLOOKUP(EY47,IF(EV47&lt;$J$152,$A$154:$E$159,$F$154:$J$159),IF($B$10=VLOOKUP(EU47,$B$2:$G$4,6,TRUE),2,IF($B$10=VLOOKUP(EU47,$B$2:$G$4,6,TRUE),3,IF($D$10=VLOOKUP(EU47,$B$2:$G$4,6,TRUE),4,5))))/2,VLOOKUP(EY47,IF(EV47&lt;$J$152,$A$154:$E$159,$F$154:$J$159),IF($B$10=VLOOKUP(EU47,$B$2:$G$4,6,TRUE),2,IF($B$10=VLOOKUP(EU47,$B$2:$G$4,6,TRUE),3,IF($D$10=VLOOKUP(EU47,$B$2:$G$4,6,TRUE),4,5)))))*(DAY(EW47)-DAY(EV47)+1)/DAY(EOMONTH(EV47,0)),0))))</f>
        <v/>
      </c>
      <c r="FK47" s="461">
        <f t="shared" si="81"/>
        <v>0</v>
      </c>
      <c r="FL47" s="464" t="str">
        <f>IF(EV47="","",IF(AND(Main!$F$22=Main!$CA$24,EV47&gt;$FL$1),ROUND(SUM(EY47,FA47)*10%,0),""))</f>
        <v/>
      </c>
      <c r="FM47" s="464" t="str">
        <f>IF(EU47="","",IF(EY47=0,0,IF(OR(Main!$H$10=Main!$BH$4,Main!$H$10=Main!$BH$5),0,LOOKUP(FK47*DAY(EOMONTH(EV47,0))/(DAY(EW47)-DAY(EV47)+1),$H$184:$I$189))))</f>
        <v/>
      </c>
      <c r="FN47" s="457">
        <f t="shared" si="64"/>
        <v>1</v>
      </c>
    </row>
    <row r="48" spans="1:170">
      <c r="A48" s="459">
        <f>DATE(2014,7,1)</f>
        <v>41821</v>
      </c>
      <c r="B48" s="457">
        <v>77.896000000000001</v>
      </c>
      <c r="C48" s="457">
        <v>8.9079999999999995</v>
      </c>
      <c r="D48" s="457">
        <v>107</v>
      </c>
      <c r="E48" s="515">
        <f t="shared" ref="E48:E53" si="94">F38</f>
        <v>42461</v>
      </c>
      <c r="F48" s="516">
        <f t="shared" si="92"/>
        <v>42461</v>
      </c>
      <c r="G48" s="514">
        <f t="shared" ref="G48:G53" si="95">E38</f>
        <v>1</v>
      </c>
      <c r="H48" s="516">
        <f t="shared" ref="H48:H53" si="96">G38+1</f>
        <v>42462</v>
      </c>
      <c r="I48" s="516">
        <f t="shared" si="93"/>
        <v>42461</v>
      </c>
      <c r="AH48" s="461"/>
      <c r="AI48" s="499" t="str">
        <f t="shared" si="54"/>
        <v/>
      </c>
      <c r="AJ48" s="500" t="str">
        <f t="shared" si="84"/>
        <v/>
      </c>
      <c r="AK48" s="484" t="str">
        <f>IF(AJ48="","",MIN(EOMONTH(AJ48,0),VLOOKUP(AJ48,'IN RPS-2015'!$O$164:$P$202,2,TRUE)-1,LOOKUP(AJ48,$E$47:$F$53)-1,IF(AJ48&lt;$B$2,$B$2-1,'IN RPS-2015'!$Q$9),IF(AJ48&lt;$B$3,$B$3-1,'IN RPS-2015'!$Q$9),IF(AJ48&lt;$B$4,$B$4-1,'IN RPS-2015'!$Q$9),LOOKUP(AJ48,$H$47:$I$53)))</f>
        <v/>
      </c>
      <c r="AL48" s="490" t="str">
        <f>IF(AJ48="","",VLOOKUP(AJ48,'IN RPS-2015'!$P$164:$AA$202,9))</f>
        <v/>
      </c>
      <c r="AM48" s="461" t="str">
        <f t="shared" si="66"/>
        <v/>
      </c>
      <c r="AN48" s="461" t="str">
        <f>IF(AJ48="","",IF(AND($AG$3=$AG$1,AJ48&lt;=$AZ$1),0,ROUND(IF(BB48=3,0,IF(BB48=2,IF(AL48=VLOOKUP(AL48,'IN RPS-2015'!$I$2:$J$5,1),0,Main!$H$9)/2,IF(AL48=VLOOKUP(AL48,'IN RPS-2015'!$I$2:$J$5,1),0,Main!$H$9)))*(DAY(AK48)-DAY(AJ48)+1)/DAY(EOMONTH(AJ48,0)),0)))</f>
        <v/>
      </c>
      <c r="AO48" s="461" t="str">
        <f>IF(AJ48="","",IF(AND($AG$3=$AG$1,AJ48&lt;=$AZ$1),0,IF(AL48=VLOOKUP(AL48,'IN RPS-2015'!$I$2:$J$5,1),0,ROUND(AM48*VLOOKUP(AJ48,$AF$4:$AG$7,2)%,0))))</f>
        <v/>
      </c>
      <c r="AP48" s="461" t="str">
        <f>IF(AJ48="","",IF(AND($AG$3=$AG$1,AJ48&lt;=$AZ$1),0,IF(OR(BB48=3,AL48=VLOOKUP(AL48,'IN RPS-2015'!$I$2:$J$5,1)),0,ROUND(MIN(ROUND(AL48*VLOOKUP(AJ48,$B$1:$G$4,2)%,0),VLOOKUP(AJ48,$B$2:$I$4,IF($AG$3=$I$29,7,8),TRUE))*(DAY(AK48)-DAY(AJ48)+1)/DAY(EOMONTH(AJ48,0)),0))))</f>
        <v/>
      </c>
      <c r="AQ48" s="491" t="str">
        <f>IF(AJ48="","",IF(AND($AG$3=$AG$1,AJ48&lt;=$AZ$1),0,IF(Main!$C$26="UGC",0,IF(OR(AJ48&lt;DATE(2010,4,1),$I$6=VLOOKUP(AJ48,$B$2:$G$4,5,TRUE),AL48=VLOOKUP(AL48,'IN RPS-2015'!$I$2:$J$5,1)),0,ROUND(IF(BB48=3,0,IF(BB48=2,MIN(ROUND(AL48*$G$13%,0),IF(AJ48&lt;$J$152,$G$14,$G$15))/2,MIN(ROUND(AL48*$G$13%,0),IF(AJ48&lt;$J$152,$G$14,$G$15))))*(DAY(AK48)-DAY(AJ48)+1)/DAY(EOMONTH(AJ48,0)),0)))))</f>
        <v/>
      </c>
      <c r="AR48" s="461" t="str">
        <f>IF(AJ48="","",IF(AND($AG$3=$AG$1,AJ48&lt;=$AZ$1),0,IF(Main!$C$26="UGC",0,IF(AL48=VLOOKUP(AL48,'IN RPS-2015'!$I$2:$J$5,1),0,ROUND(AM48*VLOOKUP(AJ48,$AF$11:$AG$12,2)%,0)))))</f>
        <v/>
      </c>
      <c r="AS48" s="461" t="str">
        <f>IF(AJ48="","",IF(AND($AG$3=$AG$1,AJ48&lt;=$AZ$1),0,IF(Main!$C$26="UGC",0,IF(AJ48&lt;DATE(2010,4,1),0,IF(OR(BB48=2,BB48=3,AL48=VLOOKUP(AL48,'IN RPS-2015'!$I$2:$J$5,1)),0,ROUND(IF(AJ48&lt;$J$152,VLOOKUP(AJ48,$B$1:$G$4,4),VLOOKUP(VLOOKUP(AJ48,$B$1:$G$4,4),Main!$CE$2:$CF$5,2,FALSE))*(DAY(AK48)-DAY(AJ48)+1)/DAY(EOMONTH(AJ48,0)),0))))))</f>
        <v/>
      </c>
      <c r="AT48" s="461" t="str">
        <f>IF(AJ48="","",IF(AND($AG$3=$AG$1,AJ48&lt;=$AZ$1),0,IF(OR(BB48=2,BB48=3,$D$31=$D$28,AL48=VLOOKUP(AL48,'IN RPS-2015'!$I$2:$J$5,1)),0,ROUND(MIN(VLOOKUP(AI48,$A$27:$C$29,2,TRUE),ROUND(AL48*VLOOKUP(AI48,$A$27:$C$29,3,TRUE)%,0))*IF(AI48=$A$36,$C$36,IF(AI48=$A$37,$C$37,IF(AI48=$A$38,$C$38,IF(AI48=$A$39,$C$39,IF(AI48=$A$40,$C$40,IF(AI48=$A$41,$C$41,1))))))*(DAY(AK48)-DAY(AJ48)+1)/DAY(EOMONTH(AJ48,0)),0))))</f>
        <v/>
      </c>
      <c r="AU48" s="461" t="str">
        <f>IF(AJ48="","",IF(AND($AG$3=$AG$1,AJ48&lt;=$AZ$1),0,IF(Main!$C$26="UGC",0,IF(OR(BB48=3,AL48=VLOOKUP(AL48,'IN RPS-2015'!$I$2:$J$5,1)),0,ROUND(IF(BB48=2,VLOOKUP(AL48,IF($AG$3=$I$29,$A$20:$E$23,$F$144:$J$147),IF($B$19=VLOOKUP(AJ48,$B$2:$G$4,3,TRUE),2,IF($C$19=VLOOKUP(AJ48,$B$2:$G$4,3,TRUE),3,IF($D$19=VLOOKUP(AJ48,$B$2:$G$4,3,TRUE),4,5))),TRUE),VLOOKUP(AL48,IF($AG$3=$I$29,$A$20:$E$23,$F$144:$J$147),IF($B$19=VLOOKUP(AJ48,$B$2:$G$4,3,TRUE),2,IF($C$19=VLOOKUP(AJ48,$B$2:$G$4,3,TRUE),3,IF($D$19=VLOOKUP(AJ48,$B$2:$G$4,3,TRUE),4,5))),TRUE))*(DAY(AK48)-DAY(AJ48)+1)/DAY(EOMONTH(AJ48,0)),0)))))</f>
        <v/>
      </c>
      <c r="AV48" s="461" t="str">
        <f>IF(AJ48="","",IF(AND($AG$3=$AG$1,AJ48&lt;=$AZ$1),0,IF(Main!$C$26="UGC",0,IF(OR(AI48&lt;DATE(2010,4,1),BB48=3,AL48=VLOOKUP(AL48,'IN RPS-2015'!$I$2:$J$5,1)),0,ROUND(IF(BB48=2,IF(AJ48&lt;$J$152,Main!$L$9,Main!$CI$3)/2,IF(AJ48&lt;$J$152,Main!$L$9,Main!$CI$3))*(DAY(AK48)-DAY(AJ48)+1)/DAY(EOMONTH(AJ48,0)),0)))))</f>
        <v/>
      </c>
      <c r="AW48" s="461"/>
      <c r="AX48" s="461" t="str">
        <f>IF(AJ48="","",IF(AND($AG$3=$AG$1,AJ48&lt;=$AZ$1),0,IF(Main!$C$26="UGC",0,IF(OR(BB48=3,AL48=VLOOKUP(AL48,'IN RPS-2015'!$I$2:$J$5,1)),0,ROUND(IF(BB48=2,VLOOKUP(AM48,IF(AJ48&lt;$J$152,$A$154:$E$159,$F$154:$J$159),IF($B$10=VLOOKUP(AI48,$B$2:$G$4,6,TRUE),2,IF($B$10=VLOOKUP(AI48,$B$2:$G$4,6,TRUE),3,IF($D$10=VLOOKUP(AI48,$B$2:$G$4,6,TRUE),4,5))))/2,VLOOKUP(AM48,IF(AJ48&lt;$J$152,$A$154:$E$159,$F$154:$J$159),IF($B$10=VLOOKUP(AI48,$B$2:$G$4,6,TRUE),2,IF($B$10=VLOOKUP(AI48,$B$2:$G$4,6,TRUE),3,IF($D$10=VLOOKUP(AI48,$B$2:$G$4,6,TRUE),4,5)))))*(DAY(AK48)-DAY(AJ48)+1)/DAY(EOMONTH(AJ48,0)),0)))))</f>
        <v/>
      </c>
      <c r="AY48" s="461">
        <f t="shared" si="67"/>
        <v>0</v>
      </c>
      <c r="AZ48" s="464" t="str">
        <f>IF(AJ48="","",IF(AND($AG$3=$AG$1,AJ48&lt;=$AZ$1),0,IF(AND(Main!$F$22=Main!$CA$24,AJ48&gt;$AZ$1),ROUND(SUM(AM48,AO48)*10%,0),"")))</f>
        <v/>
      </c>
      <c r="BA48" s="464" t="str">
        <f>IF(AI48="","",IF(AND($AG$3=$AG$1,AJ48&lt;=$AZ$1),0,IF(OR(Main!$H$10=Main!$BH$4,Main!$H$10=Main!$BH$5),0,LOOKUP(AY48*DAY(EOMONTH(AJ48,0))/(DAY(AK48)-DAY(AJ48)+1),$H$184:$I$189))))</f>
        <v/>
      </c>
      <c r="BB48" s="497">
        <f t="shared" si="55"/>
        <v>1</v>
      </c>
      <c r="BC48" s="464"/>
      <c r="BD48" s="501" t="str">
        <f t="shared" si="56"/>
        <v/>
      </c>
      <c r="BE48" s="502" t="str">
        <f t="shared" si="85"/>
        <v/>
      </c>
      <c r="BF48" s="484" t="str">
        <f>IF(BE48="","",MIN(EOMONTH(BE48,0),VLOOKUP(BE48,'IN RPS-2015'!$O$164:$P$202,2,TRUE)-1,LOOKUP(BE48,$E$47:$F$53)-1,IF(BE48&lt;$B$2,$B$2-1,'IN RPS-2015'!$Q$9),IF(BE48&lt;$B$3,$B$3-1,'IN RPS-2015'!$Q$9),IF(BE48&lt;$B$4,$B$4-1,'IN RPS-2015'!$Q$9),LOOKUP(BE48,$H$47:$I$53)))</f>
        <v/>
      </c>
      <c r="BG48" s="493" t="str">
        <f>IF(BE48="","",VLOOKUP(BE48,'IN RPS-2015'!$P$164:$AA$202,10))</f>
        <v/>
      </c>
      <c r="BH48" s="461" t="str">
        <f t="shared" si="68"/>
        <v/>
      </c>
      <c r="BI48" s="461" t="str">
        <f>IF(BE48="","",IF(AND($AG$3=$AG$1,BE48&lt;=$AZ$1),0,ROUND(IF(BW48=3,0,IF(BW48=2,IF(BG48=VLOOKUP(BG48,'IN RPS-2015'!$I$2:$J$5,1),0,Main!$H$9)/2,IF(BG48=VLOOKUP(BG48,'IN RPS-2015'!$I$2:$J$5,1),0,Main!$H$9)))*(DAY(BF48)-DAY(BE48)+1)/DAY(EOMONTH(BE48,0)),0)))</f>
        <v/>
      </c>
      <c r="BJ48" s="461" t="str">
        <f>IF(BE48="","",IF(AND($AG$3=$AG$1,BE48&lt;=$AZ$1),0,IF(BG48=VLOOKUP(BG48,'IN RPS-2015'!$I$2:$J$5,1),0,ROUND(BH48*VLOOKUP(BE48,$AF$4:$AG$7,2)%,0))))</f>
        <v/>
      </c>
      <c r="BK48" s="461" t="str">
        <f>IF(BE48="","",IF(AND($AG$3=$AG$1,BE48&lt;=$AZ$1),0,IF(OR(BW48=3,BG48=VLOOKUP(BG48,'IN RPS-2015'!$I$2:$J$5,1)),0,ROUND(MIN(ROUND(BG48*VLOOKUP(BE48,$B$1:$G$4,2)%,0),VLOOKUP(BE48,$B$2:$I$4,IF($AG$3=$I$29,7,8),TRUE))*(DAY(BF48)-DAY(BE48)+1)/DAY(EOMONTH(BE48,0)),0))))</f>
        <v/>
      </c>
      <c r="BL48" s="491" t="str">
        <f>IF(BE48="","",IF(AND($AG$3=$AG$1,BE48&lt;=$AZ$1),0,IF(Main!$C$26="UGC",0,IF(OR(BE48&lt;DATE(2010,4,1),$I$6=VLOOKUP(BE48,$B$2:$G$4,5,TRUE),BG48=VLOOKUP(BG48,'IN RPS-2015'!$I$2:$J$5,1)),0,ROUND(IF(BW48=3,0,IF(BW48=2,MIN(ROUND(BG48*$G$13%,0),IF(BE48&lt;$J$152,$G$14,$G$15))/2,MIN(ROUND(BG48*$G$13%,0),IF(BE48&lt;$J$152,$G$14,$G$15))))*(DAY(BF48)-DAY(BE48)+1)/DAY(EOMONTH(BE48,0)),0)))))</f>
        <v/>
      </c>
      <c r="BM48" s="461" t="str">
        <f>IF(BE48="","",IF(AND($AG$3=$AG$1,BE48&lt;=$AZ$1),0,IF(Main!$C$26="UGC",0,IF(BG48=VLOOKUP(BG48,'IN RPS-2015'!$I$2:$J$5,1),0,ROUND(BH48*VLOOKUP(BE48,$AF$11:$AG$12,2)%,0)))))</f>
        <v/>
      </c>
      <c r="BN48" s="461" t="str">
        <f>IF(BE48="","",IF(AND($AG$3=$AG$1,BE48&lt;=$AZ$1),0,IF(Main!$C$26="UGC",0,IF(BE48&lt;DATE(2010,4,1),0,IF(OR(BW48=2,BW48=3,BG48=VLOOKUP(BG48,'IN RPS-2015'!$I$2:$J$5,1)),0,ROUND(IF(BE48&lt;$J$152,VLOOKUP(BE48,$B$1:$G$4,4),VLOOKUP(VLOOKUP(BE48,$B$1:$G$4,4),Main!$CE$2:$CF$5,2,FALSE))*(DAY(BF48)-DAY(BE48)+1)/DAY(EOMONTH(BE48,0)),0))))))</f>
        <v/>
      </c>
      <c r="BO48" s="461" t="str">
        <f>IF(BE48="","",IF(AND($AG$3=$AG$1,BE48&lt;=$AZ$1),0,IF(OR(BW48=2,BW48=3,$D$31=$D$28,BG48=VLOOKUP(BG48,'IN RPS-2015'!$I$2:$J$5,1)),0,ROUND(MIN(VLOOKUP(BD48,$A$27:$C$29,2,TRUE),ROUND(BG48*VLOOKUP(BD48,$A$27:$C$29,3,TRUE)%,0))*IF(BD48=$A$36,$C$36,IF(BD48=$A$37,$C$37,IF(BD48=$A$38,$C$38,IF(BD48=$A$39,$C$39,IF(BD48=$A$40,$C$40,IF(BD48=$A$41,$C$41,1))))))*(DAY(BF48)-DAY(BE48)+1)/DAY(EOMONTH(BE48,0)),0))))</f>
        <v/>
      </c>
      <c r="BP48" s="461" t="str">
        <f>IF(BE48="","",IF(AND($AG$3=$AG$1,BE48&lt;=$AZ$1),0,IF(Main!$C$26="UGC",0,IF(OR(BW48=3,BG48=VLOOKUP(BG48,'IN RPS-2015'!$I$2:$J$5,1)),0,ROUND(IF(BW48=2,VLOOKUP(BG48,IF($AG$3=$I$29,$A$20:$E$23,$F$144:$J$147),IF($B$19=VLOOKUP(BE48,$B$2:$G$4,3,TRUE),2,IF($C$19=VLOOKUP(BE48,$B$2:$G$4,3,TRUE),3,IF($D$19=VLOOKUP(BE48,$B$2:$G$4,3,TRUE),4,5))),TRUE),VLOOKUP(BG48,IF($AG$3=$I$29,$A$20:$E$23,$F$144:$J$147),IF($B$19=VLOOKUP(BE48,$B$2:$G$4,3,TRUE),2,IF($C$19=VLOOKUP(BE48,$B$2:$G$4,3,TRUE),3,IF($D$19=VLOOKUP(BE48,$B$2:$G$4,3,TRUE),4,5))),TRUE))*(DAY(BF48)-DAY(BE48)+1)/DAY(EOMONTH(BE48,0)),0)))))</f>
        <v/>
      </c>
      <c r="BQ48" s="461" t="str">
        <f>IF(BE48="","",IF(AND($AG$3=$AG$1,BE48&lt;=$AZ$1),0,IF(Main!$C$26="UGC",0,IF(OR(BD48&lt;DATE(2010,4,1),BW48=3,BG48=VLOOKUP(BG48,'IN RPS-2015'!$I$2:$J$5,1)),0,ROUND(IF(BW48=2,IF(BE48&lt;$J$152,Main!$L$9,Main!$CI$3)/2,IF(BE48&lt;$J$152,Main!$L$9,Main!$CI$3))*(DAY(BF48)-DAY(BE48)+1)/DAY(EOMONTH(BE48,0)),0)))))</f>
        <v/>
      </c>
      <c r="BR48" s="461"/>
      <c r="BS48" s="461" t="str">
        <f>IF(BE48="","",IF(AND($AG$3=$AG$1,BE48&lt;=$AZ$1),0,IF(Main!$C$26="UGC",0,IF(OR(BW48=3,BG48=VLOOKUP(BG48,'IN RPS-2015'!$I$2:$J$5,1)),0,ROUND(IF(BW48=2,VLOOKUP(BH48,IF(BE48&lt;$J$152,$A$154:$E$159,$F$154:$J$159),IF($B$10=VLOOKUP(BD48,$B$2:$G$4,6,TRUE),2,IF($B$10=VLOOKUP(BD48,$B$2:$G$4,6,TRUE),3,IF($D$10=VLOOKUP(BD48,$B$2:$G$4,6,TRUE),4,5))))/2,VLOOKUP(BH48,IF(BE48&lt;$J$152,$A$154:$E$159,$F$154:$J$159),IF($B$10=VLOOKUP(BD48,$B$2:$G$4,6,TRUE),2,IF($B$10=VLOOKUP(BD48,$B$2:$G$4,6,TRUE),3,IF($D$10=VLOOKUP(BD48,$B$2:$G$4,6,TRUE),4,5)))))*(DAY(BF48)-DAY(BE48)+1)/DAY(EOMONTH(BE48,0)),0)))))</f>
        <v/>
      </c>
      <c r="BT48" s="461">
        <f t="shared" si="69"/>
        <v>0</v>
      </c>
      <c r="BU48" s="464" t="str">
        <f>IF(BE48="","",IF(AND($AG$3=$AG$1,BE48&lt;=$AZ$1),0,IF(AND(Main!$F$22=Main!$CA$24,BE48&gt;$AZ$1),ROUND(SUM(BH48,BJ48)*10%,0),"")))</f>
        <v/>
      </c>
      <c r="BV48" s="464" t="str">
        <f>IF(BD48="","",IF(AND($AG$3=$AG$1,BE48&lt;=$AZ$1),0,IF(OR(Main!$H$10=Main!$BH$4,Main!$H$10=Main!$BH$5),0,LOOKUP(BT48*DAY(EOMONTH(BE48,0))/(DAY(BF48)-DAY(BE48)+1),$H$184:$I$189))))</f>
        <v/>
      </c>
      <c r="BW48" s="503">
        <f t="shared" si="70"/>
        <v>1</v>
      </c>
      <c r="BX48" s="457">
        <f t="shared" si="90"/>
        <v>0</v>
      </c>
      <c r="BY48" s="457"/>
      <c r="BZ48" s="457"/>
      <c r="CA48" s="457"/>
      <c r="CB48" s="461"/>
      <c r="CC48" s="499" t="str">
        <f t="shared" si="57"/>
        <v/>
      </c>
      <c r="CD48" s="500" t="str">
        <f t="shared" si="86"/>
        <v/>
      </c>
      <c r="CE48" s="484" t="str">
        <f>IF(CD48="","",MIN(EOMONTH(CD48,0),VLOOKUP(CD48,'IN RPS-2015'!$O$164:$P$202,2,TRUE)-1,LOOKUP(CD48,$E$47:$F$53)-1,IF(CD48&lt;$B$2,$B$2-1,'IN RPS-2015'!$Q$9),IF(CD48&lt;$B$3,$B$3-1,'IN RPS-2015'!$Q$9),IF(CD48&lt;$B$4,$B$4-1,'IN RPS-2015'!$Q$9),LOOKUP(CD48,$H$47:$I$53)))</f>
        <v/>
      </c>
      <c r="CF48" s="490" t="str">
        <f>IF(CD48="","",VLOOKUP(CD48,'IN RPS-2015'!$T$207:$Y$222,5))</f>
        <v/>
      </c>
      <c r="CG48" s="461" t="str">
        <f t="shared" si="72"/>
        <v/>
      </c>
      <c r="CH48" s="461" t="str">
        <f>IF(CD48="","",IF(AND($CA$3=$CA$1,CD48&lt;=$CT$1),0,ROUND(IF(CV48=3,0,IF(CV48=2,IF(CF48=VLOOKUP(CF48,'IN RPS-2015'!$I$2:$J$5,1),0,Main!$H$9)/2,IF(CF48=VLOOKUP(CF48,'IN RPS-2015'!$I$2:$J$5,1),0,Main!$H$9)))*(DAY(CE48)-DAY(CD48)+1)/DAY(EOMONTH(CD48,0)),0)))</f>
        <v/>
      </c>
      <c r="CI48" s="461" t="str">
        <f>IF(CD48="","",IF(AND($CA$3=$CA$1,CD48&lt;=$CT$1),0,IF(CF48=VLOOKUP(CF48,'IN RPS-2015'!$I$2:$J$5,1),0,ROUND(CG48*VLOOKUP(CD48,$BZ$4:$CA$7,2)%,0))))</f>
        <v/>
      </c>
      <c r="CJ48" s="461" t="str">
        <f>IF(CD48="","",IF(AND($CA$3=$CA$1,CD48&lt;=$CT$1),0,IF(OR(CV48=3,CF48=VLOOKUP(CF48,'IN RPS-2015'!$I$2:$J$5,1)),0,ROUND(MIN(ROUND(CF48*VLOOKUP(CD48,$B$1:$G$4,2)%,0),VLOOKUP(CD48,$B$2:$I$4,IF($CA$3=$I$29,7,8),TRUE))*(DAY(CE48)-DAY(CD48)+1)/DAY(EOMONTH(CD48,0)),0))))</f>
        <v/>
      </c>
      <c r="CK48" s="491" t="str">
        <f>IF(CD48="","",IF(AND($CA$3=$CA$1,CD48&lt;=$CT$1),0,IF(Main!$C$26="UGC",0,IF(OR(CD48&lt;DATE(2010,4,1),$I$6=VLOOKUP(CD48,$B$2:$G$4,5,TRUE),CF48=VLOOKUP(CF48,'IN RPS-2015'!$I$2:$J$5,1)),0,ROUND(IF(CV48=3,0,IF(CV48=2,MIN(ROUND(CF48*$G$13%,0),IF(CD48&lt;$J$152,$G$14,$G$15))/2,MIN(ROUND(CF48*$G$13%,0),IF(CD48&lt;$J$152,$G$14,$G$15))))*(DAY(CE48)-DAY(CD48)+1)/DAY(EOMONTH(CD48,0)),0)))))</f>
        <v/>
      </c>
      <c r="CL48" s="461" t="str">
        <f>IF(CD48="","",IF(AND($CA$3=$CA$1,CD48&lt;=$CT$1),0,IF(Main!$C$26="UGC",0,IF(CF48=VLOOKUP(CF48,'IN RPS-2015'!$I$2:$J$5,1),0,ROUND(CG48*VLOOKUP(CD48,$BZ$11:$CA$12,2)%,0)))))</f>
        <v/>
      </c>
      <c r="CM48" s="461" t="str">
        <f>IF(CD48="","",IF(AND($CA$3=$CA$1,CD48&lt;=$CT$1),0,IF(Main!$C$26="UGC",0,IF(CD48&lt;DATE(2010,4,1),0,IF(OR(CV48=2,CV48=3,CF48=VLOOKUP(CF48,'IN RPS-2015'!$I$2:$J$5,1)),0,ROUND(IF(CD48&lt;$J$152,VLOOKUP(CD48,$B$1:$G$4,4),VLOOKUP(VLOOKUP(CD48,$B$1:$G$4,4),Main!$CE$2:$CF$5,2,FALSE))*(DAY(CE48)-DAY(CD48)+1)/DAY(EOMONTH(CD48,0)),0))))))</f>
        <v/>
      </c>
      <c r="CN48" s="461" t="str">
        <f>IF(CD48="","",IF(AND($CA$3=$CA$1,CD48&lt;=$CT$1),0,IF(OR(CV48=2,CV48=3,$D$31=$D$28,CF48=VLOOKUP(CF48,'IN RPS-2015'!$I$2:$J$5,1)),0,ROUND(MIN(VLOOKUP(CC48,$A$27:$C$29,2,TRUE),ROUND(CF48*VLOOKUP(CC48,$A$27:$C$29,3,TRUE)%,0))*IF(CC48=$A$36,$C$36,IF(CC48=$A$37,$C$37,IF(CC48=$A$38,$C$38,IF(CC48=$A$39,$C$39,IF(CC48=$A$40,$C$40,IF(CC48=$A$41,$C$41,1))))))*(DAY(CE48)-DAY(CD48)+1)/DAY(EOMONTH(CD48,0)),0))))</f>
        <v/>
      </c>
      <c r="CO48" s="461" t="str">
        <f>IF(CD48="","",IF(AND($CA$3=$CA$1,CD48&lt;=$CT$1),0,IF(Main!$C$26="UGC",0,IF(OR(CV48=3,CF48=VLOOKUP(CF48,'IN RPS-2015'!$I$2:$J$5,1)),0,ROUND(IF(CV48=2,VLOOKUP(CF48,IF($CA$3=$I$29,$A$20:$E$23,$F$144:$J$147),IF($B$19=VLOOKUP(CD48,$B$2:$G$4,3,TRUE),2,IF($C$19=VLOOKUP(CD48,$B$2:$G$4,3,TRUE),3,IF($D$19=VLOOKUP(CD48,$B$2:$G$4,3,TRUE),4,5))),TRUE),VLOOKUP(CF48,IF($CA$3=$I$29,$A$20:$E$23,$F$144:$J$147),IF($B$19=VLOOKUP(CD48,$B$2:$G$4,3,TRUE),2,IF($C$19=VLOOKUP(CD48,$B$2:$G$4,3,TRUE),3,IF($D$19=VLOOKUP(CD48,$B$2:$G$4,3,TRUE),4,5))),TRUE))*(DAY(CE48)-DAY(CD48)+1)/DAY(EOMONTH(CD48,0)),0)))))</f>
        <v/>
      </c>
      <c r="CP48" s="461" t="str">
        <f>IF(CD48="","",IF(AND($CA$3=$CA$1,CD48&lt;=$CT$1),0,IF(Main!$C$26="UGC",0,IF(OR(CC48&lt;DATE(2010,4,1),CV48=3,CF48=VLOOKUP(CF48,'IN RPS-2015'!$I$2:$J$5,1)),0,ROUND(IF(CV48=2,IF(CD48&lt;$J$152,Main!$L$9,Main!$CI$3)/2,IF(CD48&lt;$J$152,Main!$L$9,Main!$CI$3))*(DAY(CE48)-DAY(CD48)+1)/DAY(EOMONTH(CD48,0)),0)))))</f>
        <v/>
      </c>
      <c r="CQ48" s="461"/>
      <c r="CR48" s="461" t="str">
        <f>IF(CD48="","",IF(AND($CA$3=$CA$1,CD48&lt;=$CT$1),0,IF(Main!$C$26="UGC",0,IF(OR(CV48=3,CF48=VLOOKUP(CF48,'IN RPS-2015'!$I$2:$J$5,1)),0,ROUND(IF(CV48=2,VLOOKUP(CG48,IF(CD48&lt;$J$152,$A$154:$E$159,$F$154:$J$159),IF($B$10=VLOOKUP(CC48,$B$2:$G$4,6,TRUE),2,IF($B$10=VLOOKUP(CC48,$B$2:$G$4,6,TRUE),3,IF($D$10=VLOOKUP(CC48,$B$2:$G$4,6,TRUE),4,5))))/2,VLOOKUP(CG48,IF(CD48&lt;$J$152,$A$154:$E$159,$F$154:$J$159),IF($B$10=VLOOKUP(CC48,$B$2:$G$4,6,TRUE),2,IF($B$10=VLOOKUP(CC48,$B$2:$G$4,6,TRUE),3,IF($D$10=VLOOKUP(CC48,$B$2:$G$4,6,TRUE),4,5)))))*(DAY(CE48)-DAY(CD48)+1)/DAY(EOMONTH(CD48,0)),0)))))</f>
        <v/>
      </c>
      <c r="CS48" s="461">
        <f t="shared" si="73"/>
        <v>0</v>
      </c>
      <c r="CT48" s="464" t="str">
        <f>IF(CD48="","",IF(AND($CA$3=$CA$1,CD48&lt;=$CT$1),0,IF(AND(Main!$F$22=Main!$CA$24,CD48&gt;$CT$1),ROUND(SUM(CG48,CI48)*10%,0),"")))</f>
        <v/>
      </c>
      <c r="CU48" s="464" t="str">
        <f>IF(CC48="","",IF(CG48=0,0,IF(OR(Main!$H$10=Main!$BH$4,Main!$H$10=Main!$BH$5),0,LOOKUP(CS48*DAY(EOMONTH(CD48,0))/(DAY(CE48)-DAY(CD48)+1),$H$184:$I$189))))</f>
        <v/>
      </c>
      <c r="CV48" s="457">
        <f t="shared" si="74"/>
        <v>1</v>
      </c>
      <c r="CW48" s="464"/>
      <c r="CX48" s="501" t="str">
        <f t="shared" si="59"/>
        <v/>
      </c>
      <c r="CY48" s="502" t="str">
        <f t="shared" si="87"/>
        <v/>
      </c>
      <c r="CZ48" s="484" t="str">
        <f>IF(CY48="","",MIN(EOMONTH(CY48,0),VLOOKUP(CY48,'IN RPS-2015'!$O$164:$P$202,2,TRUE)-1,LOOKUP(CY48,$E$47:$F$53)-1,IF(CY48&lt;$B$2,$B$2-1,'IN RPS-2015'!$Q$9),IF(CY48&lt;$B$3,$B$3-1,'IN RPS-2015'!$Q$9),IF(CY48&lt;$B$4,$B$4-1,'IN RPS-2015'!$Q$9),LOOKUP(CY48,$H$47:$I$53)))</f>
        <v/>
      </c>
      <c r="DA48" s="493" t="str">
        <f>IF(CY48="","",VLOOKUP(CY48,'IN RPS-2015'!$T$207:$Y$222,6))</f>
        <v/>
      </c>
      <c r="DB48" s="461" t="str">
        <f t="shared" si="75"/>
        <v/>
      </c>
      <c r="DC48" s="461" t="str">
        <f>IF(CY48="","",IF(AND($CA$3=$CA$1,CY48&lt;=$CT$1),0,ROUND(IF(DQ48=3,0,IF(DQ48=2,IF(DA48=VLOOKUP(DA48,'IN RPS-2015'!$I$2:$J$5,1),0,Main!$H$9)/2,IF(DA48=VLOOKUP(DA48,'IN RPS-2015'!$I$2:$J$5,1),0,Main!$H$9)))*(DAY(CZ48)-DAY(CY48)+1)/DAY(EOMONTH(CY48,0)),0)))</f>
        <v/>
      </c>
      <c r="DD48" s="461" t="str">
        <f>IF(CY48="","",IF(AND($CA$3=$CA$1,CY48&lt;=$CT$1),0,IF(DA48=VLOOKUP(DA48,'IN RPS-2015'!$I$2:$J$5,1),0,ROUND(DB48*VLOOKUP(CY48,$BZ$4:$CA$7,2)%,0))))</f>
        <v/>
      </c>
      <c r="DE48" s="461" t="str">
        <f>IF(CY48="","",IF(AND($CA$3=$CA$1,CY48&lt;=$CT$1),0,IF(OR(DQ48=3,DA48=VLOOKUP(DA48,'IN RPS-2015'!$I$2:$J$5,1)),0,ROUND(MIN(ROUND(DA48*VLOOKUP(CY48,$B$1:$G$4,2)%,0),VLOOKUP(CY48,$B$2:$I$4,IF($CA$3=$I$29,7,8),TRUE))*(DAY(CZ48)-DAY(CY48)+1)/DAY(EOMONTH(CY48,0)),0))))</f>
        <v/>
      </c>
      <c r="DF48" s="491" t="str">
        <f>IF(CY48="","",IF(AND($CA$3=$CA$1,CY48&lt;=$CT$1),0,IF(Main!$C$26="UGC",0,IF(OR(CY48&lt;DATE(2010,4,1),$I$6=VLOOKUP(CY48,$B$2:$G$4,5,TRUE),DA48=VLOOKUP(DA48,'IN RPS-2015'!$I$2:$J$5,1)),0,ROUND(IF(DQ48=3,0,IF(DQ48=2,MIN(ROUND(DA48*$G$13%,0),IF(CY48&lt;$J$152,$G$14,$G$15))/2,MIN(ROUND(DA48*$G$13%,0),IF(CY48&lt;$J$152,$G$14,$G$15))))*(DAY(CZ48)-DAY(CY48)+1)/DAY(EOMONTH(CY48,0)),0)))))</f>
        <v/>
      </c>
      <c r="DG48" s="461" t="str">
        <f>IF(CY48="","",IF(AND($CA$3=$CA$1,CY48&lt;=$CT$1),0,IF(Main!$C$26="UGC",0,IF(DA48=VLOOKUP(DA48,'IN RPS-2015'!$I$2:$J$5,1),0,ROUND(DB48*VLOOKUP(CY48,$BZ$11:$CA$12,2)%,0)))))</f>
        <v/>
      </c>
      <c r="DH48" s="461" t="str">
        <f>IF(CY48="","",IF(AND($CA$3=$CA$1,CY48&lt;=$CT$1),0,IF(Main!$C$26="UGC",0,IF(CY48&lt;DATE(2010,4,1),0,IF(OR(DQ48=2,DQ48=3,DA48=VLOOKUP(DA48,'IN RPS-2015'!$I$2:$J$5,1)),0,ROUND(IF(CY48&lt;$J$152,VLOOKUP(CY48,$B$1:$G$4,4),VLOOKUP(VLOOKUP(CY48,$B$1:$G$4,4),Main!$CE$2:$CF$5,2,FALSE))*(DAY(CZ48)-DAY(CY48)+1)/DAY(EOMONTH(CY48,0)),0))))))</f>
        <v/>
      </c>
      <c r="DI48" s="461" t="str">
        <f>IF(CY48="","",IF(AND($CA$3=$CA$1,CY48&lt;=$CT$1),0,IF(OR(DQ48=2,DQ48=3,$D$31=$D$28,DA48=VLOOKUP(DA48,'IN RPS-2015'!$I$2:$J$5,1)),0,ROUND(MIN(VLOOKUP(CX48,$A$27:$C$29,2,TRUE),ROUND(DA48*VLOOKUP(CX48,$A$27:$C$29,3,TRUE)%,0))*IF(CX48=$A$36,$C$36,IF(CX48=$A$37,$C$37,IF(CX48=$A$38,$C$38,IF(CX48=$A$39,$C$39,IF(CX48=$A$40,$C$40,IF(CX48=$A$41,$C$41,1))))))*(DAY(CZ48)-DAY(CY48)+1)/DAY(EOMONTH(CY48,0)),0))))</f>
        <v/>
      </c>
      <c r="DJ48" s="461" t="str">
        <f>IF(CY48="","",IF(AND($CA$3=$CA$1,CY48&lt;=$CT$1),0,IF(Main!$C$26="UGC",0,IF(OR(DQ48=3,DA48=VLOOKUP(DA48,'IN RPS-2015'!$I$2:$J$5,1)),0,ROUND(IF(DQ48=2,VLOOKUP(DA48,IF($CA$3=$I$29,$A$20:$E$23,$F$144:$J$147),IF($B$19=VLOOKUP(CY48,$B$2:$G$4,3,TRUE),2,IF($C$19=VLOOKUP(CY48,$B$2:$G$4,3,TRUE),3,IF($D$19=VLOOKUP(CY48,$B$2:$G$4,3,TRUE),4,5))),TRUE),VLOOKUP(DA48,IF($CA$3=$I$29,$A$20:$E$23,$F$144:$J$147),IF($B$19=VLOOKUP(CY48,$B$2:$G$4,3,TRUE),2,IF($C$19=VLOOKUP(CY48,$B$2:$G$4,3,TRUE),3,IF($D$19=VLOOKUP(CY48,$B$2:$G$4,3,TRUE),4,5))),TRUE))*(DAY(CZ48)-DAY(CY48)+1)/DAY(EOMONTH(CY48,0)),0)))))</f>
        <v/>
      </c>
      <c r="DK48" s="461" t="str">
        <f>IF(CY48="","",IF(AND($CA$3=$CA$1,CY48&lt;=$CT$1),0,IF(Main!$C$26="UGC",0,IF(OR(CX48&lt;DATE(2010,4,1),DQ48=3,DA48=VLOOKUP(DA48,'IN RPS-2015'!$I$2:$J$5,1)),0,ROUND(IF(DQ48=2,IF(CY48&lt;$J$152,Main!$L$9,Main!$CI$3)/2,IF(CY48&lt;$J$152,Main!$L$9,Main!$CI$3))*(DAY(CZ48)-DAY(CY48)+1)/DAY(EOMONTH(CY48,0)),0)))))</f>
        <v/>
      </c>
      <c r="DL48" s="461"/>
      <c r="DM48" s="461" t="str">
        <f>IF(CY48="","",IF(AND($CA$3=$CA$1,CY48&lt;=$CT$1),0,IF(Main!$C$26="UGC",0,IF(OR(DQ48=3,DA48=VLOOKUP(DA48,'IN RPS-2015'!$I$2:$J$5,1)),0,ROUND(IF(DQ48=2,VLOOKUP(DB48,IF(CY48&lt;$J$152,$A$154:$E$159,$F$154:$J$159),IF($B$10=VLOOKUP(CX48,$B$2:$G$4,6,TRUE),2,IF($B$10=VLOOKUP(CX48,$B$2:$G$4,6,TRUE),3,IF($D$10=VLOOKUP(CX48,$B$2:$G$4,6,TRUE),4,5))))/2,VLOOKUP(DB48,IF(CY48&lt;$J$152,$A$154:$E$159,$F$154:$J$159),IF($B$10=VLOOKUP(CX48,$B$2:$G$4,6,TRUE),2,IF($B$10=VLOOKUP(CX48,$B$2:$G$4,6,TRUE),3,IF($D$10=VLOOKUP(CX48,$B$2:$G$4,6,TRUE),4,5)))))*(DAY(CZ48)-DAY(CY48)+1)/DAY(EOMONTH(CY48,0)),0)))))</f>
        <v/>
      </c>
      <c r="DN48" s="461">
        <f t="shared" si="76"/>
        <v>0</v>
      </c>
      <c r="DO48" s="464" t="str">
        <f>IF(CY48="","",IF(AND($CA$3=$CA$1,CY48&lt;=$CT$1),0,IF(AND(Main!$F$22=Main!$CA$24,CY48&gt;$CT$1),ROUND(SUM(DB48,DD48)*10%,0),"")))</f>
        <v/>
      </c>
      <c r="DP48" s="464" t="str">
        <f>IF(CX48="","",IF(AND($CA$3=$CA$1,CY48&lt;=$CT$1),0,IF(OR(Main!$H$10=Main!$BH$4,Main!$H$10=Main!$BH$5),0,LOOKUP(DN48*DAY(EOMONTH(CY48,0))/(DAY(CZ48)-DAY(CY48)+1),$H$184:$I$189))))</f>
        <v/>
      </c>
      <c r="DQ48" s="457">
        <f t="shared" si="60"/>
        <v>1</v>
      </c>
      <c r="DR48" s="457">
        <f t="shared" si="77"/>
        <v>0</v>
      </c>
      <c r="DS48" s="457"/>
      <c r="DT48" s="457"/>
      <c r="DU48" s="457"/>
      <c r="DV48" s="461"/>
      <c r="DW48" s="499" t="str">
        <f t="shared" si="61"/>
        <v/>
      </c>
      <c r="DX48" s="500" t="str">
        <f t="shared" si="88"/>
        <v/>
      </c>
      <c r="DY48" s="484" t="str">
        <f>IF(DX48="","",MIN(EOMONTH(DX48,0),VLOOKUP(DX48,'IN RPS-2015'!$O$164:$P$202,2,TRUE)-1,LOOKUP(DX48,$E$47:$F$53)-1,IF(DX48&lt;$B$2,$B$2-1,'IN RPS-2015'!$Q$9),IF(DX48&lt;$B$3,$B$3-1,'IN RPS-2015'!$Q$9),IF(DX48&lt;$B$4,$B$4-1,'IN RPS-2015'!$Q$9),LOOKUP(DX48,$H$47:$I$53)))</f>
        <v/>
      </c>
      <c r="DZ48" s="490" t="str">
        <f>IF(DX48="","",VLOOKUP(DX48,'IN RPS-2015'!$P$164:$AA$202,11))</f>
        <v/>
      </c>
      <c r="EA48" s="461" t="str">
        <f t="shared" si="78"/>
        <v/>
      </c>
      <c r="EB48" s="461" t="str">
        <f>IF(DX48="","",ROUND(IF(EP48=3,0,IF(EP48=2,IF(DZ48=VLOOKUP(DZ48,'IN RPS-2015'!$I$2:$J$5,1),0,Main!$H$9)/2,IF(DZ48=VLOOKUP(DZ48,'IN RPS-2015'!$I$2:$J$5,1),0,Main!$H$9)))*(DAY(DY48)-DAY(DX48)+1)/DAY(EOMONTH(DX48,0)),0))</f>
        <v/>
      </c>
      <c r="EC48" s="461" t="str">
        <f>IF(DX48="","",IF(DZ48=VLOOKUP(DZ48,'IN RPS-2015'!$I$2:$J$5,1),0,ROUND(EA48*VLOOKUP(DX48,$DT$4:$DU$7,2)%,0)))</f>
        <v/>
      </c>
      <c r="ED48" s="461" t="str">
        <f>IF(DX48="","",IF(OR(EP48=3,DZ48=VLOOKUP(DZ48,'IN RPS-2015'!$I$2:$J$5,1)),0,ROUND(MIN(ROUND(DZ48*VLOOKUP(DX48,$B$1:$G$4,2)%,0),VLOOKUP(DX48,$B$2:$I$4,IF($DU$3=$I$29,7,8),TRUE))*(DAY(DY48)-DAY(DX48)+1)/DAY(EOMONTH(DX48,0)),0)))</f>
        <v/>
      </c>
      <c r="EE48" s="491" t="str">
        <f>IF(DX48="","",IF(Main!$C$26="UGC",0,IF(OR(DX48&lt;DATE(2010,4,1),$I$6=VLOOKUP(DX48,$B$2:$G$4,5,TRUE),DZ48=VLOOKUP(DZ48,'IN RPS-2015'!$I$2:$J$5,1)),0,ROUND(IF(EP48=3,0,IF(EP48=2,MIN(ROUND(DZ48*$G$13%,0),IF(DX48&lt;$I$152,$G$14,$G$15))/2,MIN(ROUND(DZ48*$G$13%,0),IF(DX48&lt;$I$152,$G$14,$G$15))))*(DAY(DY48)-DAY(DX48)+1)/DAY(EOMONTH(DX48,0)),0))))</f>
        <v/>
      </c>
      <c r="EF48" s="461" t="str">
        <f>IF(DX48="","",IF(Main!$C$26="UGC",0,IF(DZ48=VLOOKUP(DZ48,'IN RPS-2015'!$I$2:$J$5,1),0,ROUND(EA48*VLOOKUP(DX48,$DT$11:$DU$12,2)%,0))))</f>
        <v/>
      </c>
      <c r="EG48" s="461" t="str">
        <f>IF(DX48="","",IF(Main!$C$26="UGC",0,IF(DX48&lt;DATE(2010,4,1),0,IF(OR(EP48=2,EP48=3,DZ48=VLOOKUP(DZ48,'IN RPS-2015'!$I$2:$J$5,1)),0,ROUND(IF(DX48&lt;$I$152,VLOOKUP(DX48,$B$1:$G$4,4),VLOOKUP(VLOOKUP(DX48,$B$1:$G$4,4),Main!$CE$2:$CF$5,2,FALSE))*(DAY(DY48)-DAY(DX48)+1)/DAY(EOMONTH(DX48,0)),0)))))</f>
        <v/>
      </c>
      <c r="EH48" s="461" t="str">
        <f>IF(DX48="","",IF(OR(EP48=2,EP48=3,$D$31=$D$28,DZ48=VLOOKUP(DZ48,'IN RPS-2015'!$I$2:$J$5,1)),0,ROUND(MIN(IF(DX48&lt;$I$152,900,1350),ROUND(DZ48*VLOOKUP(DW48,$A$27:$C$29,3,TRUE)%,0))*IF(DW48=$A$36,$C$36,IF(DW48=$A$37,$C$37,IF(DW48=$A$38,$C$38,IF(DW48=$A$39,$C$39,IF(DW48=$A$40,$C$40,IF(DW48=$A$41,$C$41,1))))))*(DAY(DY48)-DAY(DX48)+1)/DAY(EOMONTH(DX48,0)),0)))</f>
        <v/>
      </c>
      <c r="EI48" s="461" t="str">
        <f>IF(DX48="","",IF(Main!$C$26="UGC",0,IF(OR(EP48=3,DZ48=VLOOKUP(DZ48,'IN RPS-2015'!$I$2:$J$5,1)),0,ROUND(IF(EP48=2,VLOOKUP(DZ48,IF($DU$3=$I$29,$A$20:$E$23,$F$144:$J$147),IF($B$19=VLOOKUP(DX48,$B$2:$G$4,3,TRUE),2,IF($C$19=VLOOKUP(DX48,$B$2:$G$4,3,TRUE),3,IF($D$19=VLOOKUP(DX48,$B$2:$G$4,3,TRUE),4,5))),TRUE),VLOOKUP(DZ48,IF($DU$3=$I$29,$A$20:$E$23,$F$144:$J$147),IF($B$19=VLOOKUP(DX48,$B$2:$G$4,3,TRUE),2,IF($C$19=VLOOKUP(DX48,$B$2:$G$4,3,TRUE),3,IF($D$19=VLOOKUP(DX48,$B$2:$G$4,3,TRUE),4,5))),TRUE))*(DAY(DY48)-DAY(DX48)+1)/DAY(EOMONTH(DX48,0)),0))))</f>
        <v/>
      </c>
      <c r="EJ48" s="461" t="str">
        <f>IF(DX48="","",IF(Main!$C$26="UGC",0,IF(OR(DW48&lt;DATE(2010,4,1),EP48=3,DZ48=VLOOKUP(DZ48,'IN RPS-2015'!$I$2:$J$5,1)),0,ROUND(IF(EP48=2,IF(DX48&lt;$I$152,Main!$L$9,Main!$CI$3)/2,IF(DX48&lt;$I$152,Main!$L$9,Main!$CI$3))*(DAY(DY48)-DAY(DX48)+1)/DAY(EOMONTH(DX48,0)),0))))</f>
        <v/>
      </c>
      <c r="EK48" s="461"/>
      <c r="EL48" s="461" t="str">
        <f>IF(DX48="","",IF(Main!$C$26="UGC",0,IF(OR(EP48=3,DZ48=VLOOKUP(DZ48,'IN RPS-2015'!$I$2:$J$5,1)),0,ROUND(IF(EP48=2,VLOOKUP(EA48,IF(DX48&lt;$I$152,$A$154:$E$159,$F$154:$J$159),IF($B$10=VLOOKUP(DW48,$B$2:$G$4,6,TRUE),2,IF($B$10=VLOOKUP(DW48,$B$2:$G$4,6,TRUE),3,IF($D$10=VLOOKUP(DW48,$B$2:$G$4,6,TRUE),4,5))))/2,VLOOKUP(EA48,IF(DX48&lt;$I$152,$A$154:$E$159,$F$154:$J$159),IF($B$10=VLOOKUP(DW48,$B$2:$G$4,6,TRUE),2,IF($B$10=VLOOKUP(DW48,$B$2:$G$4,6,TRUE),3,IF($D$10=VLOOKUP(DW48,$B$2:$G$4,6,TRUE),4,5)))))*(DAY(DY48)-DAY(DX48)+1)/DAY(EOMONTH(DX48,0)),0))))</f>
        <v/>
      </c>
      <c r="EM48" s="461">
        <f t="shared" si="79"/>
        <v>0</v>
      </c>
      <c r="EN48" s="464" t="str">
        <f>IF(DX48="","",IF(AND(Main!$F$22=Main!$CA$24,DX48&gt;$EN$1),ROUND(SUM(EA48,EC48)*10%,0),""))</f>
        <v/>
      </c>
      <c r="EO48" s="464" t="str">
        <f>IF(DW48="","",IF(EA48=0,0,IF(OR(Main!$H$10=Main!$BH$4,Main!$H$10=Main!$BH$5),0,LOOKUP(EM48*DAY(EOMONTH(DX48,0))/(DAY(DY48)-DAY(DX48)+1),$H$184:$I$189))))</f>
        <v/>
      </c>
      <c r="EP48" s="457">
        <f t="shared" si="62"/>
        <v>1</v>
      </c>
      <c r="ET48" s="461"/>
      <c r="EU48" s="499" t="str">
        <f t="shared" si="63"/>
        <v/>
      </c>
      <c r="EV48" s="500" t="str">
        <f t="shared" si="89"/>
        <v/>
      </c>
      <c r="EW48" s="484" t="str">
        <f>IF(EV48="","",MIN(EOMONTH(EV48,0),VLOOKUP(EV48,'IN RPS-2015'!$O$164:$P$202,2,TRUE)-1,LOOKUP(EV48,$E$47:$F$53)-1,IF(EV48&lt;$B$2,$B$2-1,'IN RPS-2015'!$Q$9),IF(EV48&lt;$B$3,$B$3-1,'IN RPS-2015'!$Q$9),IF(EV48&lt;$B$4,$B$4-1,'IN RPS-2015'!$Q$9),LOOKUP(EV48,$H$47:$I$53)))</f>
        <v/>
      </c>
      <c r="EX48" s="490" t="str">
        <f>IF(EV48="","",VLOOKUP(EV48,'IN RPS-2015'!$P$164:$AA$202,12))</f>
        <v/>
      </c>
      <c r="EY48" s="461" t="str">
        <f t="shared" si="80"/>
        <v/>
      </c>
      <c r="EZ48" s="461" t="str">
        <f>IF(EV48="","",ROUND(IF(FN48=3,0,IF(FN48=2,IF(EX48=VLOOKUP(EX48,'IN RPS-2015'!$I$2:$J$5,1),0,Main!$H$9)/2,IF(EX48=VLOOKUP(EX48,'IN RPS-2015'!$I$2:$J$5,1),0,Main!$H$9)))*(DAY(EW48)-DAY(EV48)+1)/DAY(EOMONTH(EV48,0)),0))</f>
        <v/>
      </c>
      <c r="FA48" s="461" t="str">
        <f>IF(EV48="","",IF(EX48=VLOOKUP(EX48,'IN RPS-2015'!$I$2:$J$5,1),0,ROUND(EY48*VLOOKUP(EV48,$ER$4:$ES$7,2)%,0)))</f>
        <v/>
      </c>
      <c r="FB48" s="461" t="str">
        <f>IF(EV48="","",IF(OR(FN48=3,EX48=VLOOKUP(EX48,'IN RPS-2015'!$I$2:$J$5,1)),0,ROUND(MIN(ROUND(EX48*VLOOKUP(EV48,$B$1:$G$4,2)%,0),VLOOKUP(EV48,$B$2:$I$4,IF($ES$3=$I$29,7,8),TRUE))*(DAY(EW48)-DAY(EV48)+1)/DAY(EOMONTH(EV48,0)),0)))</f>
        <v/>
      </c>
      <c r="FC48" s="491" t="str">
        <f>IF(EV48="","",IF(Main!$C$26="UGC",0,IF(OR(EV48&lt;DATE(2010,4,1),$I$6=VLOOKUP(EV48,$B$2:$G$4,5,TRUE),EX48=VLOOKUP(EX48,'IN RPS-2015'!$I$2:$J$5,1)),0,ROUND(IF(FN48=3,0,IF(FN48=2,MIN(ROUND(EX48*$G$13%,0),IF(EV48&lt;$J$152,$G$14,$G$15))/2,MIN(ROUND(EX48*$G$13%,0),IF(EV48&lt;$J$152,$G$14,$G$15))))*(DAY(EW48)-DAY(EV48)+1)/DAY(EOMONTH(EV48,0)),0))))</f>
        <v/>
      </c>
      <c r="FD48" s="461" t="str">
        <f>IF(EV48="","",IF(Main!$C$26="UGC",0,IF(EX48=VLOOKUP(EX48,'IN RPS-2015'!$I$2:$J$5,1),0,ROUND(EY48*VLOOKUP(EV48,$ER$11:$ES$12,2)%,0))))</f>
        <v/>
      </c>
      <c r="FE48" s="461" t="str">
        <f>IF(EV48="","",IF(Main!$C$26="UGC",0,IF(EV48&lt;DATE(2010,4,1),0,IF(OR(FN48=2,FN48=3,EX48=VLOOKUP(EX48,'IN RPS-2015'!$I$2:$J$5,1)),0,ROUND(IF(EV48&lt;$J$152,VLOOKUP(EV48,$B$1:$G$4,4),VLOOKUP(VLOOKUP(EV48,$B$1:$G$4,4),Main!$CE$2:$CF$5,2,FALSE))*(DAY(EW48)-DAY(EV48)+1)/DAY(EOMONTH(EV48,0)),0)))))</f>
        <v/>
      </c>
      <c r="FF48" s="461" t="str">
        <f>IF(EV48="","",IF(OR(FN48=2,FN48=3,$D$31=$D$28,EX48=VLOOKUP(EX48,'IN RPS-2015'!$I$2:$J$5,1)),0,ROUND(MIN(VLOOKUP(EU48,$A$27:$C$29,2,TRUE),ROUND(EX48*VLOOKUP(EU48,$A$27:$C$29,3,TRUE)%,0))*IF(EU48=$A$36,$C$36,IF(EU48=$A$37,$C$37,IF(EU48=$A$38,$C$38,IF(EU48=$A$39,$C$39,IF(EU48=$A$40,$C$40,IF(EU48=$A$41,$C$41,1))))))*(DAY(EW48)-DAY(EV48)+1)/DAY(EOMONTH(EV48,0)),0)))</f>
        <v/>
      </c>
      <c r="FG48" s="461" t="str">
        <f>IF(EV48="","",IF(Main!$C$26="UGC",0,IF(OR(FN48=3,EX48=VLOOKUP(EX48,'IN RPS-2015'!$I$2:$J$5,1)),0,ROUND(IF(FN48=2,VLOOKUP(EX48,IF($ES$3=$I$29,$A$20:$E$23,$F$144:$J$147),IF($B$19=VLOOKUP(EV48,$B$2:$G$4,3,TRUE),2,IF($C$19=VLOOKUP(EV48,$B$2:$G$4,3,TRUE),3,IF($D$19=VLOOKUP(EV48,$B$2:$G$4,3,TRUE),4,5))),TRUE),VLOOKUP(EX48,IF($ES$3=$I$29,$A$20:$E$23,$F$144:$J$147),IF($B$19=VLOOKUP(EV48,$B$2:$G$4,3,TRUE),2,IF($C$19=VLOOKUP(EV48,$B$2:$G$4,3,TRUE),3,IF($D$19=VLOOKUP(EV48,$B$2:$G$4,3,TRUE),4,5))),TRUE))*(DAY(EW48)-DAY(EV48)+1)/DAY(EOMONTH(EV48,0)),0))))</f>
        <v/>
      </c>
      <c r="FH48" s="461" t="str">
        <f>IF(EV48="","",IF(Main!$C$26="UGC",0,IF(OR(EU48&lt;DATE(2010,4,1),FN48=3,EX48=VLOOKUP(EX48,'IN RPS-2015'!$I$2:$J$5,1)),0,ROUND(IF(FN48=2,IF(EV48&lt;$J$152,Main!$L$9,Main!$CI$3)/2,IF(EV48&lt;$J$152,Main!$L$9,Main!$CI$3))*(DAY(EW48)-DAY(EV48)+1)/DAY(EOMONTH(EV48,0)),0))))</f>
        <v/>
      </c>
      <c r="FI48" s="461"/>
      <c r="FJ48" s="461" t="str">
        <f>IF(EV48="","",IF(Main!$C$26="UGC",0,IF(OR(FN48=3,EX48=VLOOKUP(EX48,'IN RPS-2015'!$I$2:$J$5,1)),0,ROUND(IF(FN48=2,VLOOKUP(EY48,IF(EV48&lt;$J$152,$A$154:$E$159,$F$154:$J$159),IF($B$10=VLOOKUP(EU48,$B$2:$G$4,6,TRUE),2,IF($B$10=VLOOKUP(EU48,$B$2:$G$4,6,TRUE),3,IF($D$10=VLOOKUP(EU48,$B$2:$G$4,6,TRUE),4,5))))/2,VLOOKUP(EY48,IF(EV48&lt;$J$152,$A$154:$E$159,$F$154:$J$159),IF($B$10=VLOOKUP(EU48,$B$2:$G$4,6,TRUE),2,IF($B$10=VLOOKUP(EU48,$B$2:$G$4,6,TRUE),3,IF($D$10=VLOOKUP(EU48,$B$2:$G$4,6,TRUE),4,5)))))*(DAY(EW48)-DAY(EV48)+1)/DAY(EOMONTH(EV48,0)),0))))</f>
        <v/>
      </c>
      <c r="FK48" s="461">
        <f t="shared" si="81"/>
        <v>0</v>
      </c>
      <c r="FL48" s="464" t="str">
        <f>IF(EV48="","",IF(AND(Main!$F$22=Main!$CA$24,EV48&gt;$FL$1),ROUND(SUM(EY48,FA48)*10%,0),""))</f>
        <v/>
      </c>
      <c r="FM48" s="464" t="str">
        <f>IF(EU48="","",IF(EY48=0,0,IF(OR(Main!$H$10=Main!$BH$4,Main!$H$10=Main!$BH$5),0,LOOKUP(FK48*DAY(EOMONTH(EV48,0))/(DAY(EW48)-DAY(EV48)+1),$H$184:$I$189))))</f>
        <v/>
      </c>
      <c r="FN48" s="457">
        <f t="shared" si="64"/>
        <v>1</v>
      </c>
    </row>
    <row r="49" spans="1:170">
      <c r="A49" s="459">
        <f>DATE(2015,1,1)</f>
        <v>42005</v>
      </c>
      <c r="B49" s="457">
        <v>83.031999999999996</v>
      </c>
      <c r="C49" s="457">
        <v>12.052</v>
      </c>
      <c r="D49" s="457">
        <v>113</v>
      </c>
      <c r="E49" s="515">
        <f t="shared" si="94"/>
        <v>42461</v>
      </c>
      <c r="F49" s="516">
        <f t="shared" si="92"/>
        <v>42461</v>
      </c>
      <c r="G49" s="514">
        <f t="shared" si="95"/>
        <v>1</v>
      </c>
      <c r="H49" s="516">
        <f t="shared" si="96"/>
        <v>42462</v>
      </c>
      <c r="I49" s="516">
        <f t="shared" si="93"/>
        <v>42461</v>
      </c>
      <c r="AH49" s="461"/>
      <c r="AI49" s="499" t="str">
        <f t="shared" si="54"/>
        <v/>
      </c>
      <c r="AJ49" s="500" t="str">
        <f t="shared" si="84"/>
        <v/>
      </c>
      <c r="AK49" s="484" t="str">
        <f>IF(AJ49="","",MIN(EOMONTH(AJ49,0),VLOOKUP(AJ49,'IN RPS-2015'!$O$164:$P$202,2,TRUE)-1,LOOKUP(AJ49,$E$47:$F$53)-1,IF(AJ49&lt;$B$2,$B$2-1,'IN RPS-2015'!$Q$9),IF(AJ49&lt;$B$3,$B$3-1,'IN RPS-2015'!$Q$9),IF(AJ49&lt;$B$4,$B$4-1,'IN RPS-2015'!$Q$9),LOOKUP(AJ49,$H$47:$I$53)))</f>
        <v/>
      </c>
      <c r="AL49" s="490" t="str">
        <f>IF(AJ49="","",VLOOKUP(AJ49,'IN RPS-2015'!$P$164:$AA$202,9))</f>
        <v/>
      </c>
      <c r="AM49" s="461" t="str">
        <f t="shared" si="66"/>
        <v/>
      </c>
      <c r="AN49" s="461" t="str">
        <f>IF(AJ49="","",IF(AND($AG$3=$AG$1,AJ49&lt;=$AZ$1),0,ROUND(IF(BB49=3,0,IF(BB49=2,IF(AL49=VLOOKUP(AL49,'IN RPS-2015'!$I$2:$J$5,1),0,Main!$H$9)/2,IF(AL49=VLOOKUP(AL49,'IN RPS-2015'!$I$2:$J$5,1),0,Main!$H$9)))*(DAY(AK49)-DAY(AJ49)+1)/DAY(EOMONTH(AJ49,0)),0)))</f>
        <v/>
      </c>
      <c r="AO49" s="461" t="str">
        <f>IF(AJ49="","",IF(AND($AG$3=$AG$1,AJ49&lt;=$AZ$1),0,IF(AL49=VLOOKUP(AL49,'IN RPS-2015'!$I$2:$J$5,1),0,ROUND(AM49*VLOOKUP(AJ49,$AF$4:$AG$7,2)%,0))))</f>
        <v/>
      </c>
      <c r="AP49" s="461" t="str">
        <f>IF(AJ49="","",IF(AND($AG$3=$AG$1,AJ49&lt;=$AZ$1),0,IF(OR(BB49=3,AL49=VLOOKUP(AL49,'IN RPS-2015'!$I$2:$J$5,1)),0,ROUND(MIN(ROUND(AL49*VLOOKUP(AJ49,$B$1:$G$4,2)%,0),VLOOKUP(AJ49,$B$2:$I$4,IF($AG$3=$I$29,7,8),TRUE))*(DAY(AK49)-DAY(AJ49)+1)/DAY(EOMONTH(AJ49,0)),0))))</f>
        <v/>
      </c>
      <c r="AQ49" s="491" t="str">
        <f>IF(AJ49="","",IF(AND($AG$3=$AG$1,AJ49&lt;=$AZ$1),0,IF(Main!$C$26="UGC",0,IF(OR(AJ49&lt;DATE(2010,4,1),$I$6=VLOOKUP(AJ49,$B$2:$G$4,5,TRUE),AL49=VLOOKUP(AL49,'IN RPS-2015'!$I$2:$J$5,1)),0,ROUND(IF(BB49=3,0,IF(BB49=2,MIN(ROUND(AL49*$G$13%,0),IF(AJ49&lt;$J$152,$G$14,$G$15))/2,MIN(ROUND(AL49*$G$13%,0),IF(AJ49&lt;$J$152,$G$14,$G$15))))*(DAY(AK49)-DAY(AJ49)+1)/DAY(EOMONTH(AJ49,0)),0)))))</f>
        <v/>
      </c>
      <c r="AR49" s="461" t="str">
        <f>IF(AJ49="","",IF(AND($AG$3=$AG$1,AJ49&lt;=$AZ$1),0,IF(Main!$C$26="UGC",0,IF(AL49=VLOOKUP(AL49,'IN RPS-2015'!$I$2:$J$5,1),0,ROUND(AM49*VLOOKUP(AJ49,$AF$11:$AG$12,2)%,0)))))</f>
        <v/>
      </c>
      <c r="AS49" s="461" t="str">
        <f>IF(AJ49="","",IF(AND($AG$3=$AG$1,AJ49&lt;=$AZ$1),0,IF(Main!$C$26="UGC",0,IF(AJ49&lt;DATE(2010,4,1),0,IF(OR(BB49=2,BB49=3,AL49=VLOOKUP(AL49,'IN RPS-2015'!$I$2:$J$5,1)),0,ROUND(IF(AJ49&lt;$J$152,VLOOKUP(AJ49,$B$1:$G$4,4),VLOOKUP(VLOOKUP(AJ49,$B$1:$G$4,4),Main!$CE$2:$CF$5,2,FALSE))*(DAY(AK49)-DAY(AJ49)+1)/DAY(EOMONTH(AJ49,0)),0))))))</f>
        <v/>
      </c>
      <c r="AT49" s="461" t="str">
        <f>IF(AJ49="","",IF(AND($AG$3=$AG$1,AJ49&lt;=$AZ$1),0,IF(OR(BB49=2,BB49=3,$D$31=$D$28,AL49=VLOOKUP(AL49,'IN RPS-2015'!$I$2:$J$5,1)),0,ROUND(MIN(VLOOKUP(AI49,$A$27:$C$29,2,TRUE),ROUND(AL49*VLOOKUP(AI49,$A$27:$C$29,3,TRUE)%,0))*IF(AI49=$A$36,$C$36,IF(AI49=$A$37,$C$37,IF(AI49=$A$38,$C$38,IF(AI49=$A$39,$C$39,IF(AI49=$A$40,$C$40,IF(AI49=$A$41,$C$41,1))))))*(DAY(AK49)-DAY(AJ49)+1)/DAY(EOMONTH(AJ49,0)),0))))</f>
        <v/>
      </c>
      <c r="AU49" s="461" t="str">
        <f>IF(AJ49="","",IF(AND($AG$3=$AG$1,AJ49&lt;=$AZ$1),0,IF(Main!$C$26="UGC",0,IF(OR(BB49=3,AL49=VLOOKUP(AL49,'IN RPS-2015'!$I$2:$J$5,1)),0,ROUND(IF(BB49=2,VLOOKUP(AL49,IF($AG$3=$I$29,$A$20:$E$23,$F$144:$J$147),IF($B$19=VLOOKUP(AJ49,$B$2:$G$4,3,TRUE),2,IF($C$19=VLOOKUP(AJ49,$B$2:$G$4,3,TRUE),3,IF($D$19=VLOOKUP(AJ49,$B$2:$G$4,3,TRUE),4,5))),TRUE),VLOOKUP(AL49,IF($AG$3=$I$29,$A$20:$E$23,$F$144:$J$147),IF($B$19=VLOOKUP(AJ49,$B$2:$G$4,3,TRUE),2,IF($C$19=VLOOKUP(AJ49,$B$2:$G$4,3,TRUE),3,IF($D$19=VLOOKUP(AJ49,$B$2:$G$4,3,TRUE),4,5))),TRUE))*(DAY(AK49)-DAY(AJ49)+1)/DAY(EOMONTH(AJ49,0)),0)))))</f>
        <v/>
      </c>
      <c r="AV49" s="461" t="str">
        <f>IF(AJ49="","",IF(AND($AG$3=$AG$1,AJ49&lt;=$AZ$1),0,IF(Main!$C$26="UGC",0,IF(OR(AI49&lt;DATE(2010,4,1),BB49=3,AL49=VLOOKUP(AL49,'IN RPS-2015'!$I$2:$J$5,1)),0,ROUND(IF(BB49=2,IF(AJ49&lt;$J$152,Main!$L$9,Main!$CI$3)/2,IF(AJ49&lt;$J$152,Main!$L$9,Main!$CI$3))*(DAY(AK49)-DAY(AJ49)+1)/DAY(EOMONTH(AJ49,0)),0)))))</f>
        <v/>
      </c>
      <c r="AW49" s="461"/>
      <c r="AX49" s="461" t="str">
        <f>IF(AJ49="","",IF(AND($AG$3=$AG$1,AJ49&lt;=$AZ$1),0,IF(Main!$C$26="UGC",0,IF(OR(BB49=3,AL49=VLOOKUP(AL49,'IN RPS-2015'!$I$2:$J$5,1)),0,ROUND(IF(BB49=2,VLOOKUP(AM49,IF(AJ49&lt;$J$152,$A$154:$E$159,$F$154:$J$159),IF($B$10=VLOOKUP(AI49,$B$2:$G$4,6,TRUE),2,IF($B$10=VLOOKUP(AI49,$B$2:$G$4,6,TRUE),3,IF($D$10=VLOOKUP(AI49,$B$2:$G$4,6,TRUE),4,5))))/2,VLOOKUP(AM49,IF(AJ49&lt;$J$152,$A$154:$E$159,$F$154:$J$159),IF($B$10=VLOOKUP(AI49,$B$2:$G$4,6,TRUE),2,IF($B$10=VLOOKUP(AI49,$B$2:$G$4,6,TRUE),3,IF($D$10=VLOOKUP(AI49,$B$2:$G$4,6,TRUE),4,5)))))*(DAY(AK49)-DAY(AJ49)+1)/DAY(EOMONTH(AJ49,0)),0)))))</f>
        <v/>
      </c>
      <c r="AY49" s="461">
        <f t="shared" si="67"/>
        <v>0</v>
      </c>
      <c r="AZ49" s="464" t="str">
        <f>IF(AJ49="","",IF(AND($AG$3=$AG$1,AJ49&lt;=$AZ$1),0,IF(AND(Main!$F$22=Main!$CA$24,AJ49&gt;$AZ$1),ROUND(SUM(AM49,AO49)*10%,0),"")))</f>
        <v/>
      </c>
      <c r="BA49" s="464" t="str">
        <f>IF(AI49="","",IF(AND($AG$3=$AG$1,AJ49&lt;=$AZ$1),0,IF(OR(Main!$H$10=Main!$BH$4,Main!$H$10=Main!$BH$5),0,LOOKUP(AY49*DAY(EOMONTH(AJ49,0))/(DAY(AK49)-DAY(AJ49)+1),$H$184:$I$189))))</f>
        <v/>
      </c>
      <c r="BB49" s="497">
        <f t="shared" si="55"/>
        <v>1</v>
      </c>
      <c r="BC49" s="464"/>
      <c r="BD49" s="501" t="str">
        <f t="shared" si="56"/>
        <v/>
      </c>
      <c r="BE49" s="502" t="str">
        <f t="shared" si="85"/>
        <v/>
      </c>
      <c r="BF49" s="484" t="str">
        <f>IF(BE49="","",MIN(EOMONTH(BE49,0),VLOOKUP(BE49,'IN RPS-2015'!$O$164:$P$202,2,TRUE)-1,LOOKUP(BE49,$E$47:$F$53)-1,IF(BE49&lt;$B$2,$B$2-1,'IN RPS-2015'!$Q$9),IF(BE49&lt;$B$3,$B$3-1,'IN RPS-2015'!$Q$9),IF(BE49&lt;$B$4,$B$4-1,'IN RPS-2015'!$Q$9),LOOKUP(BE49,$H$47:$I$53)))</f>
        <v/>
      </c>
      <c r="BG49" s="493" t="str">
        <f>IF(BE49="","",VLOOKUP(BE49,'IN RPS-2015'!$P$164:$AA$202,10))</f>
        <v/>
      </c>
      <c r="BH49" s="461" t="str">
        <f t="shared" si="68"/>
        <v/>
      </c>
      <c r="BI49" s="461" t="str">
        <f>IF(BE49="","",IF(AND($AG$3=$AG$1,BE49&lt;=$AZ$1),0,ROUND(IF(BW49=3,0,IF(BW49=2,IF(BG49=VLOOKUP(BG49,'IN RPS-2015'!$I$2:$J$5,1),0,Main!$H$9)/2,IF(BG49=VLOOKUP(BG49,'IN RPS-2015'!$I$2:$J$5,1),0,Main!$H$9)))*(DAY(BF49)-DAY(BE49)+1)/DAY(EOMONTH(BE49,0)),0)))</f>
        <v/>
      </c>
      <c r="BJ49" s="461" t="str">
        <f>IF(BE49="","",IF(AND($AG$3=$AG$1,BE49&lt;=$AZ$1),0,IF(BG49=VLOOKUP(BG49,'IN RPS-2015'!$I$2:$J$5,1),0,ROUND(BH49*VLOOKUP(BE49,$AF$4:$AG$7,2)%,0))))</f>
        <v/>
      </c>
      <c r="BK49" s="461" t="str">
        <f>IF(BE49="","",IF(AND($AG$3=$AG$1,BE49&lt;=$AZ$1),0,IF(OR(BW49=3,BG49=VLOOKUP(BG49,'IN RPS-2015'!$I$2:$J$5,1)),0,ROUND(MIN(ROUND(BG49*VLOOKUP(BE49,$B$1:$G$4,2)%,0),VLOOKUP(BE49,$B$2:$I$4,IF($AG$3=$I$29,7,8),TRUE))*(DAY(BF49)-DAY(BE49)+1)/DAY(EOMONTH(BE49,0)),0))))</f>
        <v/>
      </c>
      <c r="BL49" s="491" t="str">
        <f>IF(BE49="","",IF(AND($AG$3=$AG$1,BE49&lt;=$AZ$1),0,IF(Main!$C$26="UGC",0,IF(OR(BE49&lt;DATE(2010,4,1),$I$6=VLOOKUP(BE49,$B$2:$G$4,5,TRUE),BG49=VLOOKUP(BG49,'IN RPS-2015'!$I$2:$J$5,1)),0,ROUND(IF(BW49=3,0,IF(BW49=2,MIN(ROUND(BG49*$G$13%,0),IF(BE49&lt;$J$152,$G$14,$G$15))/2,MIN(ROUND(BG49*$G$13%,0),IF(BE49&lt;$J$152,$G$14,$G$15))))*(DAY(BF49)-DAY(BE49)+1)/DAY(EOMONTH(BE49,0)),0)))))</f>
        <v/>
      </c>
      <c r="BM49" s="461" t="str">
        <f>IF(BE49="","",IF(AND($AG$3=$AG$1,BE49&lt;=$AZ$1),0,IF(Main!$C$26="UGC",0,IF(BG49=VLOOKUP(BG49,'IN RPS-2015'!$I$2:$J$5,1),0,ROUND(BH49*VLOOKUP(BE49,$AF$11:$AG$12,2)%,0)))))</f>
        <v/>
      </c>
      <c r="BN49" s="461" t="str">
        <f>IF(BE49="","",IF(AND($AG$3=$AG$1,BE49&lt;=$AZ$1),0,IF(Main!$C$26="UGC",0,IF(BE49&lt;DATE(2010,4,1),0,IF(OR(BW49=2,BW49=3,BG49=VLOOKUP(BG49,'IN RPS-2015'!$I$2:$J$5,1)),0,ROUND(IF(BE49&lt;$J$152,VLOOKUP(BE49,$B$1:$G$4,4),VLOOKUP(VLOOKUP(BE49,$B$1:$G$4,4),Main!$CE$2:$CF$5,2,FALSE))*(DAY(BF49)-DAY(BE49)+1)/DAY(EOMONTH(BE49,0)),0))))))</f>
        <v/>
      </c>
      <c r="BO49" s="461" t="str">
        <f>IF(BE49="","",IF(AND($AG$3=$AG$1,BE49&lt;=$AZ$1),0,IF(OR(BW49=2,BW49=3,$D$31=$D$28,BG49=VLOOKUP(BG49,'IN RPS-2015'!$I$2:$J$5,1)),0,ROUND(MIN(VLOOKUP(BD49,$A$27:$C$29,2,TRUE),ROUND(BG49*VLOOKUP(BD49,$A$27:$C$29,3,TRUE)%,0))*IF(BD49=$A$36,$C$36,IF(BD49=$A$37,$C$37,IF(BD49=$A$38,$C$38,IF(BD49=$A$39,$C$39,IF(BD49=$A$40,$C$40,IF(BD49=$A$41,$C$41,1))))))*(DAY(BF49)-DAY(BE49)+1)/DAY(EOMONTH(BE49,0)),0))))</f>
        <v/>
      </c>
      <c r="BP49" s="461" t="str">
        <f>IF(BE49="","",IF(AND($AG$3=$AG$1,BE49&lt;=$AZ$1),0,IF(Main!$C$26="UGC",0,IF(OR(BW49=3,BG49=VLOOKUP(BG49,'IN RPS-2015'!$I$2:$J$5,1)),0,ROUND(IF(BW49=2,VLOOKUP(BG49,IF($AG$3=$I$29,$A$20:$E$23,$F$144:$J$147),IF($B$19=VLOOKUP(BE49,$B$2:$G$4,3,TRUE),2,IF($C$19=VLOOKUP(BE49,$B$2:$G$4,3,TRUE),3,IF($D$19=VLOOKUP(BE49,$B$2:$G$4,3,TRUE),4,5))),TRUE),VLOOKUP(BG49,IF($AG$3=$I$29,$A$20:$E$23,$F$144:$J$147),IF($B$19=VLOOKUP(BE49,$B$2:$G$4,3,TRUE),2,IF($C$19=VLOOKUP(BE49,$B$2:$G$4,3,TRUE),3,IF($D$19=VLOOKUP(BE49,$B$2:$G$4,3,TRUE),4,5))),TRUE))*(DAY(BF49)-DAY(BE49)+1)/DAY(EOMONTH(BE49,0)),0)))))</f>
        <v/>
      </c>
      <c r="BQ49" s="461" t="str">
        <f>IF(BE49="","",IF(AND($AG$3=$AG$1,BE49&lt;=$AZ$1),0,IF(Main!$C$26="UGC",0,IF(OR(BD49&lt;DATE(2010,4,1),BW49=3,BG49=VLOOKUP(BG49,'IN RPS-2015'!$I$2:$J$5,1)),0,ROUND(IF(BW49=2,IF(BE49&lt;$J$152,Main!$L$9,Main!$CI$3)/2,IF(BE49&lt;$J$152,Main!$L$9,Main!$CI$3))*(DAY(BF49)-DAY(BE49)+1)/DAY(EOMONTH(BE49,0)),0)))))</f>
        <v/>
      </c>
      <c r="BR49" s="461"/>
      <c r="BS49" s="461" t="str">
        <f>IF(BE49="","",IF(AND($AG$3=$AG$1,BE49&lt;=$AZ$1),0,IF(Main!$C$26="UGC",0,IF(OR(BW49=3,BG49=VLOOKUP(BG49,'IN RPS-2015'!$I$2:$J$5,1)),0,ROUND(IF(BW49=2,VLOOKUP(BH49,IF(BE49&lt;$J$152,$A$154:$E$159,$F$154:$J$159),IF($B$10=VLOOKUP(BD49,$B$2:$G$4,6,TRUE),2,IF($B$10=VLOOKUP(BD49,$B$2:$G$4,6,TRUE),3,IF($D$10=VLOOKUP(BD49,$B$2:$G$4,6,TRUE),4,5))))/2,VLOOKUP(BH49,IF(BE49&lt;$J$152,$A$154:$E$159,$F$154:$J$159),IF($B$10=VLOOKUP(BD49,$B$2:$G$4,6,TRUE),2,IF($B$10=VLOOKUP(BD49,$B$2:$G$4,6,TRUE),3,IF($D$10=VLOOKUP(BD49,$B$2:$G$4,6,TRUE),4,5)))))*(DAY(BF49)-DAY(BE49)+1)/DAY(EOMONTH(BE49,0)),0)))))</f>
        <v/>
      </c>
      <c r="BT49" s="461">
        <f t="shared" si="69"/>
        <v>0</v>
      </c>
      <c r="BU49" s="464" t="str">
        <f>IF(BE49="","",IF(AND($AG$3=$AG$1,BE49&lt;=$AZ$1),0,IF(AND(Main!$F$22=Main!$CA$24,BE49&gt;$AZ$1),ROUND(SUM(BH49,BJ49)*10%,0),"")))</f>
        <v/>
      </c>
      <c r="BV49" s="464" t="str">
        <f>IF(BD49="","",IF(AND($AG$3=$AG$1,BE49&lt;=$AZ$1),0,IF(OR(Main!$H$10=Main!$BH$4,Main!$H$10=Main!$BH$5),0,LOOKUP(BT49*DAY(EOMONTH(BE49,0))/(DAY(BF49)-DAY(BE49)+1),$H$184:$I$189))))</f>
        <v/>
      </c>
      <c r="BW49" s="503">
        <f t="shared" si="70"/>
        <v>1</v>
      </c>
      <c r="BX49" s="457">
        <f t="shared" si="90"/>
        <v>0</v>
      </c>
      <c r="BY49" s="457"/>
      <c r="BZ49" s="457"/>
      <c r="CA49" s="457"/>
      <c r="CB49" s="461"/>
      <c r="CC49" s="499" t="str">
        <f t="shared" si="57"/>
        <v/>
      </c>
      <c r="CD49" s="500" t="str">
        <f t="shared" si="86"/>
        <v/>
      </c>
      <c r="CE49" s="484" t="str">
        <f>IF(CD49="","",MIN(EOMONTH(CD49,0),VLOOKUP(CD49,'IN RPS-2015'!$O$164:$P$202,2,TRUE)-1,LOOKUP(CD49,$E$47:$F$53)-1,IF(CD49&lt;$B$2,$B$2-1,'IN RPS-2015'!$Q$9),IF(CD49&lt;$B$3,$B$3-1,'IN RPS-2015'!$Q$9),IF(CD49&lt;$B$4,$B$4-1,'IN RPS-2015'!$Q$9),LOOKUP(CD49,$H$47:$I$53)))</f>
        <v/>
      </c>
      <c r="CF49" s="490" t="str">
        <f>IF(CD49="","",VLOOKUP(CD49,'IN RPS-2015'!$T$207:$Y$222,5))</f>
        <v/>
      </c>
      <c r="CG49" s="461" t="str">
        <f t="shared" si="72"/>
        <v/>
      </c>
      <c r="CH49" s="461" t="str">
        <f>IF(CD49="","",IF(AND($CA$3=$CA$1,CD49&lt;=$CT$1),0,ROUND(IF(CV49=3,0,IF(CV49=2,IF(CF49=VLOOKUP(CF49,'IN RPS-2015'!$I$2:$J$5,1),0,Main!$H$9)/2,IF(CF49=VLOOKUP(CF49,'IN RPS-2015'!$I$2:$J$5,1),0,Main!$H$9)))*(DAY(CE49)-DAY(CD49)+1)/DAY(EOMONTH(CD49,0)),0)))</f>
        <v/>
      </c>
      <c r="CI49" s="461" t="str">
        <f>IF(CD49="","",IF(AND($CA$3=$CA$1,CD49&lt;=$CT$1),0,IF(CF49=VLOOKUP(CF49,'IN RPS-2015'!$I$2:$J$5,1),0,ROUND(CG49*VLOOKUP(CD49,$BZ$4:$CA$7,2)%,0))))</f>
        <v/>
      </c>
      <c r="CJ49" s="461" t="str">
        <f>IF(CD49="","",IF(AND($CA$3=$CA$1,CD49&lt;=$CT$1),0,IF(OR(CV49=3,CF49=VLOOKUP(CF49,'IN RPS-2015'!$I$2:$J$5,1)),0,ROUND(MIN(ROUND(CF49*VLOOKUP(CD49,$B$1:$G$4,2)%,0),VLOOKUP(CD49,$B$2:$I$4,IF($CA$3=$I$29,7,8),TRUE))*(DAY(CE49)-DAY(CD49)+1)/DAY(EOMONTH(CD49,0)),0))))</f>
        <v/>
      </c>
      <c r="CK49" s="491" t="str">
        <f>IF(CD49="","",IF(AND($CA$3=$CA$1,CD49&lt;=$CT$1),0,IF(Main!$C$26="UGC",0,IF(OR(CD49&lt;DATE(2010,4,1),$I$6=VLOOKUP(CD49,$B$2:$G$4,5,TRUE),CF49=VLOOKUP(CF49,'IN RPS-2015'!$I$2:$J$5,1)),0,ROUND(IF(CV49=3,0,IF(CV49=2,MIN(ROUND(CF49*$G$13%,0),IF(CD49&lt;$J$152,$G$14,$G$15))/2,MIN(ROUND(CF49*$G$13%,0),IF(CD49&lt;$J$152,$G$14,$G$15))))*(DAY(CE49)-DAY(CD49)+1)/DAY(EOMONTH(CD49,0)),0)))))</f>
        <v/>
      </c>
      <c r="CL49" s="461" t="str">
        <f>IF(CD49="","",IF(AND($CA$3=$CA$1,CD49&lt;=$CT$1),0,IF(Main!$C$26="UGC",0,IF(CF49=VLOOKUP(CF49,'IN RPS-2015'!$I$2:$J$5,1),0,ROUND(CG49*VLOOKUP(CD49,$BZ$11:$CA$12,2)%,0)))))</f>
        <v/>
      </c>
      <c r="CM49" s="461" t="str">
        <f>IF(CD49="","",IF(AND($CA$3=$CA$1,CD49&lt;=$CT$1),0,IF(Main!$C$26="UGC",0,IF(CD49&lt;DATE(2010,4,1),0,IF(OR(CV49=2,CV49=3,CF49=VLOOKUP(CF49,'IN RPS-2015'!$I$2:$J$5,1)),0,ROUND(IF(CD49&lt;$J$152,VLOOKUP(CD49,$B$1:$G$4,4),VLOOKUP(VLOOKUP(CD49,$B$1:$G$4,4),Main!$CE$2:$CF$5,2,FALSE))*(DAY(CE49)-DAY(CD49)+1)/DAY(EOMONTH(CD49,0)),0))))))</f>
        <v/>
      </c>
      <c r="CN49" s="461" t="str">
        <f>IF(CD49="","",IF(AND($CA$3=$CA$1,CD49&lt;=$CT$1),0,IF(OR(CV49=2,CV49=3,$D$31=$D$28,CF49=VLOOKUP(CF49,'IN RPS-2015'!$I$2:$J$5,1)),0,ROUND(MIN(VLOOKUP(CC49,$A$27:$C$29,2,TRUE),ROUND(CF49*VLOOKUP(CC49,$A$27:$C$29,3,TRUE)%,0))*IF(CC49=$A$36,$C$36,IF(CC49=$A$37,$C$37,IF(CC49=$A$38,$C$38,IF(CC49=$A$39,$C$39,IF(CC49=$A$40,$C$40,IF(CC49=$A$41,$C$41,1))))))*(DAY(CE49)-DAY(CD49)+1)/DAY(EOMONTH(CD49,0)),0))))</f>
        <v/>
      </c>
      <c r="CO49" s="461" t="str">
        <f>IF(CD49="","",IF(AND($CA$3=$CA$1,CD49&lt;=$CT$1),0,IF(Main!$C$26="UGC",0,IF(OR(CV49=3,CF49=VLOOKUP(CF49,'IN RPS-2015'!$I$2:$J$5,1)),0,ROUND(IF(CV49=2,VLOOKUP(CF49,IF($CA$3=$I$29,$A$20:$E$23,$F$144:$J$147),IF($B$19=VLOOKUP(CD49,$B$2:$G$4,3,TRUE),2,IF($C$19=VLOOKUP(CD49,$B$2:$G$4,3,TRUE),3,IF($D$19=VLOOKUP(CD49,$B$2:$G$4,3,TRUE),4,5))),TRUE),VLOOKUP(CF49,IF($CA$3=$I$29,$A$20:$E$23,$F$144:$J$147),IF($B$19=VLOOKUP(CD49,$B$2:$G$4,3,TRUE),2,IF($C$19=VLOOKUP(CD49,$B$2:$G$4,3,TRUE),3,IF($D$19=VLOOKUP(CD49,$B$2:$G$4,3,TRUE),4,5))),TRUE))*(DAY(CE49)-DAY(CD49)+1)/DAY(EOMONTH(CD49,0)),0)))))</f>
        <v/>
      </c>
      <c r="CP49" s="461" t="str">
        <f>IF(CD49="","",IF(AND($CA$3=$CA$1,CD49&lt;=$CT$1),0,IF(Main!$C$26="UGC",0,IF(OR(CC49&lt;DATE(2010,4,1),CV49=3,CF49=VLOOKUP(CF49,'IN RPS-2015'!$I$2:$J$5,1)),0,ROUND(IF(CV49=2,IF(CD49&lt;$J$152,Main!$L$9,Main!$CI$3)/2,IF(CD49&lt;$J$152,Main!$L$9,Main!$CI$3))*(DAY(CE49)-DAY(CD49)+1)/DAY(EOMONTH(CD49,0)),0)))))</f>
        <v/>
      </c>
      <c r="CQ49" s="461"/>
      <c r="CR49" s="461" t="str">
        <f>IF(CD49="","",IF(AND($CA$3=$CA$1,CD49&lt;=$CT$1),0,IF(Main!$C$26="UGC",0,IF(OR(CV49=3,CF49=VLOOKUP(CF49,'IN RPS-2015'!$I$2:$J$5,1)),0,ROUND(IF(CV49=2,VLOOKUP(CG49,IF(CD49&lt;$J$152,$A$154:$E$159,$F$154:$J$159),IF($B$10=VLOOKUP(CC49,$B$2:$G$4,6,TRUE),2,IF($B$10=VLOOKUP(CC49,$B$2:$G$4,6,TRUE),3,IF($D$10=VLOOKUP(CC49,$B$2:$G$4,6,TRUE),4,5))))/2,VLOOKUP(CG49,IF(CD49&lt;$J$152,$A$154:$E$159,$F$154:$J$159),IF($B$10=VLOOKUP(CC49,$B$2:$G$4,6,TRUE),2,IF($B$10=VLOOKUP(CC49,$B$2:$G$4,6,TRUE),3,IF($D$10=VLOOKUP(CC49,$B$2:$G$4,6,TRUE),4,5)))))*(DAY(CE49)-DAY(CD49)+1)/DAY(EOMONTH(CD49,0)),0)))))</f>
        <v/>
      </c>
      <c r="CS49" s="461">
        <f t="shared" si="73"/>
        <v>0</v>
      </c>
      <c r="CT49" s="464" t="str">
        <f>IF(CD49="","",IF(AND($CA$3=$CA$1,CD49&lt;=$CT$1),0,IF(AND(Main!$F$22=Main!$CA$24,CD49&gt;$CT$1),ROUND(SUM(CG49,CI49)*10%,0),"")))</f>
        <v/>
      </c>
      <c r="CU49" s="464" t="str">
        <f>IF(CC49="","",IF(CG49=0,0,IF(OR(Main!$H$10=Main!$BH$4,Main!$H$10=Main!$BH$5),0,LOOKUP(CS49*DAY(EOMONTH(CD49,0))/(DAY(CE49)-DAY(CD49)+1),$H$184:$I$189))))</f>
        <v/>
      </c>
      <c r="CV49" s="457">
        <f t="shared" si="74"/>
        <v>1</v>
      </c>
      <c r="CW49" s="464"/>
      <c r="CX49" s="501" t="str">
        <f t="shared" si="59"/>
        <v/>
      </c>
      <c r="CY49" s="502" t="str">
        <f t="shared" si="87"/>
        <v/>
      </c>
      <c r="CZ49" s="484" t="str">
        <f>IF(CY49="","",MIN(EOMONTH(CY49,0),VLOOKUP(CY49,'IN RPS-2015'!$O$164:$P$202,2,TRUE)-1,LOOKUP(CY49,$E$47:$F$53)-1,IF(CY49&lt;$B$2,$B$2-1,'IN RPS-2015'!$Q$9),IF(CY49&lt;$B$3,$B$3-1,'IN RPS-2015'!$Q$9),IF(CY49&lt;$B$4,$B$4-1,'IN RPS-2015'!$Q$9),LOOKUP(CY49,$H$47:$I$53)))</f>
        <v/>
      </c>
      <c r="DA49" s="493" t="str">
        <f>IF(CY49="","",VLOOKUP(CY49,'IN RPS-2015'!$T$207:$Y$222,6))</f>
        <v/>
      </c>
      <c r="DB49" s="461" t="str">
        <f t="shared" si="75"/>
        <v/>
      </c>
      <c r="DC49" s="461" t="str">
        <f>IF(CY49="","",IF(AND($CA$3=$CA$1,CY49&lt;=$CT$1),0,ROUND(IF(DQ49=3,0,IF(DQ49=2,IF(DA49=VLOOKUP(DA49,'IN RPS-2015'!$I$2:$J$5,1),0,Main!$H$9)/2,IF(DA49=VLOOKUP(DA49,'IN RPS-2015'!$I$2:$J$5,1),0,Main!$H$9)))*(DAY(CZ49)-DAY(CY49)+1)/DAY(EOMONTH(CY49,0)),0)))</f>
        <v/>
      </c>
      <c r="DD49" s="461" t="str">
        <f>IF(CY49="","",IF(AND($CA$3=$CA$1,CY49&lt;=$CT$1),0,IF(DA49=VLOOKUP(DA49,'IN RPS-2015'!$I$2:$J$5,1),0,ROUND(DB49*VLOOKUP(CY49,$BZ$4:$CA$7,2)%,0))))</f>
        <v/>
      </c>
      <c r="DE49" s="461" t="str">
        <f>IF(CY49="","",IF(AND($CA$3=$CA$1,CY49&lt;=$CT$1),0,IF(OR(DQ49=3,DA49=VLOOKUP(DA49,'IN RPS-2015'!$I$2:$J$5,1)),0,ROUND(MIN(ROUND(DA49*VLOOKUP(CY49,$B$1:$G$4,2)%,0),VLOOKUP(CY49,$B$2:$I$4,IF($CA$3=$I$29,7,8),TRUE))*(DAY(CZ49)-DAY(CY49)+1)/DAY(EOMONTH(CY49,0)),0))))</f>
        <v/>
      </c>
      <c r="DF49" s="491" t="str">
        <f>IF(CY49="","",IF(AND($CA$3=$CA$1,CY49&lt;=$CT$1),0,IF(Main!$C$26="UGC",0,IF(OR(CY49&lt;DATE(2010,4,1),$I$6=VLOOKUP(CY49,$B$2:$G$4,5,TRUE),DA49=VLOOKUP(DA49,'IN RPS-2015'!$I$2:$J$5,1)),0,ROUND(IF(DQ49=3,0,IF(DQ49=2,MIN(ROUND(DA49*$G$13%,0),IF(CY49&lt;$J$152,$G$14,$G$15))/2,MIN(ROUND(DA49*$G$13%,0),IF(CY49&lt;$J$152,$G$14,$G$15))))*(DAY(CZ49)-DAY(CY49)+1)/DAY(EOMONTH(CY49,0)),0)))))</f>
        <v/>
      </c>
      <c r="DG49" s="461" t="str">
        <f>IF(CY49="","",IF(AND($CA$3=$CA$1,CY49&lt;=$CT$1),0,IF(Main!$C$26="UGC",0,IF(DA49=VLOOKUP(DA49,'IN RPS-2015'!$I$2:$J$5,1),0,ROUND(DB49*VLOOKUP(CY49,$BZ$11:$CA$12,2)%,0)))))</f>
        <v/>
      </c>
      <c r="DH49" s="461" t="str">
        <f>IF(CY49="","",IF(AND($CA$3=$CA$1,CY49&lt;=$CT$1),0,IF(Main!$C$26="UGC",0,IF(CY49&lt;DATE(2010,4,1),0,IF(OR(DQ49=2,DQ49=3,DA49=VLOOKUP(DA49,'IN RPS-2015'!$I$2:$J$5,1)),0,ROUND(IF(CY49&lt;$J$152,VLOOKUP(CY49,$B$1:$G$4,4),VLOOKUP(VLOOKUP(CY49,$B$1:$G$4,4),Main!$CE$2:$CF$5,2,FALSE))*(DAY(CZ49)-DAY(CY49)+1)/DAY(EOMONTH(CY49,0)),0))))))</f>
        <v/>
      </c>
      <c r="DI49" s="461" t="str">
        <f>IF(CY49="","",IF(AND($CA$3=$CA$1,CY49&lt;=$CT$1),0,IF(OR(DQ49=2,DQ49=3,$D$31=$D$28,DA49=VLOOKUP(DA49,'IN RPS-2015'!$I$2:$J$5,1)),0,ROUND(MIN(VLOOKUP(CX49,$A$27:$C$29,2,TRUE),ROUND(DA49*VLOOKUP(CX49,$A$27:$C$29,3,TRUE)%,0))*IF(CX49=$A$36,$C$36,IF(CX49=$A$37,$C$37,IF(CX49=$A$38,$C$38,IF(CX49=$A$39,$C$39,IF(CX49=$A$40,$C$40,IF(CX49=$A$41,$C$41,1))))))*(DAY(CZ49)-DAY(CY49)+1)/DAY(EOMONTH(CY49,0)),0))))</f>
        <v/>
      </c>
      <c r="DJ49" s="461" t="str">
        <f>IF(CY49="","",IF(AND($CA$3=$CA$1,CY49&lt;=$CT$1),0,IF(Main!$C$26="UGC",0,IF(OR(DQ49=3,DA49=VLOOKUP(DA49,'IN RPS-2015'!$I$2:$J$5,1)),0,ROUND(IF(DQ49=2,VLOOKUP(DA49,IF($CA$3=$I$29,$A$20:$E$23,$F$144:$J$147),IF($B$19=VLOOKUP(CY49,$B$2:$G$4,3,TRUE),2,IF($C$19=VLOOKUP(CY49,$B$2:$G$4,3,TRUE),3,IF($D$19=VLOOKUP(CY49,$B$2:$G$4,3,TRUE),4,5))),TRUE),VLOOKUP(DA49,IF($CA$3=$I$29,$A$20:$E$23,$F$144:$J$147),IF($B$19=VLOOKUP(CY49,$B$2:$G$4,3,TRUE),2,IF($C$19=VLOOKUP(CY49,$B$2:$G$4,3,TRUE),3,IF($D$19=VLOOKUP(CY49,$B$2:$G$4,3,TRUE),4,5))),TRUE))*(DAY(CZ49)-DAY(CY49)+1)/DAY(EOMONTH(CY49,0)),0)))))</f>
        <v/>
      </c>
      <c r="DK49" s="461" t="str">
        <f>IF(CY49="","",IF(AND($CA$3=$CA$1,CY49&lt;=$CT$1),0,IF(Main!$C$26="UGC",0,IF(OR(CX49&lt;DATE(2010,4,1),DQ49=3,DA49=VLOOKUP(DA49,'IN RPS-2015'!$I$2:$J$5,1)),0,ROUND(IF(DQ49=2,IF(CY49&lt;$J$152,Main!$L$9,Main!$CI$3)/2,IF(CY49&lt;$J$152,Main!$L$9,Main!$CI$3))*(DAY(CZ49)-DAY(CY49)+1)/DAY(EOMONTH(CY49,0)),0)))))</f>
        <v/>
      </c>
      <c r="DL49" s="461"/>
      <c r="DM49" s="461" t="str">
        <f>IF(CY49="","",IF(AND($CA$3=$CA$1,CY49&lt;=$CT$1),0,IF(Main!$C$26="UGC",0,IF(OR(DQ49=3,DA49=VLOOKUP(DA49,'IN RPS-2015'!$I$2:$J$5,1)),0,ROUND(IF(DQ49=2,VLOOKUP(DB49,IF(CY49&lt;$J$152,$A$154:$E$159,$F$154:$J$159),IF($B$10=VLOOKUP(CX49,$B$2:$G$4,6,TRUE),2,IF($B$10=VLOOKUP(CX49,$B$2:$G$4,6,TRUE),3,IF($D$10=VLOOKUP(CX49,$B$2:$G$4,6,TRUE),4,5))))/2,VLOOKUP(DB49,IF(CY49&lt;$J$152,$A$154:$E$159,$F$154:$J$159),IF($B$10=VLOOKUP(CX49,$B$2:$G$4,6,TRUE),2,IF($B$10=VLOOKUP(CX49,$B$2:$G$4,6,TRUE),3,IF($D$10=VLOOKUP(CX49,$B$2:$G$4,6,TRUE),4,5)))))*(DAY(CZ49)-DAY(CY49)+1)/DAY(EOMONTH(CY49,0)),0)))))</f>
        <v/>
      </c>
      <c r="DN49" s="461">
        <f t="shared" si="76"/>
        <v>0</v>
      </c>
      <c r="DO49" s="464" t="str">
        <f>IF(CY49="","",IF(AND($CA$3=$CA$1,CY49&lt;=$CT$1),0,IF(AND(Main!$F$22=Main!$CA$24,CY49&gt;$CT$1),ROUND(SUM(DB49,DD49)*10%,0),"")))</f>
        <v/>
      </c>
      <c r="DP49" s="464" t="str">
        <f>IF(CX49="","",IF(AND($CA$3=$CA$1,CY49&lt;=$CT$1),0,IF(OR(Main!$H$10=Main!$BH$4,Main!$H$10=Main!$BH$5),0,LOOKUP(DN49*DAY(EOMONTH(CY49,0))/(DAY(CZ49)-DAY(CY49)+1),$H$184:$I$189))))</f>
        <v/>
      </c>
      <c r="DQ49" s="457">
        <f t="shared" si="60"/>
        <v>1</v>
      </c>
      <c r="DR49" s="457">
        <f t="shared" si="77"/>
        <v>0</v>
      </c>
      <c r="DS49" s="457"/>
      <c r="DT49" s="457"/>
      <c r="DU49" s="457"/>
      <c r="DV49" s="461"/>
      <c r="DW49" s="499" t="str">
        <f t="shared" si="61"/>
        <v/>
      </c>
      <c r="DX49" s="500" t="str">
        <f t="shared" si="88"/>
        <v/>
      </c>
      <c r="DY49" s="484" t="str">
        <f>IF(DX49="","",MIN(EOMONTH(DX49,0),VLOOKUP(DX49,'IN RPS-2015'!$O$164:$P$202,2,TRUE)-1,LOOKUP(DX49,$E$47:$F$53)-1,IF(DX49&lt;$B$2,$B$2-1,'IN RPS-2015'!$Q$9),IF(DX49&lt;$B$3,$B$3-1,'IN RPS-2015'!$Q$9),IF(DX49&lt;$B$4,$B$4-1,'IN RPS-2015'!$Q$9),LOOKUP(DX49,$H$47:$I$53)))</f>
        <v/>
      </c>
      <c r="DZ49" s="490" t="str">
        <f>IF(DX49="","",VLOOKUP(DX49,'IN RPS-2015'!$P$164:$AA$202,11))</f>
        <v/>
      </c>
      <c r="EA49" s="461" t="str">
        <f t="shared" si="78"/>
        <v/>
      </c>
      <c r="EB49" s="461" t="str">
        <f>IF(DX49="","",ROUND(IF(EP49=3,0,IF(EP49=2,IF(DZ49=VLOOKUP(DZ49,'IN RPS-2015'!$I$2:$J$5,1),0,Main!$H$9)/2,IF(DZ49=VLOOKUP(DZ49,'IN RPS-2015'!$I$2:$J$5,1),0,Main!$H$9)))*(DAY(DY49)-DAY(DX49)+1)/DAY(EOMONTH(DX49,0)),0))</f>
        <v/>
      </c>
      <c r="EC49" s="461" t="str">
        <f>IF(DX49="","",IF(DZ49=VLOOKUP(DZ49,'IN RPS-2015'!$I$2:$J$5,1),0,ROUND(EA49*VLOOKUP(DX49,$DT$4:$DU$7,2)%,0)))</f>
        <v/>
      </c>
      <c r="ED49" s="461" t="str">
        <f>IF(DX49="","",IF(OR(EP49=3,DZ49=VLOOKUP(DZ49,'IN RPS-2015'!$I$2:$J$5,1)),0,ROUND(MIN(ROUND(DZ49*VLOOKUP(DX49,$B$1:$G$4,2)%,0),VLOOKUP(DX49,$B$2:$I$4,IF($DU$3=$I$29,7,8),TRUE))*(DAY(DY49)-DAY(DX49)+1)/DAY(EOMONTH(DX49,0)),0)))</f>
        <v/>
      </c>
      <c r="EE49" s="491" t="str">
        <f>IF(DX49="","",IF(Main!$C$26="UGC",0,IF(OR(DX49&lt;DATE(2010,4,1),$I$6=VLOOKUP(DX49,$B$2:$G$4,5,TRUE),DZ49=VLOOKUP(DZ49,'IN RPS-2015'!$I$2:$J$5,1)),0,ROUND(IF(EP49=3,0,IF(EP49=2,MIN(ROUND(DZ49*$G$13%,0),IF(DX49&lt;$I$152,$G$14,$G$15))/2,MIN(ROUND(DZ49*$G$13%,0),IF(DX49&lt;$I$152,$G$14,$G$15))))*(DAY(DY49)-DAY(DX49)+1)/DAY(EOMONTH(DX49,0)),0))))</f>
        <v/>
      </c>
      <c r="EF49" s="461" t="str">
        <f>IF(DX49="","",IF(Main!$C$26="UGC",0,IF(DZ49=VLOOKUP(DZ49,'IN RPS-2015'!$I$2:$J$5,1),0,ROUND(EA49*VLOOKUP(DX49,$DT$11:$DU$12,2)%,0))))</f>
        <v/>
      </c>
      <c r="EG49" s="461" t="str">
        <f>IF(DX49="","",IF(Main!$C$26="UGC",0,IF(DX49&lt;DATE(2010,4,1),0,IF(OR(EP49=2,EP49=3,DZ49=VLOOKUP(DZ49,'IN RPS-2015'!$I$2:$J$5,1)),0,ROUND(IF(DX49&lt;$I$152,VLOOKUP(DX49,$B$1:$G$4,4),VLOOKUP(VLOOKUP(DX49,$B$1:$G$4,4),Main!$CE$2:$CF$5,2,FALSE))*(DAY(DY49)-DAY(DX49)+1)/DAY(EOMONTH(DX49,0)),0)))))</f>
        <v/>
      </c>
      <c r="EH49" s="461" t="str">
        <f>IF(DX49="","",IF(OR(EP49=2,EP49=3,$D$31=$D$28,DZ49=VLOOKUP(DZ49,'IN RPS-2015'!$I$2:$J$5,1)),0,ROUND(MIN(IF(DX49&lt;$I$152,900,1350),ROUND(DZ49*VLOOKUP(DW49,$A$27:$C$29,3,TRUE)%,0))*IF(DW49=$A$36,$C$36,IF(DW49=$A$37,$C$37,IF(DW49=$A$38,$C$38,IF(DW49=$A$39,$C$39,IF(DW49=$A$40,$C$40,IF(DW49=$A$41,$C$41,1))))))*(DAY(DY49)-DAY(DX49)+1)/DAY(EOMONTH(DX49,0)),0)))</f>
        <v/>
      </c>
      <c r="EI49" s="461" t="str">
        <f>IF(DX49="","",IF(Main!$C$26="UGC",0,IF(OR(EP49=3,DZ49=VLOOKUP(DZ49,'IN RPS-2015'!$I$2:$J$5,1)),0,ROUND(IF(EP49=2,VLOOKUP(DZ49,IF($DU$3=$I$29,$A$20:$E$23,$F$144:$J$147),IF($B$19=VLOOKUP(DX49,$B$2:$G$4,3,TRUE),2,IF($C$19=VLOOKUP(DX49,$B$2:$G$4,3,TRUE),3,IF($D$19=VLOOKUP(DX49,$B$2:$G$4,3,TRUE),4,5))),TRUE),VLOOKUP(DZ49,IF($DU$3=$I$29,$A$20:$E$23,$F$144:$J$147),IF($B$19=VLOOKUP(DX49,$B$2:$G$4,3,TRUE),2,IF($C$19=VLOOKUP(DX49,$B$2:$G$4,3,TRUE),3,IF($D$19=VLOOKUP(DX49,$B$2:$G$4,3,TRUE),4,5))),TRUE))*(DAY(DY49)-DAY(DX49)+1)/DAY(EOMONTH(DX49,0)),0))))</f>
        <v/>
      </c>
      <c r="EJ49" s="461" t="str">
        <f>IF(DX49="","",IF(Main!$C$26="UGC",0,IF(OR(DW49&lt;DATE(2010,4,1),EP49=3,DZ49=VLOOKUP(DZ49,'IN RPS-2015'!$I$2:$J$5,1)),0,ROUND(IF(EP49=2,IF(DX49&lt;$I$152,Main!$L$9,Main!$CI$3)/2,IF(DX49&lt;$I$152,Main!$L$9,Main!$CI$3))*(DAY(DY49)-DAY(DX49)+1)/DAY(EOMONTH(DX49,0)),0))))</f>
        <v/>
      </c>
      <c r="EK49" s="461"/>
      <c r="EL49" s="461" t="str">
        <f>IF(DX49="","",IF(Main!$C$26="UGC",0,IF(OR(EP49=3,DZ49=VLOOKUP(DZ49,'IN RPS-2015'!$I$2:$J$5,1)),0,ROUND(IF(EP49=2,VLOOKUP(EA49,IF(DX49&lt;$I$152,$A$154:$E$159,$F$154:$J$159),IF($B$10=VLOOKUP(DW49,$B$2:$G$4,6,TRUE),2,IF($B$10=VLOOKUP(DW49,$B$2:$G$4,6,TRUE),3,IF($D$10=VLOOKUP(DW49,$B$2:$G$4,6,TRUE),4,5))))/2,VLOOKUP(EA49,IF(DX49&lt;$I$152,$A$154:$E$159,$F$154:$J$159),IF($B$10=VLOOKUP(DW49,$B$2:$G$4,6,TRUE),2,IF($B$10=VLOOKUP(DW49,$B$2:$G$4,6,TRUE),3,IF($D$10=VLOOKUP(DW49,$B$2:$G$4,6,TRUE),4,5)))))*(DAY(DY49)-DAY(DX49)+1)/DAY(EOMONTH(DX49,0)),0))))</f>
        <v/>
      </c>
      <c r="EM49" s="461">
        <f t="shared" si="79"/>
        <v>0</v>
      </c>
      <c r="EN49" s="464" t="str">
        <f>IF(DX49="","",IF(AND(Main!$F$22=Main!$CA$24,DX49&gt;$EN$1),ROUND(SUM(EA49,EC49)*10%,0),""))</f>
        <v/>
      </c>
      <c r="EO49" s="464" t="str">
        <f>IF(DW49="","",IF(EA49=0,0,IF(OR(Main!$H$10=Main!$BH$4,Main!$H$10=Main!$BH$5),0,LOOKUP(EM49*DAY(EOMONTH(DX49,0))/(DAY(DY49)-DAY(DX49)+1),$H$184:$I$189))))</f>
        <v/>
      </c>
      <c r="EP49" s="457">
        <f t="shared" si="62"/>
        <v>1</v>
      </c>
      <c r="ET49" s="461"/>
      <c r="EU49" s="499" t="str">
        <f t="shared" si="63"/>
        <v/>
      </c>
      <c r="EV49" s="500" t="str">
        <f t="shared" si="89"/>
        <v/>
      </c>
      <c r="EW49" s="484" t="str">
        <f>IF(EV49="","",MIN(EOMONTH(EV49,0),VLOOKUP(EV49,'IN RPS-2015'!$O$164:$P$202,2,TRUE)-1,LOOKUP(EV49,$E$47:$F$53)-1,IF(EV49&lt;$B$2,$B$2-1,'IN RPS-2015'!$Q$9),IF(EV49&lt;$B$3,$B$3-1,'IN RPS-2015'!$Q$9),IF(EV49&lt;$B$4,$B$4-1,'IN RPS-2015'!$Q$9),LOOKUP(EV49,$H$47:$I$53)))</f>
        <v/>
      </c>
      <c r="EX49" s="490" t="str">
        <f>IF(EV49="","",VLOOKUP(EV49,'IN RPS-2015'!$P$164:$AA$202,12))</f>
        <v/>
      </c>
      <c r="EY49" s="461" t="str">
        <f t="shared" si="80"/>
        <v/>
      </c>
      <c r="EZ49" s="461" t="str">
        <f>IF(EV49="","",ROUND(IF(FN49=3,0,IF(FN49=2,IF(EX49=VLOOKUP(EX49,'IN RPS-2015'!$I$2:$J$5,1),0,Main!$H$9)/2,IF(EX49=VLOOKUP(EX49,'IN RPS-2015'!$I$2:$J$5,1),0,Main!$H$9)))*(DAY(EW49)-DAY(EV49)+1)/DAY(EOMONTH(EV49,0)),0))</f>
        <v/>
      </c>
      <c r="FA49" s="461" t="str">
        <f>IF(EV49="","",IF(EX49=VLOOKUP(EX49,'IN RPS-2015'!$I$2:$J$5,1),0,ROUND(EY49*VLOOKUP(EV49,$ER$4:$ES$7,2)%,0)))</f>
        <v/>
      </c>
      <c r="FB49" s="461" t="str">
        <f>IF(EV49="","",IF(OR(FN49=3,EX49=VLOOKUP(EX49,'IN RPS-2015'!$I$2:$J$5,1)),0,ROUND(MIN(ROUND(EX49*VLOOKUP(EV49,$B$1:$G$4,2)%,0),VLOOKUP(EV49,$B$2:$I$4,IF($ES$3=$I$29,7,8),TRUE))*(DAY(EW49)-DAY(EV49)+1)/DAY(EOMONTH(EV49,0)),0)))</f>
        <v/>
      </c>
      <c r="FC49" s="491" t="str">
        <f>IF(EV49="","",IF(Main!$C$26="UGC",0,IF(OR(EV49&lt;DATE(2010,4,1),$I$6=VLOOKUP(EV49,$B$2:$G$4,5,TRUE),EX49=VLOOKUP(EX49,'IN RPS-2015'!$I$2:$J$5,1)),0,ROUND(IF(FN49=3,0,IF(FN49=2,MIN(ROUND(EX49*$G$13%,0),IF(EV49&lt;$J$152,$G$14,$G$15))/2,MIN(ROUND(EX49*$G$13%,0),IF(EV49&lt;$J$152,$G$14,$G$15))))*(DAY(EW49)-DAY(EV49)+1)/DAY(EOMONTH(EV49,0)),0))))</f>
        <v/>
      </c>
      <c r="FD49" s="461" t="str">
        <f>IF(EV49="","",IF(Main!$C$26="UGC",0,IF(EX49=VLOOKUP(EX49,'IN RPS-2015'!$I$2:$J$5,1),0,ROUND(EY49*VLOOKUP(EV49,$ER$11:$ES$12,2)%,0))))</f>
        <v/>
      </c>
      <c r="FE49" s="461" t="str">
        <f>IF(EV49="","",IF(Main!$C$26="UGC",0,IF(EV49&lt;DATE(2010,4,1),0,IF(OR(FN49=2,FN49=3,EX49=VLOOKUP(EX49,'IN RPS-2015'!$I$2:$J$5,1)),0,ROUND(IF(EV49&lt;$J$152,VLOOKUP(EV49,$B$1:$G$4,4),VLOOKUP(VLOOKUP(EV49,$B$1:$G$4,4),Main!$CE$2:$CF$5,2,FALSE))*(DAY(EW49)-DAY(EV49)+1)/DAY(EOMONTH(EV49,0)),0)))))</f>
        <v/>
      </c>
      <c r="FF49" s="461" t="str">
        <f>IF(EV49="","",IF(OR(FN49=2,FN49=3,$D$31=$D$28,EX49=VLOOKUP(EX49,'IN RPS-2015'!$I$2:$J$5,1)),0,ROUND(MIN(VLOOKUP(EU49,$A$27:$C$29,2,TRUE),ROUND(EX49*VLOOKUP(EU49,$A$27:$C$29,3,TRUE)%,0))*IF(EU49=$A$36,$C$36,IF(EU49=$A$37,$C$37,IF(EU49=$A$38,$C$38,IF(EU49=$A$39,$C$39,IF(EU49=$A$40,$C$40,IF(EU49=$A$41,$C$41,1))))))*(DAY(EW49)-DAY(EV49)+1)/DAY(EOMONTH(EV49,0)),0)))</f>
        <v/>
      </c>
      <c r="FG49" s="461" t="str">
        <f>IF(EV49="","",IF(Main!$C$26="UGC",0,IF(OR(FN49=3,EX49=VLOOKUP(EX49,'IN RPS-2015'!$I$2:$J$5,1)),0,ROUND(IF(FN49=2,VLOOKUP(EX49,IF($ES$3=$I$29,$A$20:$E$23,$F$144:$J$147),IF($B$19=VLOOKUP(EV49,$B$2:$G$4,3,TRUE),2,IF($C$19=VLOOKUP(EV49,$B$2:$G$4,3,TRUE),3,IF($D$19=VLOOKUP(EV49,$B$2:$G$4,3,TRUE),4,5))),TRUE),VLOOKUP(EX49,IF($ES$3=$I$29,$A$20:$E$23,$F$144:$J$147),IF($B$19=VLOOKUP(EV49,$B$2:$G$4,3,TRUE),2,IF($C$19=VLOOKUP(EV49,$B$2:$G$4,3,TRUE),3,IF($D$19=VLOOKUP(EV49,$B$2:$G$4,3,TRUE),4,5))),TRUE))*(DAY(EW49)-DAY(EV49)+1)/DAY(EOMONTH(EV49,0)),0))))</f>
        <v/>
      </c>
      <c r="FH49" s="461" t="str">
        <f>IF(EV49="","",IF(Main!$C$26="UGC",0,IF(OR(EU49&lt;DATE(2010,4,1),FN49=3,EX49=VLOOKUP(EX49,'IN RPS-2015'!$I$2:$J$5,1)),0,ROUND(IF(FN49=2,IF(EV49&lt;$J$152,Main!$L$9,Main!$CI$3)/2,IF(EV49&lt;$J$152,Main!$L$9,Main!$CI$3))*(DAY(EW49)-DAY(EV49)+1)/DAY(EOMONTH(EV49,0)),0))))</f>
        <v/>
      </c>
      <c r="FI49" s="461"/>
      <c r="FJ49" s="461" t="str">
        <f>IF(EV49="","",IF(Main!$C$26="UGC",0,IF(OR(FN49=3,EX49=VLOOKUP(EX49,'IN RPS-2015'!$I$2:$J$5,1)),0,ROUND(IF(FN49=2,VLOOKUP(EY49,IF(EV49&lt;$J$152,$A$154:$E$159,$F$154:$J$159),IF($B$10=VLOOKUP(EU49,$B$2:$G$4,6,TRUE),2,IF($B$10=VLOOKUP(EU49,$B$2:$G$4,6,TRUE),3,IF($D$10=VLOOKUP(EU49,$B$2:$G$4,6,TRUE),4,5))))/2,VLOOKUP(EY49,IF(EV49&lt;$J$152,$A$154:$E$159,$F$154:$J$159),IF($B$10=VLOOKUP(EU49,$B$2:$G$4,6,TRUE),2,IF($B$10=VLOOKUP(EU49,$B$2:$G$4,6,TRUE),3,IF($D$10=VLOOKUP(EU49,$B$2:$G$4,6,TRUE),4,5)))))*(DAY(EW49)-DAY(EV49)+1)/DAY(EOMONTH(EV49,0)),0))))</f>
        <v/>
      </c>
      <c r="FK49" s="461">
        <f t="shared" si="81"/>
        <v>0</v>
      </c>
      <c r="FL49" s="464" t="str">
        <f>IF(EV49="","",IF(AND(Main!$F$22=Main!$CA$24,EV49&gt;$FL$1),ROUND(SUM(EY49,FA49)*10%,0),""))</f>
        <v/>
      </c>
      <c r="FM49" s="464" t="str">
        <f>IF(EU49="","",IF(EY49=0,0,IF(OR(Main!$H$10=Main!$BH$4,Main!$H$10=Main!$BH$5),0,LOOKUP(FK49*DAY(EOMONTH(EV49,0))/(DAY(EW49)-DAY(EV49)+1),$H$184:$I$189))))</f>
        <v/>
      </c>
      <c r="FN49" s="457">
        <f t="shared" si="64"/>
        <v>1</v>
      </c>
    </row>
    <row r="50" spans="1:170">
      <c r="A50" s="459">
        <f>DATE(2015,7,1)</f>
        <v>42186</v>
      </c>
      <c r="B50" s="457">
        <f>B49+6*B45</f>
        <v>88.167999999999992</v>
      </c>
      <c r="C50" s="457">
        <f>C49+6*0.524</f>
        <v>15.196</v>
      </c>
      <c r="D50" s="457">
        <v>119</v>
      </c>
      <c r="E50" s="515">
        <f t="shared" si="94"/>
        <v>42461</v>
      </c>
      <c r="F50" s="516">
        <f t="shared" si="92"/>
        <v>42461</v>
      </c>
      <c r="G50" s="514">
        <f t="shared" si="95"/>
        <v>1</v>
      </c>
      <c r="H50" s="516">
        <f t="shared" si="96"/>
        <v>42462</v>
      </c>
      <c r="I50" s="516">
        <f t="shared" si="93"/>
        <v>42461</v>
      </c>
      <c r="AH50" s="461"/>
      <c r="AI50" s="499" t="str">
        <f t="shared" si="54"/>
        <v/>
      </c>
      <c r="AJ50" s="500" t="str">
        <f t="shared" si="84"/>
        <v/>
      </c>
      <c r="AK50" s="484" t="str">
        <f>IF(AJ50="","",MIN(EOMONTH(AJ50,0),VLOOKUP(AJ50,'IN RPS-2015'!$O$164:$P$202,2,TRUE)-1,LOOKUP(AJ50,$E$47:$F$53)-1,IF(AJ50&lt;$B$2,$B$2-1,'IN RPS-2015'!$Q$9),IF(AJ50&lt;$B$3,$B$3-1,'IN RPS-2015'!$Q$9),IF(AJ50&lt;$B$4,$B$4-1,'IN RPS-2015'!$Q$9),LOOKUP(AJ50,$H$47:$I$53)))</f>
        <v/>
      </c>
      <c r="AL50" s="490" t="str">
        <f>IF(AJ50="","",VLOOKUP(AJ50,'IN RPS-2015'!$P$164:$AA$202,9))</f>
        <v/>
      </c>
      <c r="AM50" s="461" t="str">
        <f t="shared" si="66"/>
        <v/>
      </c>
      <c r="AN50" s="461" t="str">
        <f>IF(AJ50="","",IF(AND($AG$3=$AG$1,AJ50&lt;=$AZ$1),0,ROUND(IF(BB50=3,0,IF(BB50=2,IF(AL50=VLOOKUP(AL50,'IN RPS-2015'!$I$2:$J$5,1),0,Main!$H$9)/2,IF(AL50=VLOOKUP(AL50,'IN RPS-2015'!$I$2:$J$5,1),0,Main!$H$9)))*(DAY(AK50)-DAY(AJ50)+1)/DAY(EOMONTH(AJ50,0)),0)))</f>
        <v/>
      </c>
      <c r="AO50" s="461" t="str">
        <f>IF(AJ50="","",IF(AND($AG$3=$AG$1,AJ50&lt;=$AZ$1),0,IF(AL50=VLOOKUP(AL50,'IN RPS-2015'!$I$2:$J$5,1),0,ROUND(AM50*VLOOKUP(AJ50,$AF$4:$AG$7,2)%,0))))</f>
        <v/>
      </c>
      <c r="AP50" s="461" t="str">
        <f>IF(AJ50="","",IF(AND($AG$3=$AG$1,AJ50&lt;=$AZ$1),0,IF(OR(BB50=3,AL50=VLOOKUP(AL50,'IN RPS-2015'!$I$2:$J$5,1)),0,ROUND(MIN(ROUND(AL50*VLOOKUP(AJ50,$B$1:$G$4,2)%,0),VLOOKUP(AJ50,$B$2:$I$4,IF($AG$3=$I$29,7,8),TRUE))*(DAY(AK50)-DAY(AJ50)+1)/DAY(EOMONTH(AJ50,0)),0))))</f>
        <v/>
      </c>
      <c r="AQ50" s="491" t="str">
        <f>IF(AJ50="","",IF(AND($AG$3=$AG$1,AJ50&lt;=$AZ$1),0,IF(Main!$C$26="UGC",0,IF(OR(AJ50&lt;DATE(2010,4,1),$I$6=VLOOKUP(AJ50,$B$2:$G$4,5,TRUE),AL50=VLOOKUP(AL50,'IN RPS-2015'!$I$2:$J$5,1)),0,ROUND(IF(BB50=3,0,IF(BB50=2,MIN(ROUND(AL50*$G$13%,0),IF(AJ50&lt;$J$152,$G$14,$G$15))/2,MIN(ROUND(AL50*$G$13%,0),IF(AJ50&lt;$J$152,$G$14,$G$15))))*(DAY(AK50)-DAY(AJ50)+1)/DAY(EOMONTH(AJ50,0)),0)))))</f>
        <v/>
      </c>
      <c r="AR50" s="461" t="str">
        <f>IF(AJ50="","",IF(AND($AG$3=$AG$1,AJ50&lt;=$AZ$1),0,IF(Main!$C$26="UGC",0,IF(AL50=VLOOKUP(AL50,'IN RPS-2015'!$I$2:$J$5,1),0,ROUND(AM50*VLOOKUP(AJ50,$AF$11:$AG$12,2)%,0)))))</f>
        <v/>
      </c>
      <c r="AS50" s="461" t="str">
        <f>IF(AJ50="","",IF(AND($AG$3=$AG$1,AJ50&lt;=$AZ$1),0,IF(Main!$C$26="UGC",0,IF(AJ50&lt;DATE(2010,4,1),0,IF(OR(BB50=2,BB50=3,AL50=VLOOKUP(AL50,'IN RPS-2015'!$I$2:$J$5,1)),0,ROUND(IF(AJ50&lt;$J$152,VLOOKUP(AJ50,$B$1:$G$4,4),VLOOKUP(VLOOKUP(AJ50,$B$1:$G$4,4),Main!$CE$2:$CF$5,2,FALSE))*(DAY(AK50)-DAY(AJ50)+1)/DAY(EOMONTH(AJ50,0)),0))))))</f>
        <v/>
      </c>
      <c r="AT50" s="461" t="str">
        <f>IF(AJ50="","",IF(AND($AG$3=$AG$1,AJ50&lt;=$AZ$1),0,IF(OR(BB50=2,BB50=3,$D$31=$D$28,AL50=VLOOKUP(AL50,'IN RPS-2015'!$I$2:$J$5,1)),0,ROUND(MIN(VLOOKUP(AI50,$A$27:$C$29,2,TRUE),ROUND(AL50*VLOOKUP(AI50,$A$27:$C$29,3,TRUE)%,0))*IF(AI50=$A$36,$C$36,IF(AI50=$A$37,$C$37,IF(AI50=$A$38,$C$38,IF(AI50=$A$39,$C$39,IF(AI50=$A$40,$C$40,IF(AI50=$A$41,$C$41,1))))))*(DAY(AK50)-DAY(AJ50)+1)/DAY(EOMONTH(AJ50,0)),0))))</f>
        <v/>
      </c>
      <c r="AU50" s="461" t="str">
        <f>IF(AJ50="","",IF(AND($AG$3=$AG$1,AJ50&lt;=$AZ$1),0,IF(Main!$C$26="UGC",0,IF(OR(BB50=3,AL50=VLOOKUP(AL50,'IN RPS-2015'!$I$2:$J$5,1)),0,ROUND(IF(BB50=2,VLOOKUP(AL50,IF($AG$3=$I$29,$A$20:$E$23,$F$144:$J$147),IF($B$19=VLOOKUP(AJ50,$B$2:$G$4,3,TRUE),2,IF($C$19=VLOOKUP(AJ50,$B$2:$G$4,3,TRUE),3,IF($D$19=VLOOKUP(AJ50,$B$2:$G$4,3,TRUE),4,5))),TRUE),VLOOKUP(AL50,IF($AG$3=$I$29,$A$20:$E$23,$F$144:$J$147),IF($B$19=VLOOKUP(AJ50,$B$2:$G$4,3,TRUE),2,IF($C$19=VLOOKUP(AJ50,$B$2:$G$4,3,TRUE),3,IF($D$19=VLOOKUP(AJ50,$B$2:$G$4,3,TRUE),4,5))),TRUE))*(DAY(AK50)-DAY(AJ50)+1)/DAY(EOMONTH(AJ50,0)),0)))))</f>
        <v/>
      </c>
      <c r="AV50" s="461" t="str">
        <f>IF(AJ50="","",IF(AND($AG$3=$AG$1,AJ50&lt;=$AZ$1),0,IF(Main!$C$26="UGC",0,IF(OR(AI50&lt;DATE(2010,4,1),BB50=3,AL50=VLOOKUP(AL50,'IN RPS-2015'!$I$2:$J$5,1)),0,ROUND(IF(BB50=2,IF(AJ50&lt;$J$152,Main!$L$9,Main!$CI$3)/2,IF(AJ50&lt;$J$152,Main!$L$9,Main!$CI$3))*(DAY(AK50)-DAY(AJ50)+1)/DAY(EOMONTH(AJ50,0)),0)))))</f>
        <v/>
      </c>
      <c r="AW50" s="461"/>
      <c r="AX50" s="461" t="str">
        <f>IF(AJ50="","",IF(AND($AG$3=$AG$1,AJ50&lt;=$AZ$1),0,IF(Main!$C$26="UGC",0,IF(OR(BB50=3,AL50=VLOOKUP(AL50,'IN RPS-2015'!$I$2:$J$5,1)),0,ROUND(IF(BB50=2,VLOOKUP(AM50,IF(AJ50&lt;$J$152,$A$154:$E$159,$F$154:$J$159),IF($B$10=VLOOKUP(AI50,$B$2:$G$4,6,TRUE),2,IF($B$10=VLOOKUP(AI50,$B$2:$G$4,6,TRUE),3,IF($D$10=VLOOKUP(AI50,$B$2:$G$4,6,TRUE),4,5))))/2,VLOOKUP(AM50,IF(AJ50&lt;$J$152,$A$154:$E$159,$F$154:$J$159),IF($B$10=VLOOKUP(AI50,$B$2:$G$4,6,TRUE),2,IF($B$10=VLOOKUP(AI50,$B$2:$G$4,6,TRUE),3,IF($D$10=VLOOKUP(AI50,$B$2:$G$4,6,TRUE),4,5)))))*(DAY(AK50)-DAY(AJ50)+1)/DAY(EOMONTH(AJ50,0)),0)))))</f>
        <v/>
      </c>
      <c r="AY50" s="461">
        <f t="shared" si="67"/>
        <v>0</v>
      </c>
      <c r="AZ50" s="464" t="str">
        <f>IF(AJ50="","",IF(AND($AG$3=$AG$1,AJ50&lt;=$AZ$1),0,IF(AND(Main!$F$22=Main!$CA$24,AJ50&gt;$AZ$1),ROUND(SUM(AM50,AO50)*10%,0),"")))</f>
        <v/>
      </c>
      <c r="BA50" s="464" t="str">
        <f>IF(AI50="","",IF(AND($AG$3=$AG$1,AJ50&lt;=$AZ$1),0,IF(OR(Main!$H$10=Main!$BH$4,Main!$H$10=Main!$BH$5),0,LOOKUP(AY50*DAY(EOMONTH(AJ50,0))/(DAY(AK50)-DAY(AJ50)+1),$H$184:$I$189))))</f>
        <v/>
      </c>
      <c r="BB50" s="497">
        <f t="shared" si="55"/>
        <v>1</v>
      </c>
      <c r="BC50" s="464"/>
      <c r="BD50" s="501" t="str">
        <f t="shared" si="56"/>
        <v/>
      </c>
      <c r="BE50" s="502" t="str">
        <f t="shared" si="85"/>
        <v/>
      </c>
      <c r="BF50" s="484" t="str">
        <f>IF(BE50="","",MIN(EOMONTH(BE50,0),VLOOKUP(BE50,'IN RPS-2015'!$O$164:$P$202,2,TRUE)-1,LOOKUP(BE50,$E$47:$F$53)-1,IF(BE50&lt;$B$2,$B$2-1,'IN RPS-2015'!$Q$9),IF(BE50&lt;$B$3,$B$3-1,'IN RPS-2015'!$Q$9),IF(BE50&lt;$B$4,$B$4-1,'IN RPS-2015'!$Q$9),LOOKUP(BE50,$H$47:$I$53)))</f>
        <v/>
      </c>
      <c r="BG50" s="493" t="str">
        <f>IF(BE50="","",VLOOKUP(BE50,'IN RPS-2015'!$P$164:$AA$202,10))</f>
        <v/>
      </c>
      <c r="BH50" s="461" t="str">
        <f t="shared" si="68"/>
        <v/>
      </c>
      <c r="BI50" s="461" t="str">
        <f>IF(BE50="","",IF(AND($AG$3=$AG$1,BE50&lt;=$AZ$1),0,ROUND(IF(BW50=3,0,IF(BW50=2,IF(BG50=VLOOKUP(BG50,'IN RPS-2015'!$I$2:$J$5,1),0,Main!$H$9)/2,IF(BG50=VLOOKUP(BG50,'IN RPS-2015'!$I$2:$J$5,1),0,Main!$H$9)))*(DAY(BF50)-DAY(BE50)+1)/DAY(EOMONTH(BE50,0)),0)))</f>
        <v/>
      </c>
      <c r="BJ50" s="461" t="str">
        <f>IF(BE50="","",IF(AND($AG$3=$AG$1,BE50&lt;=$AZ$1),0,IF(BG50=VLOOKUP(BG50,'IN RPS-2015'!$I$2:$J$5,1),0,ROUND(BH50*VLOOKUP(BE50,$AF$4:$AG$7,2)%,0))))</f>
        <v/>
      </c>
      <c r="BK50" s="461" t="str">
        <f>IF(BE50="","",IF(AND($AG$3=$AG$1,BE50&lt;=$AZ$1),0,IF(OR(BW50=3,BG50=VLOOKUP(BG50,'IN RPS-2015'!$I$2:$J$5,1)),0,ROUND(MIN(ROUND(BG50*VLOOKUP(BE50,$B$1:$G$4,2)%,0),VLOOKUP(BE50,$B$2:$I$4,IF($AG$3=$I$29,7,8),TRUE))*(DAY(BF50)-DAY(BE50)+1)/DAY(EOMONTH(BE50,0)),0))))</f>
        <v/>
      </c>
      <c r="BL50" s="491" t="str">
        <f>IF(BE50="","",IF(AND($AG$3=$AG$1,BE50&lt;=$AZ$1),0,IF(Main!$C$26="UGC",0,IF(OR(BE50&lt;DATE(2010,4,1),$I$6=VLOOKUP(BE50,$B$2:$G$4,5,TRUE),BG50=VLOOKUP(BG50,'IN RPS-2015'!$I$2:$J$5,1)),0,ROUND(IF(BW50=3,0,IF(BW50=2,MIN(ROUND(BG50*$G$13%,0),IF(BE50&lt;$J$152,$G$14,$G$15))/2,MIN(ROUND(BG50*$G$13%,0),IF(BE50&lt;$J$152,$G$14,$G$15))))*(DAY(BF50)-DAY(BE50)+1)/DAY(EOMONTH(BE50,0)),0)))))</f>
        <v/>
      </c>
      <c r="BM50" s="461" t="str">
        <f>IF(BE50="","",IF(AND($AG$3=$AG$1,BE50&lt;=$AZ$1),0,IF(Main!$C$26="UGC",0,IF(BG50=VLOOKUP(BG50,'IN RPS-2015'!$I$2:$J$5,1),0,ROUND(BH50*VLOOKUP(BE50,$AF$11:$AG$12,2)%,0)))))</f>
        <v/>
      </c>
      <c r="BN50" s="461" t="str">
        <f>IF(BE50="","",IF(AND($AG$3=$AG$1,BE50&lt;=$AZ$1),0,IF(Main!$C$26="UGC",0,IF(BE50&lt;DATE(2010,4,1),0,IF(OR(BW50=2,BW50=3,BG50=VLOOKUP(BG50,'IN RPS-2015'!$I$2:$J$5,1)),0,ROUND(IF(BE50&lt;$J$152,VLOOKUP(BE50,$B$1:$G$4,4),VLOOKUP(VLOOKUP(BE50,$B$1:$G$4,4),Main!$CE$2:$CF$5,2,FALSE))*(DAY(BF50)-DAY(BE50)+1)/DAY(EOMONTH(BE50,0)),0))))))</f>
        <v/>
      </c>
      <c r="BO50" s="461" t="str">
        <f>IF(BE50="","",IF(AND($AG$3=$AG$1,BE50&lt;=$AZ$1),0,IF(OR(BW50=2,BW50=3,$D$31=$D$28,BG50=VLOOKUP(BG50,'IN RPS-2015'!$I$2:$J$5,1)),0,ROUND(MIN(VLOOKUP(BD50,$A$27:$C$29,2,TRUE),ROUND(BG50*VLOOKUP(BD50,$A$27:$C$29,3,TRUE)%,0))*IF(BD50=$A$36,$C$36,IF(BD50=$A$37,$C$37,IF(BD50=$A$38,$C$38,IF(BD50=$A$39,$C$39,IF(BD50=$A$40,$C$40,IF(BD50=$A$41,$C$41,1))))))*(DAY(BF50)-DAY(BE50)+1)/DAY(EOMONTH(BE50,0)),0))))</f>
        <v/>
      </c>
      <c r="BP50" s="461" t="str">
        <f>IF(BE50="","",IF(AND($AG$3=$AG$1,BE50&lt;=$AZ$1),0,IF(Main!$C$26="UGC",0,IF(OR(BW50=3,BG50=VLOOKUP(BG50,'IN RPS-2015'!$I$2:$J$5,1)),0,ROUND(IF(BW50=2,VLOOKUP(BG50,IF($AG$3=$I$29,$A$20:$E$23,$F$144:$J$147),IF($B$19=VLOOKUP(BE50,$B$2:$G$4,3,TRUE),2,IF($C$19=VLOOKUP(BE50,$B$2:$G$4,3,TRUE),3,IF($D$19=VLOOKUP(BE50,$B$2:$G$4,3,TRUE),4,5))),TRUE),VLOOKUP(BG50,IF($AG$3=$I$29,$A$20:$E$23,$F$144:$J$147),IF($B$19=VLOOKUP(BE50,$B$2:$G$4,3,TRUE),2,IF($C$19=VLOOKUP(BE50,$B$2:$G$4,3,TRUE),3,IF($D$19=VLOOKUP(BE50,$B$2:$G$4,3,TRUE),4,5))),TRUE))*(DAY(BF50)-DAY(BE50)+1)/DAY(EOMONTH(BE50,0)),0)))))</f>
        <v/>
      </c>
      <c r="BQ50" s="461" t="str">
        <f>IF(BE50="","",IF(AND($AG$3=$AG$1,BE50&lt;=$AZ$1),0,IF(Main!$C$26="UGC",0,IF(OR(BD50&lt;DATE(2010,4,1),BW50=3,BG50=VLOOKUP(BG50,'IN RPS-2015'!$I$2:$J$5,1)),0,ROUND(IF(BW50=2,IF(BE50&lt;$J$152,Main!$L$9,Main!$CI$3)/2,IF(BE50&lt;$J$152,Main!$L$9,Main!$CI$3))*(DAY(BF50)-DAY(BE50)+1)/DAY(EOMONTH(BE50,0)),0)))))</f>
        <v/>
      </c>
      <c r="BR50" s="461"/>
      <c r="BS50" s="461" t="str">
        <f>IF(BE50="","",IF(AND($AG$3=$AG$1,BE50&lt;=$AZ$1),0,IF(Main!$C$26="UGC",0,IF(OR(BW50=3,BG50=VLOOKUP(BG50,'IN RPS-2015'!$I$2:$J$5,1)),0,ROUND(IF(BW50=2,VLOOKUP(BH50,IF(BE50&lt;$J$152,$A$154:$E$159,$F$154:$J$159),IF($B$10=VLOOKUP(BD50,$B$2:$G$4,6,TRUE),2,IF($B$10=VLOOKUP(BD50,$B$2:$G$4,6,TRUE),3,IF($D$10=VLOOKUP(BD50,$B$2:$G$4,6,TRUE),4,5))))/2,VLOOKUP(BH50,IF(BE50&lt;$J$152,$A$154:$E$159,$F$154:$J$159),IF($B$10=VLOOKUP(BD50,$B$2:$G$4,6,TRUE),2,IF($B$10=VLOOKUP(BD50,$B$2:$G$4,6,TRUE),3,IF($D$10=VLOOKUP(BD50,$B$2:$G$4,6,TRUE),4,5)))))*(DAY(BF50)-DAY(BE50)+1)/DAY(EOMONTH(BE50,0)),0)))))</f>
        <v/>
      </c>
      <c r="BT50" s="461">
        <f t="shared" si="69"/>
        <v>0</v>
      </c>
      <c r="BU50" s="464" t="str">
        <f>IF(BE50="","",IF(AND($AG$3=$AG$1,BE50&lt;=$AZ$1),0,IF(AND(Main!$F$22=Main!$CA$24,BE50&gt;$AZ$1),ROUND(SUM(BH50,BJ50)*10%,0),"")))</f>
        <v/>
      </c>
      <c r="BV50" s="464" t="str">
        <f>IF(BD50="","",IF(AND($AG$3=$AG$1,BE50&lt;=$AZ$1),0,IF(OR(Main!$H$10=Main!$BH$4,Main!$H$10=Main!$BH$5),0,LOOKUP(BT50*DAY(EOMONTH(BE50,0))/(DAY(BF50)-DAY(BE50)+1),$H$184:$I$189))))</f>
        <v/>
      </c>
      <c r="BW50" s="503">
        <f t="shared" si="70"/>
        <v>1</v>
      </c>
      <c r="BX50" s="457">
        <f t="shared" si="90"/>
        <v>0</v>
      </c>
      <c r="BY50" s="457"/>
      <c r="BZ50" s="457"/>
      <c r="CA50" s="457"/>
      <c r="CB50" s="461"/>
      <c r="CC50" s="499" t="str">
        <f t="shared" si="57"/>
        <v/>
      </c>
      <c r="CD50" s="500" t="str">
        <f t="shared" si="86"/>
        <v/>
      </c>
      <c r="CE50" s="484" t="str">
        <f>IF(CD50="","",MIN(EOMONTH(CD50,0),VLOOKUP(CD50,'IN RPS-2015'!$O$164:$P$202,2,TRUE)-1,LOOKUP(CD50,$E$47:$F$53)-1,IF(CD50&lt;$B$2,$B$2-1,'IN RPS-2015'!$Q$9),IF(CD50&lt;$B$3,$B$3-1,'IN RPS-2015'!$Q$9),IF(CD50&lt;$B$4,$B$4-1,'IN RPS-2015'!$Q$9),LOOKUP(CD50,$H$47:$I$53)))</f>
        <v/>
      </c>
      <c r="CF50" s="490" t="str">
        <f>IF(CD50="","",VLOOKUP(CD50,'IN RPS-2015'!$T$207:$Y$222,5))</f>
        <v/>
      </c>
      <c r="CG50" s="461" t="str">
        <f t="shared" si="72"/>
        <v/>
      </c>
      <c r="CH50" s="461" t="str">
        <f>IF(CD50="","",IF(AND($CA$3=$CA$1,CD50&lt;=$CT$1),0,ROUND(IF(CV50=3,0,IF(CV50=2,IF(CF50=VLOOKUP(CF50,'IN RPS-2015'!$I$2:$J$5,1),0,Main!$H$9)/2,IF(CF50=VLOOKUP(CF50,'IN RPS-2015'!$I$2:$J$5,1),0,Main!$H$9)))*(DAY(CE50)-DAY(CD50)+1)/DAY(EOMONTH(CD50,0)),0)))</f>
        <v/>
      </c>
      <c r="CI50" s="461" t="str">
        <f>IF(CD50="","",IF(AND($CA$3=$CA$1,CD50&lt;=$CT$1),0,IF(CF50=VLOOKUP(CF50,'IN RPS-2015'!$I$2:$J$5,1),0,ROUND(CG50*VLOOKUP(CD50,$BZ$4:$CA$7,2)%,0))))</f>
        <v/>
      </c>
      <c r="CJ50" s="461" t="str">
        <f>IF(CD50="","",IF(AND($CA$3=$CA$1,CD50&lt;=$CT$1),0,IF(OR(CV50=3,CF50=VLOOKUP(CF50,'IN RPS-2015'!$I$2:$J$5,1)),0,ROUND(MIN(ROUND(CF50*VLOOKUP(CD50,$B$1:$G$4,2)%,0),VLOOKUP(CD50,$B$2:$I$4,IF($CA$3=$I$29,7,8),TRUE))*(DAY(CE50)-DAY(CD50)+1)/DAY(EOMONTH(CD50,0)),0))))</f>
        <v/>
      </c>
      <c r="CK50" s="491" t="str">
        <f>IF(CD50="","",IF(AND($CA$3=$CA$1,CD50&lt;=$CT$1),0,IF(Main!$C$26="UGC",0,IF(OR(CD50&lt;DATE(2010,4,1),$I$6=VLOOKUP(CD50,$B$2:$G$4,5,TRUE),CF50=VLOOKUP(CF50,'IN RPS-2015'!$I$2:$J$5,1)),0,ROUND(IF(CV50=3,0,IF(CV50=2,MIN(ROUND(CF50*$G$13%,0),IF(CD50&lt;$J$152,$G$14,$G$15))/2,MIN(ROUND(CF50*$G$13%,0),IF(CD50&lt;$J$152,$G$14,$G$15))))*(DAY(CE50)-DAY(CD50)+1)/DAY(EOMONTH(CD50,0)),0)))))</f>
        <v/>
      </c>
      <c r="CL50" s="461" t="str">
        <f>IF(CD50="","",IF(AND($CA$3=$CA$1,CD50&lt;=$CT$1),0,IF(Main!$C$26="UGC",0,IF(CF50=VLOOKUP(CF50,'IN RPS-2015'!$I$2:$J$5,1),0,ROUND(CG50*VLOOKUP(CD50,$BZ$11:$CA$12,2)%,0)))))</f>
        <v/>
      </c>
      <c r="CM50" s="461" t="str">
        <f>IF(CD50="","",IF(AND($CA$3=$CA$1,CD50&lt;=$CT$1),0,IF(Main!$C$26="UGC",0,IF(CD50&lt;DATE(2010,4,1),0,IF(OR(CV50=2,CV50=3,CF50=VLOOKUP(CF50,'IN RPS-2015'!$I$2:$J$5,1)),0,ROUND(IF(CD50&lt;$J$152,VLOOKUP(CD50,$B$1:$G$4,4),VLOOKUP(VLOOKUP(CD50,$B$1:$G$4,4),Main!$CE$2:$CF$5,2,FALSE))*(DAY(CE50)-DAY(CD50)+1)/DAY(EOMONTH(CD50,0)),0))))))</f>
        <v/>
      </c>
      <c r="CN50" s="461" t="str">
        <f>IF(CD50="","",IF(AND($CA$3=$CA$1,CD50&lt;=$CT$1),0,IF(OR(CV50=2,CV50=3,$D$31=$D$28,CF50=VLOOKUP(CF50,'IN RPS-2015'!$I$2:$J$5,1)),0,ROUND(MIN(VLOOKUP(CC50,$A$27:$C$29,2,TRUE),ROUND(CF50*VLOOKUP(CC50,$A$27:$C$29,3,TRUE)%,0))*IF(CC50=$A$36,$C$36,IF(CC50=$A$37,$C$37,IF(CC50=$A$38,$C$38,IF(CC50=$A$39,$C$39,IF(CC50=$A$40,$C$40,IF(CC50=$A$41,$C$41,1))))))*(DAY(CE50)-DAY(CD50)+1)/DAY(EOMONTH(CD50,0)),0))))</f>
        <v/>
      </c>
      <c r="CO50" s="461" t="str">
        <f>IF(CD50="","",IF(AND($CA$3=$CA$1,CD50&lt;=$CT$1),0,IF(Main!$C$26="UGC",0,IF(OR(CV50=3,CF50=VLOOKUP(CF50,'IN RPS-2015'!$I$2:$J$5,1)),0,ROUND(IF(CV50=2,VLOOKUP(CF50,IF($CA$3=$I$29,$A$20:$E$23,$F$144:$J$147),IF($B$19=VLOOKUP(CD50,$B$2:$G$4,3,TRUE),2,IF($C$19=VLOOKUP(CD50,$B$2:$G$4,3,TRUE),3,IF($D$19=VLOOKUP(CD50,$B$2:$G$4,3,TRUE),4,5))),TRUE),VLOOKUP(CF50,IF($CA$3=$I$29,$A$20:$E$23,$F$144:$J$147),IF($B$19=VLOOKUP(CD50,$B$2:$G$4,3,TRUE),2,IF($C$19=VLOOKUP(CD50,$B$2:$G$4,3,TRUE),3,IF($D$19=VLOOKUP(CD50,$B$2:$G$4,3,TRUE),4,5))),TRUE))*(DAY(CE50)-DAY(CD50)+1)/DAY(EOMONTH(CD50,0)),0)))))</f>
        <v/>
      </c>
      <c r="CP50" s="461" t="str">
        <f>IF(CD50="","",IF(AND($CA$3=$CA$1,CD50&lt;=$CT$1),0,IF(Main!$C$26="UGC",0,IF(OR(CC50&lt;DATE(2010,4,1),CV50=3,CF50=VLOOKUP(CF50,'IN RPS-2015'!$I$2:$J$5,1)),0,ROUND(IF(CV50=2,IF(CD50&lt;$J$152,Main!$L$9,Main!$CI$3)/2,IF(CD50&lt;$J$152,Main!$L$9,Main!$CI$3))*(DAY(CE50)-DAY(CD50)+1)/DAY(EOMONTH(CD50,0)),0)))))</f>
        <v/>
      </c>
      <c r="CQ50" s="461"/>
      <c r="CR50" s="461" t="str">
        <f>IF(CD50="","",IF(AND($CA$3=$CA$1,CD50&lt;=$CT$1),0,IF(Main!$C$26="UGC",0,IF(OR(CV50=3,CF50=VLOOKUP(CF50,'IN RPS-2015'!$I$2:$J$5,1)),0,ROUND(IF(CV50=2,VLOOKUP(CG50,IF(CD50&lt;$J$152,$A$154:$E$159,$F$154:$J$159),IF($B$10=VLOOKUP(CC50,$B$2:$G$4,6,TRUE),2,IF($B$10=VLOOKUP(CC50,$B$2:$G$4,6,TRUE),3,IF($D$10=VLOOKUP(CC50,$B$2:$G$4,6,TRUE),4,5))))/2,VLOOKUP(CG50,IF(CD50&lt;$J$152,$A$154:$E$159,$F$154:$J$159),IF($B$10=VLOOKUP(CC50,$B$2:$G$4,6,TRUE),2,IF($B$10=VLOOKUP(CC50,$B$2:$G$4,6,TRUE),3,IF($D$10=VLOOKUP(CC50,$B$2:$G$4,6,TRUE),4,5)))))*(DAY(CE50)-DAY(CD50)+1)/DAY(EOMONTH(CD50,0)),0)))))</f>
        <v/>
      </c>
      <c r="CS50" s="461">
        <f t="shared" si="73"/>
        <v>0</v>
      </c>
      <c r="CT50" s="464" t="str">
        <f>IF(CD50="","",IF(AND($CA$3=$CA$1,CD50&lt;=$CT$1),0,IF(AND(Main!$F$22=Main!$CA$24,CD50&gt;$CT$1),ROUND(SUM(CG50,CI50)*10%,0),"")))</f>
        <v/>
      </c>
      <c r="CU50" s="464" t="str">
        <f>IF(CC50="","",IF(CG50=0,0,IF(OR(Main!$H$10=Main!$BH$4,Main!$H$10=Main!$BH$5),0,LOOKUP(CS50*DAY(EOMONTH(CD50,0))/(DAY(CE50)-DAY(CD50)+1),$H$184:$I$189))))</f>
        <v/>
      </c>
      <c r="CV50" s="457">
        <f t="shared" si="74"/>
        <v>1</v>
      </c>
      <c r="CW50" s="464"/>
      <c r="CX50" s="501" t="str">
        <f t="shared" si="59"/>
        <v/>
      </c>
      <c r="CY50" s="502" t="str">
        <f t="shared" si="87"/>
        <v/>
      </c>
      <c r="CZ50" s="484" t="str">
        <f>IF(CY50="","",MIN(EOMONTH(CY50,0),VLOOKUP(CY50,'IN RPS-2015'!$O$164:$P$202,2,TRUE)-1,LOOKUP(CY50,$E$47:$F$53)-1,IF(CY50&lt;$B$2,$B$2-1,'IN RPS-2015'!$Q$9),IF(CY50&lt;$B$3,$B$3-1,'IN RPS-2015'!$Q$9),IF(CY50&lt;$B$4,$B$4-1,'IN RPS-2015'!$Q$9),LOOKUP(CY50,$H$47:$I$53)))</f>
        <v/>
      </c>
      <c r="DA50" s="493" t="str">
        <f>IF(CY50="","",VLOOKUP(CY50,'IN RPS-2015'!$T$207:$Y$222,6))</f>
        <v/>
      </c>
      <c r="DB50" s="461" t="str">
        <f t="shared" si="75"/>
        <v/>
      </c>
      <c r="DC50" s="461" t="str">
        <f>IF(CY50="","",IF(AND($CA$3=$CA$1,CY50&lt;=$CT$1),0,ROUND(IF(DQ50=3,0,IF(DQ50=2,IF(DA50=VLOOKUP(DA50,'IN RPS-2015'!$I$2:$J$5,1),0,Main!$H$9)/2,IF(DA50=VLOOKUP(DA50,'IN RPS-2015'!$I$2:$J$5,1),0,Main!$H$9)))*(DAY(CZ50)-DAY(CY50)+1)/DAY(EOMONTH(CY50,0)),0)))</f>
        <v/>
      </c>
      <c r="DD50" s="461" t="str">
        <f>IF(CY50="","",IF(AND($CA$3=$CA$1,CY50&lt;=$CT$1),0,IF(DA50=VLOOKUP(DA50,'IN RPS-2015'!$I$2:$J$5,1),0,ROUND(DB50*VLOOKUP(CY50,$BZ$4:$CA$7,2)%,0))))</f>
        <v/>
      </c>
      <c r="DE50" s="461" t="str">
        <f>IF(CY50="","",IF(AND($CA$3=$CA$1,CY50&lt;=$CT$1),0,IF(OR(DQ50=3,DA50=VLOOKUP(DA50,'IN RPS-2015'!$I$2:$J$5,1)),0,ROUND(MIN(ROUND(DA50*VLOOKUP(CY50,$B$1:$G$4,2)%,0),VLOOKUP(CY50,$B$2:$I$4,IF($CA$3=$I$29,7,8),TRUE))*(DAY(CZ50)-DAY(CY50)+1)/DAY(EOMONTH(CY50,0)),0))))</f>
        <v/>
      </c>
      <c r="DF50" s="491" t="str">
        <f>IF(CY50="","",IF(AND($CA$3=$CA$1,CY50&lt;=$CT$1),0,IF(Main!$C$26="UGC",0,IF(OR(CY50&lt;DATE(2010,4,1),$I$6=VLOOKUP(CY50,$B$2:$G$4,5,TRUE),DA50=VLOOKUP(DA50,'IN RPS-2015'!$I$2:$J$5,1)),0,ROUND(IF(DQ50=3,0,IF(DQ50=2,MIN(ROUND(DA50*$G$13%,0),IF(CY50&lt;$J$152,$G$14,$G$15))/2,MIN(ROUND(DA50*$G$13%,0),IF(CY50&lt;$J$152,$G$14,$G$15))))*(DAY(CZ50)-DAY(CY50)+1)/DAY(EOMONTH(CY50,0)),0)))))</f>
        <v/>
      </c>
      <c r="DG50" s="461" t="str">
        <f>IF(CY50="","",IF(AND($CA$3=$CA$1,CY50&lt;=$CT$1),0,IF(Main!$C$26="UGC",0,IF(DA50=VLOOKUP(DA50,'IN RPS-2015'!$I$2:$J$5,1),0,ROUND(DB50*VLOOKUP(CY50,$BZ$11:$CA$12,2)%,0)))))</f>
        <v/>
      </c>
      <c r="DH50" s="461" t="str">
        <f>IF(CY50="","",IF(AND($CA$3=$CA$1,CY50&lt;=$CT$1),0,IF(Main!$C$26="UGC",0,IF(CY50&lt;DATE(2010,4,1),0,IF(OR(DQ50=2,DQ50=3,DA50=VLOOKUP(DA50,'IN RPS-2015'!$I$2:$J$5,1)),0,ROUND(IF(CY50&lt;$J$152,VLOOKUP(CY50,$B$1:$G$4,4),VLOOKUP(VLOOKUP(CY50,$B$1:$G$4,4),Main!$CE$2:$CF$5,2,FALSE))*(DAY(CZ50)-DAY(CY50)+1)/DAY(EOMONTH(CY50,0)),0))))))</f>
        <v/>
      </c>
      <c r="DI50" s="461" t="str">
        <f>IF(CY50="","",IF(AND($CA$3=$CA$1,CY50&lt;=$CT$1),0,IF(OR(DQ50=2,DQ50=3,$D$31=$D$28,DA50=VLOOKUP(DA50,'IN RPS-2015'!$I$2:$J$5,1)),0,ROUND(MIN(VLOOKUP(CX50,$A$27:$C$29,2,TRUE),ROUND(DA50*VLOOKUP(CX50,$A$27:$C$29,3,TRUE)%,0))*IF(CX50=$A$36,$C$36,IF(CX50=$A$37,$C$37,IF(CX50=$A$38,$C$38,IF(CX50=$A$39,$C$39,IF(CX50=$A$40,$C$40,IF(CX50=$A$41,$C$41,1))))))*(DAY(CZ50)-DAY(CY50)+1)/DAY(EOMONTH(CY50,0)),0))))</f>
        <v/>
      </c>
      <c r="DJ50" s="461" t="str">
        <f>IF(CY50="","",IF(AND($CA$3=$CA$1,CY50&lt;=$CT$1),0,IF(Main!$C$26="UGC",0,IF(OR(DQ50=3,DA50=VLOOKUP(DA50,'IN RPS-2015'!$I$2:$J$5,1)),0,ROUND(IF(DQ50=2,VLOOKUP(DA50,IF($CA$3=$I$29,$A$20:$E$23,$F$144:$J$147),IF($B$19=VLOOKUP(CY50,$B$2:$G$4,3,TRUE),2,IF($C$19=VLOOKUP(CY50,$B$2:$G$4,3,TRUE),3,IF($D$19=VLOOKUP(CY50,$B$2:$G$4,3,TRUE),4,5))),TRUE),VLOOKUP(DA50,IF($CA$3=$I$29,$A$20:$E$23,$F$144:$J$147),IF($B$19=VLOOKUP(CY50,$B$2:$G$4,3,TRUE),2,IF($C$19=VLOOKUP(CY50,$B$2:$G$4,3,TRUE),3,IF($D$19=VLOOKUP(CY50,$B$2:$G$4,3,TRUE),4,5))),TRUE))*(DAY(CZ50)-DAY(CY50)+1)/DAY(EOMONTH(CY50,0)),0)))))</f>
        <v/>
      </c>
      <c r="DK50" s="461" t="str">
        <f>IF(CY50="","",IF(AND($CA$3=$CA$1,CY50&lt;=$CT$1),0,IF(Main!$C$26="UGC",0,IF(OR(CX50&lt;DATE(2010,4,1),DQ50=3,DA50=VLOOKUP(DA50,'IN RPS-2015'!$I$2:$J$5,1)),0,ROUND(IF(DQ50=2,IF(CY50&lt;$J$152,Main!$L$9,Main!$CI$3)/2,IF(CY50&lt;$J$152,Main!$L$9,Main!$CI$3))*(DAY(CZ50)-DAY(CY50)+1)/DAY(EOMONTH(CY50,0)),0)))))</f>
        <v/>
      </c>
      <c r="DL50" s="461"/>
      <c r="DM50" s="461" t="str">
        <f>IF(CY50="","",IF(AND($CA$3=$CA$1,CY50&lt;=$CT$1),0,IF(Main!$C$26="UGC",0,IF(OR(DQ50=3,DA50=VLOOKUP(DA50,'IN RPS-2015'!$I$2:$J$5,1)),0,ROUND(IF(DQ50=2,VLOOKUP(DB50,IF(CY50&lt;$J$152,$A$154:$E$159,$F$154:$J$159),IF($B$10=VLOOKUP(CX50,$B$2:$G$4,6,TRUE),2,IF($B$10=VLOOKUP(CX50,$B$2:$G$4,6,TRUE),3,IF($D$10=VLOOKUP(CX50,$B$2:$G$4,6,TRUE),4,5))))/2,VLOOKUP(DB50,IF(CY50&lt;$J$152,$A$154:$E$159,$F$154:$J$159),IF($B$10=VLOOKUP(CX50,$B$2:$G$4,6,TRUE),2,IF($B$10=VLOOKUP(CX50,$B$2:$G$4,6,TRUE),3,IF($D$10=VLOOKUP(CX50,$B$2:$G$4,6,TRUE),4,5)))))*(DAY(CZ50)-DAY(CY50)+1)/DAY(EOMONTH(CY50,0)),0)))))</f>
        <v/>
      </c>
      <c r="DN50" s="461">
        <f t="shared" si="76"/>
        <v>0</v>
      </c>
      <c r="DO50" s="464" t="str">
        <f>IF(CY50="","",IF(AND($CA$3=$CA$1,CY50&lt;=$CT$1),0,IF(AND(Main!$F$22=Main!$CA$24,CY50&gt;$CT$1),ROUND(SUM(DB50,DD50)*10%,0),"")))</f>
        <v/>
      </c>
      <c r="DP50" s="464" t="str">
        <f>IF(CX50="","",IF(AND($CA$3=$CA$1,CY50&lt;=$CT$1),0,IF(OR(Main!$H$10=Main!$BH$4,Main!$H$10=Main!$BH$5),0,LOOKUP(DN50*DAY(EOMONTH(CY50,0))/(DAY(CZ50)-DAY(CY50)+1),$H$184:$I$189))))</f>
        <v/>
      </c>
      <c r="DQ50" s="457">
        <f t="shared" si="60"/>
        <v>1</v>
      </c>
      <c r="DR50" s="457">
        <f t="shared" si="77"/>
        <v>0</v>
      </c>
      <c r="DS50" s="457"/>
      <c r="DT50" s="457"/>
      <c r="DU50" s="457"/>
      <c r="DV50" s="461"/>
      <c r="DW50" s="499" t="str">
        <f t="shared" si="61"/>
        <v/>
      </c>
      <c r="DX50" s="500" t="str">
        <f t="shared" si="88"/>
        <v/>
      </c>
      <c r="DY50" s="484" t="str">
        <f>IF(DX50="","",MIN(EOMONTH(DX50,0),VLOOKUP(DX50,'IN RPS-2015'!$O$164:$P$202,2,TRUE)-1,LOOKUP(DX50,$E$47:$F$53)-1,IF(DX50&lt;$B$2,$B$2-1,'IN RPS-2015'!$Q$9),IF(DX50&lt;$B$3,$B$3-1,'IN RPS-2015'!$Q$9),IF(DX50&lt;$B$4,$B$4-1,'IN RPS-2015'!$Q$9),LOOKUP(DX50,$H$47:$I$53)))</f>
        <v/>
      </c>
      <c r="DZ50" s="490" t="str">
        <f>IF(DX50="","",VLOOKUP(DX50,'IN RPS-2015'!$P$164:$AA$202,11))</f>
        <v/>
      </c>
      <c r="EA50" s="461" t="str">
        <f t="shared" si="78"/>
        <v/>
      </c>
      <c r="EB50" s="461" t="str">
        <f>IF(DX50="","",ROUND(IF(EP50=3,0,IF(EP50=2,IF(DZ50=VLOOKUP(DZ50,'IN RPS-2015'!$I$2:$J$5,1),0,Main!$H$9)/2,IF(DZ50=VLOOKUP(DZ50,'IN RPS-2015'!$I$2:$J$5,1),0,Main!$H$9)))*(DAY(DY50)-DAY(DX50)+1)/DAY(EOMONTH(DX50,0)),0))</f>
        <v/>
      </c>
      <c r="EC50" s="461" t="str">
        <f>IF(DX50="","",IF(DZ50=VLOOKUP(DZ50,'IN RPS-2015'!$I$2:$J$5,1),0,ROUND(EA50*VLOOKUP(DX50,$DT$4:$DU$7,2)%,0)))</f>
        <v/>
      </c>
      <c r="ED50" s="461" t="str">
        <f>IF(DX50="","",IF(OR(EP50=3,DZ50=VLOOKUP(DZ50,'IN RPS-2015'!$I$2:$J$5,1)),0,ROUND(MIN(ROUND(DZ50*VLOOKUP(DX50,$B$1:$G$4,2)%,0),VLOOKUP(DX50,$B$2:$I$4,IF($DU$3=$I$29,7,8),TRUE))*(DAY(DY50)-DAY(DX50)+1)/DAY(EOMONTH(DX50,0)),0)))</f>
        <v/>
      </c>
      <c r="EE50" s="491" t="str">
        <f>IF(DX50="","",IF(Main!$C$26="UGC",0,IF(OR(DX50&lt;DATE(2010,4,1),$I$6=VLOOKUP(DX50,$B$2:$G$4,5,TRUE),DZ50=VLOOKUP(DZ50,'IN RPS-2015'!$I$2:$J$5,1)),0,ROUND(IF(EP50=3,0,IF(EP50=2,MIN(ROUND(DZ50*$G$13%,0),IF(DX50&lt;$I$152,$G$14,$G$15))/2,MIN(ROUND(DZ50*$G$13%,0),IF(DX50&lt;$I$152,$G$14,$G$15))))*(DAY(DY50)-DAY(DX50)+1)/DAY(EOMONTH(DX50,0)),0))))</f>
        <v/>
      </c>
      <c r="EF50" s="461" t="str">
        <f>IF(DX50="","",IF(Main!$C$26="UGC",0,IF(DZ50=VLOOKUP(DZ50,'IN RPS-2015'!$I$2:$J$5,1),0,ROUND(EA50*VLOOKUP(DX50,$DT$11:$DU$12,2)%,0))))</f>
        <v/>
      </c>
      <c r="EG50" s="461" t="str">
        <f>IF(DX50="","",IF(Main!$C$26="UGC",0,IF(DX50&lt;DATE(2010,4,1),0,IF(OR(EP50=2,EP50=3,DZ50=VLOOKUP(DZ50,'IN RPS-2015'!$I$2:$J$5,1)),0,ROUND(IF(DX50&lt;$I$152,VLOOKUP(DX50,$B$1:$G$4,4),VLOOKUP(VLOOKUP(DX50,$B$1:$G$4,4),Main!$CE$2:$CF$5,2,FALSE))*(DAY(DY50)-DAY(DX50)+1)/DAY(EOMONTH(DX50,0)),0)))))</f>
        <v/>
      </c>
      <c r="EH50" s="461" t="str">
        <f>IF(DX50="","",IF(OR(EP50=2,EP50=3,$D$31=$D$28,DZ50=VLOOKUP(DZ50,'IN RPS-2015'!$I$2:$J$5,1)),0,ROUND(MIN(IF(DX50&lt;$I$152,900,1350),ROUND(DZ50*VLOOKUP(DW50,$A$27:$C$29,3,TRUE)%,0))*IF(DW50=$A$36,$C$36,IF(DW50=$A$37,$C$37,IF(DW50=$A$38,$C$38,IF(DW50=$A$39,$C$39,IF(DW50=$A$40,$C$40,IF(DW50=$A$41,$C$41,1))))))*(DAY(DY50)-DAY(DX50)+1)/DAY(EOMONTH(DX50,0)),0)))</f>
        <v/>
      </c>
      <c r="EI50" s="461" t="str">
        <f>IF(DX50="","",IF(Main!$C$26="UGC",0,IF(OR(EP50=3,DZ50=VLOOKUP(DZ50,'IN RPS-2015'!$I$2:$J$5,1)),0,ROUND(IF(EP50=2,VLOOKUP(DZ50,IF($DU$3=$I$29,$A$20:$E$23,$F$144:$J$147),IF($B$19=VLOOKUP(DX50,$B$2:$G$4,3,TRUE),2,IF($C$19=VLOOKUP(DX50,$B$2:$G$4,3,TRUE),3,IF($D$19=VLOOKUP(DX50,$B$2:$G$4,3,TRUE),4,5))),TRUE),VLOOKUP(DZ50,IF($DU$3=$I$29,$A$20:$E$23,$F$144:$J$147),IF($B$19=VLOOKUP(DX50,$B$2:$G$4,3,TRUE),2,IF($C$19=VLOOKUP(DX50,$B$2:$G$4,3,TRUE),3,IF($D$19=VLOOKUP(DX50,$B$2:$G$4,3,TRUE),4,5))),TRUE))*(DAY(DY50)-DAY(DX50)+1)/DAY(EOMONTH(DX50,0)),0))))</f>
        <v/>
      </c>
      <c r="EJ50" s="461" t="str">
        <f>IF(DX50="","",IF(Main!$C$26="UGC",0,IF(OR(DW50&lt;DATE(2010,4,1),EP50=3,DZ50=VLOOKUP(DZ50,'IN RPS-2015'!$I$2:$J$5,1)),0,ROUND(IF(EP50=2,IF(DX50&lt;$I$152,Main!$L$9,Main!$CI$3)/2,IF(DX50&lt;$I$152,Main!$L$9,Main!$CI$3))*(DAY(DY50)-DAY(DX50)+1)/DAY(EOMONTH(DX50,0)),0))))</f>
        <v/>
      </c>
      <c r="EK50" s="461"/>
      <c r="EL50" s="461" t="str">
        <f>IF(DX50="","",IF(Main!$C$26="UGC",0,IF(OR(EP50=3,DZ50=VLOOKUP(DZ50,'IN RPS-2015'!$I$2:$J$5,1)),0,ROUND(IF(EP50=2,VLOOKUP(EA50,IF(DX50&lt;$I$152,$A$154:$E$159,$F$154:$J$159),IF($B$10=VLOOKUP(DW50,$B$2:$G$4,6,TRUE),2,IF($B$10=VLOOKUP(DW50,$B$2:$G$4,6,TRUE),3,IF($D$10=VLOOKUP(DW50,$B$2:$G$4,6,TRUE),4,5))))/2,VLOOKUP(EA50,IF(DX50&lt;$I$152,$A$154:$E$159,$F$154:$J$159),IF($B$10=VLOOKUP(DW50,$B$2:$G$4,6,TRUE),2,IF($B$10=VLOOKUP(DW50,$B$2:$G$4,6,TRUE),3,IF($D$10=VLOOKUP(DW50,$B$2:$G$4,6,TRUE),4,5)))))*(DAY(DY50)-DAY(DX50)+1)/DAY(EOMONTH(DX50,0)),0))))</f>
        <v/>
      </c>
      <c r="EM50" s="461">
        <f t="shared" si="79"/>
        <v>0</v>
      </c>
      <c r="EN50" s="464" t="str">
        <f>IF(DX50="","",IF(AND(Main!$F$22=Main!$CA$24,DX50&gt;$EN$1),ROUND(SUM(EA50,EC50)*10%,0),""))</f>
        <v/>
      </c>
      <c r="EO50" s="464" t="str">
        <f>IF(DW50="","",IF(EA50=0,0,IF(OR(Main!$H$10=Main!$BH$4,Main!$H$10=Main!$BH$5),0,LOOKUP(EM50*DAY(EOMONTH(DX50,0))/(DAY(DY50)-DAY(DX50)+1),$H$184:$I$189))))</f>
        <v/>
      </c>
      <c r="EP50" s="457">
        <f t="shared" si="62"/>
        <v>1</v>
      </c>
      <c r="ET50" s="461"/>
      <c r="EU50" s="499" t="str">
        <f t="shared" si="63"/>
        <v/>
      </c>
      <c r="EV50" s="500" t="str">
        <f t="shared" si="89"/>
        <v/>
      </c>
      <c r="EW50" s="484" t="str">
        <f>IF(EV50="","",MIN(EOMONTH(EV50,0),VLOOKUP(EV50,'IN RPS-2015'!$O$164:$P$202,2,TRUE)-1,LOOKUP(EV50,$E$47:$F$53)-1,IF(EV50&lt;$B$2,$B$2-1,'IN RPS-2015'!$Q$9),IF(EV50&lt;$B$3,$B$3-1,'IN RPS-2015'!$Q$9),IF(EV50&lt;$B$4,$B$4-1,'IN RPS-2015'!$Q$9),LOOKUP(EV50,$H$47:$I$53)))</f>
        <v/>
      </c>
      <c r="EX50" s="490" t="str">
        <f>IF(EV50="","",VLOOKUP(EV50,'IN RPS-2015'!$P$164:$AA$202,12))</f>
        <v/>
      </c>
      <c r="EY50" s="461" t="str">
        <f t="shared" si="80"/>
        <v/>
      </c>
      <c r="EZ50" s="461" t="str">
        <f>IF(EV50="","",ROUND(IF(FN50=3,0,IF(FN50=2,IF(EX50=VLOOKUP(EX50,'IN RPS-2015'!$I$2:$J$5,1),0,Main!$H$9)/2,IF(EX50=VLOOKUP(EX50,'IN RPS-2015'!$I$2:$J$5,1),0,Main!$H$9)))*(DAY(EW50)-DAY(EV50)+1)/DAY(EOMONTH(EV50,0)),0))</f>
        <v/>
      </c>
      <c r="FA50" s="461" t="str">
        <f>IF(EV50="","",IF(EX50=VLOOKUP(EX50,'IN RPS-2015'!$I$2:$J$5,1),0,ROUND(EY50*VLOOKUP(EV50,$ER$4:$ES$7,2)%,0)))</f>
        <v/>
      </c>
      <c r="FB50" s="461" t="str">
        <f>IF(EV50="","",IF(OR(FN50=3,EX50=VLOOKUP(EX50,'IN RPS-2015'!$I$2:$J$5,1)),0,ROUND(MIN(ROUND(EX50*VLOOKUP(EV50,$B$1:$G$4,2)%,0),VLOOKUP(EV50,$B$2:$I$4,IF($ES$3=$I$29,7,8),TRUE))*(DAY(EW50)-DAY(EV50)+1)/DAY(EOMONTH(EV50,0)),0)))</f>
        <v/>
      </c>
      <c r="FC50" s="491" t="str">
        <f>IF(EV50="","",IF(Main!$C$26="UGC",0,IF(OR(EV50&lt;DATE(2010,4,1),$I$6=VLOOKUP(EV50,$B$2:$G$4,5,TRUE),EX50=VLOOKUP(EX50,'IN RPS-2015'!$I$2:$J$5,1)),0,ROUND(IF(FN50=3,0,IF(FN50=2,MIN(ROUND(EX50*$G$13%,0),IF(EV50&lt;$J$152,$G$14,$G$15))/2,MIN(ROUND(EX50*$G$13%,0),IF(EV50&lt;$J$152,$G$14,$G$15))))*(DAY(EW50)-DAY(EV50)+1)/DAY(EOMONTH(EV50,0)),0))))</f>
        <v/>
      </c>
      <c r="FD50" s="461" t="str">
        <f>IF(EV50="","",IF(Main!$C$26="UGC",0,IF(EX50=VLOOKUP(EX50,'IN RPS-2015'!$I$2:$J$5,1),0,ROUND(EY50*VLOOKUP(EV50,$ER$11:$ES$12,2)%,0))))</f>
        <v/>
      </c>
      <c r="FE50" s="461" t="str">
        <f>IF(EV50="","",IF(Main!$C$26="UGC",0,IF(EV50&lt;DATE(2010,4,1),0,IF(OR(FN50=2,FN50=3,EX50=VLOOKUP(EX50,'IN RPS-2015'!$I$2:$J$5,1)),0,ROUND(IF(EV50&lt;$J$152,VLOOKUP(EV50,$B$1:$G$4,4),VLOOKUP(VLOOKUP(EV50,$B$1:$G$4,4),Main!$CE$2:$CF$5,2,FALSE))*(DAY(EW50)-DAY(EV50)+1)/DAY(EOMONTH(EV50,0)),0)))))</f>
        <v/>
      </c>
      <c r="FF50" s="461" t="str">
        <f>IF(EV50="","",IF(OR(FN50=2,FN50=3,$D$31=$D$28,EX50=VLOOKUP(EX50,'IN RPS-2015'!$I$2:$J$5,1)),0,ROUND(MIN(VLOOKUP(EU50,$A$27:$C$29,2,TRUE),ROUND(EX50*VLOOKUP(EU50,$A$27:$C$29,3,TRUE)%,0))*IF(EU50=$A$36,$C$36,IF(EU50=$A$37,$C$37,IF(EU50=$A$38,$C$38,IF(EU50=$A$39,$C$39,IF(EU50=$A$40,$C$40,IF(EU50=$A$41,$C$41,1))))))*(DAY(EW50)-DAY(EV50)+1)/DAY(EOMONTH(EV50,0)),0)))</f>
        <v/>
      </c>
      <c r="FG50" s="461" t="str">
        <f>IF(EV50="","",IF(Main!$C$26="UGC",0,IF(OR(FN50=3,EX50=VLOOKUP(EX50,'IN RPS-2015'!$I$2:$J$5,1)),0,ROUND(IF(FN50=2,VLOOKUP(EX50,IF($ES$3=$I$29,$A$20:$E$23,$F$144:$J$147),IF($B$19=VLOOKUP(EV50,$B$2:$G$4,3,TRUE),2,IF($C$19=VLOOKUP(EV50,$B$2:$G$4,3,TRUE),3,IF($D$19=VLOOKUP(EV50,$B$2:$G$4,3,TRUE),4,5))),TRUE),VLOOKUP(EX50,IF($ES$3=$I$29,$A$20:$E$23,$F$144:$J$147),IF($B$19=VLOOKUP(EV50,$B$2:$G$4,3,TRUE),2,IF($C$19=VLOOKUP(EV50,$B$2:$G$4,3,TRUE),3,IF($D$19=VLOOKUP(EV50,$B$2:$G$4,3,TRUE),4,5))),TRUE))*(DAY(EW50)-DAY(EV50)+1)/DAY(EOMONTH(EV50,0)),0))))</f>
        <v/>
      </c>
      <c r="FH50" s="461" t="str">
        <f>IF(EV50="","",IF(Main!$C$26="UGC",0,IF(OR(EU50&lt;DATE(2010,4,1),FN50=3,EX50=VLOOKUP(EX50,'IN RPS-2015'!$I$2:$J$5,1)),0,ROUND(IF(FN50=2,IF(EV50&lt;$J$152,Main!$L$9,Main!$CI$3)/2,IF(EV50&lt;$J$152,Main!$L$9,Main!$CI$3))*(DAY(EW50)-DAY(EV50)+1)/DAY(EOMONTH(EV50,0)),0))))</f>
        <v/>
      </c>
      <c r="FI50" s="461"/>
      <c r="FJ50" s="461" t="str">
        <f>IF(EV50="","",IF(Main!$C$26="UGC",0,IF(OR(FN50=3,EX50=VLOOKUP(EX50,'IN RPS-2015'!$I$2:$J$5,1)),0,ROUND(IF(FN50=2,VLOOKUP(EY50,IF(EV50&lt;$J$152,$A$154:$E$159,$F$154:$J$159),IF($B$10=VLOOKUP(EU50,$B$2:$G$4,6,TRUE),2,IF($B$10=VLOOKUP(EU50,$B$2:$G$4,6,TRUE),3,IF($D$10=VLOOKUP(EU50,$B$2:$G$4,6,TRUE),4,5))))/2,VLOOKUP(EY50,IF(EV50&lt;$J$152,$A$154:$E$159,$F$154:$J$159),IF($B$10=VLOOKUP(EU50,$B$2:$G$4,6,TRUE),2,IF($B$10=VLOOKUP(EU50,$B$2:$G$4,6,TRUE),3,IF($D$10=VLOOKUP(EU50,$B$2:$G$4,6,TRUE),4,5)))))*(DAY(EW50)-DAY(EV50)+1)/DAY(EOMONTH(EV50,0)),0))))</f>
        <v/>
      </c>
      <c r="FK50" s="461">
        <f t="shared" si="81"/>
        <v>0</v>
      </c>
      <c r="FL50" s="464" t="str">
        <f>IF(EV50="","",IF(AND(Main!$F$22=Main!$CA$24,EV50&gt;$FL$1),ROUND(SUM(EY50,FA50)*10%,0),""))</f>
        <v/>
      </c>
      <c r="FM50" s="464" t="str">
        <f>IF(EU50="","",IF(EY50=0,0,IF(OR(Main!$H$10=Main!$BH$4,Main!$H$10=Main!$BH$5),0,LOOKUP(FK50*DAY(EOMONTH(EV50,0))/(DAY(EW50)-DAY(EV50)+1),$H$184:$I$189))))</f>
        <v/>
      </c>
      <c r="FN50" s="457">
        <f t="shared" si="64"/>
        <v>1</v>
      </c>
    </row>
    <row r="51" spans="1:170" s="767" customFormat="1" ht="15">
      <c r="A51" s="766">
        <f>DATE(2016,1,1)</f>
        <v>42370</v>
      </c>
      <c r="E51" s="790">
        <f t="shared" si="94"/>
        <v>42461</v>
      </c>
      <c r="F51" s="790">
        <f t="shared" si="92"/>
        <v>42461</v>
      </c>
      <c r="G51" s="791">
        <f t="shared" si="95"/>
        <v>1</v>
      </c>
      <c r="H51" s="790">
        <f t="shared" si="96"/>
        <v>42462</v>
      </c>
      <c r="I51" s="790">
        <f t="shared" si="93"/>
        <v>42461</v>
      </c>
      <c r="AH51" s="768"/>
      <c r="AI51" s="769">
        <f>AJ51</f>
        <v>42462</v>
      </c>
      <c r="AJ51" s="770">
        <f>IF(AJ1&lt;$F$23,$F$23,AK1+1)</f>
        <v>42462</v>
      </c>
      <c r="AK51" s="769"/>
      <c r="AL51" s="771">
        <f>VLOOKUP(AJ51,'IN RPS-2015'!$P$164:$AA$202,9)</f>
        <v>55410</v>
      </c>
      <c r="AM51" s="772">
        <f>IF(AJ51&gt;AK1,0,ROUND(AL51*$G$23/30,0))</f>
        <v>0</v>
      </c>
      <c r="AN51" s="772">
        <f>IF(AM51=0,0,IF(AL51=VLOOKUP(AL51,'IN RPS-2015'!$I$2:$J$5,1),0,ROUND(Main!$H$9*$G$23/30,0)))</f>
        <v>0</v>
      </c>
      <c r="AO51" s="772">
        <f>IF(AL51=0,0,IF(AL51=VLOOKUP(AL51,'IN RPS-2015'!$I$2:$J$5,1),0,ROUND(AM51*VLOOKUP(AJ51,$AF$4:$AG$7,2)%,0)))</f>
        <v>0</v>
      </c>
      <c r="AP51" s="772">
        <f>IF(AL51=0,0,IF(AM51=0,0,IF(AL51=VLOOKUP(AL51,'IN RPS-2015'!$I$2:$J$5,1),0,ROUND(MIN(ROUND(AL51*VLOOKUP(AJ51,$B$1:$G$4,2)%,0),VLOOKUP(AJ51,$B$2:$I$4,IF($AG$3=$I$29,7,8),TRUE))*$G$23/30,0))))</f>
        <v>0</v>
      </c>
      <c r="AQ51" s="768"/>
      <c r="AR51" s="768"/>
      <c r="AS51" s="768"/>
      <c r="AT51" s="768"/>
      <c r="AU51" s="768">
        <f>IF(AJ51="","",IF(AN51=0,0,IF(AND($AG$3=$AG$1,AJ51&lt;=$AZ$1),0,IF(Main!$C$26="UGC",0,IF(OR(BB51=3,AL51=VLOOKUP(AL51,'IN RPS-2015'!$I$2:$J$5,1)),0,ROUND(IF(BB51=2,VLOOKUP(AL51,IF($AG$3=$I$29,$A$20:$E$23,$F$144:$J$147),IF($B$19=VLOOKUP(AJ51,$B$2:$G$4,3,TRUE),2,IF($C$19=VLOOKUP(AJ51,$B$2:$G$4,3,TRUE),3,IF($D$19=VLOOKUP(AJ51,$B$2:$G$4,3,TRUE),4,5))),TRUE),VLOOKUP(AL51,IF($AG$3=$I$29,$A$20:$E$23,$F$144:$J$147),IF($B$19=VLOOKUP(AJ51,$B$2:$G$4,3,TRUE),2,IF($C$19=VLOOKUP(AJ51,$B$2:$G$4,3,TRUE),3,IF($D$19=VLOOKUP(AJ51,$B$2:$G$4,3,TRUE),4,5))),TRUE))*$G$23/30,0))))))</f>
        <v>0</v>
      </c>
      <c r="AV51" s="768"/>
      <c r="AW51" s="768"/>
      <c r="AX51" s="768"/>
      <c r="AY51" s="768">
        <f t="shared" ref="AY51" si="97">SUM(AM51:AX51)</f>
        <v>0</v>
      </c>
      <c r="AZ51" s="768"/>
      <c r="BA51" s="768"/>
      <c r="BB51" s="772">
        <v>1</v>
      </c>
      <c r="BC51" s="768"/>
      <c r="BD51" s="769">
        <f>BE51</f>
        <v>42462</v>
      </c>
      <c r="BE51" s="770">
        <f>IF(BE1&lt;$F$23,$F$23,BF1+1)</f>
        <v>42462</v>
      </c>
      <c r="BF51" s="769"/>
      <c r="BG51" s="771">
        <f>VLOOKUP(BE51,'IN RPS-2015'!$P$164:$AA$202,10)</f>
        <v>55410</v>
      </c>
      <c r="BH51" s="772">
        <f>IF(BE51&gt;BF1,0,ROUND(BG51*$G$23/30,0))</f>
        <v>0</v>
      </c>
      <c r="BI51" s="772">
        <f>IF(BH51=0,0,IF(BG51=VLOOKUP(BG51,'IN RPS-2015'!$I$2:$J$5,1),0,ROUND(Main!$H$9*$G$23/30,0)))</f>
        <v>0</v>
      </c>
      <c r="BJ51" s="772">
        <f>IF(BG51=0,0,IF(BG51=VLOOKUP(BG51,'IN RPS-2015'!$I$2:$J$5,1),0,ROUND(BH51*VLOOKUP(BE51,$AF$4:$AG$7,2)%,0)))</f>
        <v>0</v>
      </c>
      <c r="BK51" s="772">
        <f>IF(BG51=0,0,IF(BH51=0,0,IF(BG51=VLOOKUP(BG51,'IN RPS-2015'!$I$2:$J$5,1),0,ROUND(MIN(ROUND(BG51*VLOOKUP(BE51,$B$1:$G$4,2)%,0),VLOOKUP(BE51,$B$2:$I$4,IF($AG$3=$I$29,7,8),TRUE))*$G$23/30,0))))</f>
        <v>0</v>
      </c>
      <c r="BL51" s="768"/>
      <c r="BM51" s="768"/>
      <c r="BN51" s="768"/>
      <c r="BO51" s="768"/>
      <c r="BP51" s="768">
        <f>IF(BE51="","",IF(BI51=0,0,IF(AND($AG$3=$AG$1,BE51&lt;=$AZ$1),0,IF(Main!$C$26="UGC",0,IF(OR(BW51=3,BG51=VLOOKUP(BG51,'IN RPS-2015'!$I$2:$J$5,1)),0,ROUND(IF(BW51=2,VLOOKUP(BG51,IF($AG$3=$I$29,$A$20:$E$23,$F$144:$J$147),IF($B$19=VLOOKUP(BE51,$B$2:$G$4,3,TRUE),2,IF($C$19=VLOOKUP(BE51,$B$2:$G$4,3,TRUE),3,IF($D$19=VLOOKUP(BE51,$B$2:$G$4,3,TRUE),4,5))),TRUE),VLOOKUP(BG51,IF($AG$3=$I$29,$A$20:$E$23,$F$144:$J$147),IF($B$19=VLOOKUP(BE51,$B$2:$G$4,3,TRUE),2,IF($C$19=VLOOKUP(BE51,$B$2:$G$4,3,TRUE),3,IF($D$19=VLOOKUP(BE51,$B$2:$G$4,3,TRUE),4,5))),TRUE))*$G$23/30,0))))))</f>
        <v>0</v>
      </c>
      <c r="BQ51" s="768"/>
      <c r="BR51" s="768"/>
      <c r="BS51" s="768"/>
      <c r="BT51" s="768">
        <f t="shared" si="69"/>
        <v>0</v>
      </c>
      <c r="BU51" s="768"/>
      <c r="BV51" s="768"/>
      <c r="BW51" s="768"/>
      <c r="BX51" s="768">
        <f t="shared" si="90"/>
        <v>0</v>
      </c>
      <c r="CB51" s="768"/>
      <c r="CC51" s="769">
        <f>CD51</f>
        <v>42462</v>
      </c>
      <c r="CD51" s="770">
        <f>IF(CD1&lt;$F$23,$F$23,CE1+1)</f>
        <v>42462</v>
      </c>
      <c r="CE51" s="769"/>
      <c r="CF51" s="771">
        <f>IF(CD51="","",VLOOKUP(CD51,'IN RPS-2015'!$T$207:$Y$222,5))</f>
        <v>55410</v>
      </c>
      <c r="CG51" s="772">
        <f>IF(CD51&gt;CE1,0,ROUND(CF51*$G$23/30,0))</f>
        <v>0</v>
      </c>
      <c r="CH51" s="772">
        <f>IF(CG51=0,0,IF(CF51=VLOOKUP(CF51,'IN RPS-2015'!$I$2:$J$5,1),0,ROUND(Main!$H$9*$G$23/30,0)))</f>
        <v>0</v>
      </c>
      <c r="CI51" s="768">
        <f>IF(CD51="","",IF(CG51=0,0,IF(AND($AG$3=$AG$1,CD51&lt;=$AZ$1),0,IF(CF51=VLOOKUP(CF51,'IN RPS-2015'!$I$2:$J$5,1),0,ROUND(CG51*VLOOKUP(CD51,$BZ$4:$CA$7,2)%,0)))))</f>
        <v>0</v>
      </c>
      <c r="CJ51" s="768">
        <f>IF(CD51="","",IF(CG51=0,0,IF(AND($AG$3=$AG$1,CD51&lt;=$AZ$1),0,IF(OR(CV51=3,CF51=VLOOKUP(CF51,'IN RPS-2015'!$I$2:$J$5,1)),0,ROUND(MIN(ROUND(CF51*VLOOKUP(CD51,$B$1:$G$4,2)%,0),VLOOKUP(CD51,$B$2:$I$4,IF($CA$3=$I$29,7,8),TRUE))*$G$23/30,0)))))</f>
        <v>0</v>
      </c>
      <c r="CK51" s="768"/>
      <c r="CL51" s="768"/>
      <c r="CM51" s="768"/>
      <c r="CN51" s="768"/>
      <c r="CO51" s="768">
        <f>IF(CD51="","",IF(CH51=0,0,IF(AND($AG$3=$AG$1,CD51&lt;=$AZ$1),0,IF(Main!$C$26="UGC",0,IF(OR(CV51=3,CF51=VLOOKUP(CF51,'IN RPS-2015'!$I$2:$J$5,1)),0,ROUND(IF(CV51=2,VLOOKUP(CF51,IF($AG$3=$I$29,$A$20:$E$23,$F$144:$J$147),IF($B$19=VLOOKUP(CD51,$B$2:$G$4,3,TRUE),2,IF($C$19=VLOOKUP(CD51,$B$2:$G$4,3,TRUE),3,IF($D$19=VLOOKUP(CD51,$B$2:$G$4,3,TRUE),4,5))),TRUE),VLOOKUP(CF51,IF($AG$3=$I$29,$A$20:$E$23,$F$144:$J$147),IF($B$19=VLOOKUP(CD51,$B$2:$G$4,3,TRUE),2,IF($C$19=VLOOKUP(CD51,$B$2:$G$4,3,TRUE),3,IF($D$19=VLOOKUP(CD51,$B$2:$G$4,3,TRUE),4,5))),TRUE))*$G$23/30,0))))))</f>
        <v>0</v>
      </c>
      <c r="CP51" s="768"/>
      <c r="CQ51" s="768"/>
      <c r="CR51" s="768"/>
      <c r="CS51" s="768">
        <f t="shared" ref="CS51" si="98">SUM(CG51:CR51)</f>
        <v>0</v>
      </c>
      <c r="CT51" s="768"/>
      <c r="CU51" s="768"/>
      <c r="CV51" s="772">
        <v>1</v>
      </c>
      <c r="CW51" s="768"/>
      <c r="CX51" s="769">
        <f>CY51</f>
        <v>42462</v>
      </c>
      <c r="CY51" s="770">
        <f>IF(CY1&lt;$F$23,$F$23,CZ1+1)</f>
        <v>42462</v>
      </c>
      <c r="CZ51" s="769"/>
      <c r="DA51" s="771">
        <f>IF(CY51="","",VLOOKUP(CY51,'IN RPS-2015'!$T$207:$Y$222,5))</f>
        <v>55410</v>
      </c>
      <c r="DB51" s="772">
        <f>IF(CY51&gt;CZ1,0,ROUND(DA51*$G$23/30,0))</f>
        <v>0</v>
      </c>
      <c r="DC51" s="772">
        <f>IF(DB51=0,0,IF(DA51=VLOOKUP(DA51,'IN RPS-2015'!$I$2:$J$5,1),0,ROUND(Main!$H$9*$G$23/30,0)))</f>
        <v>0</v>
      </c>
      <c r="DD51" s="768">
        <f>IF(CY51="","",IF(DB51=0,0,IF(AND($AG$3=$AG$1,CY51&lt;=$AZ$1),0,IF(DA51=VLOOKUP(DA51,'IN RPS-2015'!$I$2:$J$5,1),0,ROUND(DB51*VLOOKUP(CY51,$BZ$4:$CA$7,2)%,0)))))</f>
        <v>0</v>
      </c>
      <c r="DE51" s="768">
        <f>IF(CY51="","",IF(DB51=0,0,IF(AND($AG$3=$AG$1,CY51&lt;=$AZ$1),0,IF(OR(DQ51=3,DA51=VLOOKUP(DA51,'IN RPS-2015'!$I$2:$J$5,1)),0,ROUND(MIN(ROUND(DA51*VLOOKUP(CY51,$B$1:$G$4,2)%,0),VLOOKUP(CY51,$B$2:$I$4,IF($CA$3=$I$29,7,8),TRUE))*$G$23/30,0)))))</f>
        <v>0</v>
      </c>
      <c r="DF51" s="768"/>
      <c r="DG51" s="768"/>
      <c r="DH51" s="768"/>
      <c r="DI51" s="768"/>
      <c r="DJ51" s="768">
        <f>IF(CY51="","",IF(DC51=0,0,IF(AND($AG$3=$AG$1,CY51&lt;=$AZ$1),0,IF(Main!$C$26="UGC",0,IF(OR(DQ51=3,DA51=VLOOKUP(DA51,'IN RPS-2015'!$I$2:$J$5,1)),0,ROUND(IF(DQ51=2,VLOOKUP(DA51,IF($AG$3=$I$29,$A$20:$E$23,$F$144:$J$147),IF($B$19=VLOOKUP(CY51,$B$2:$G$4,3,TRUE),2,IF($C$19=VLOOKUP(CY51,$B$2:$G$4,3,TRUE),3,IF($D$19=VLOOKUP(CY51,$B$2:$G$4,3,TRUE),4,5))),TRUE),VLOOKUP(DA51,IF($AG$3=$I$29,$A$20:$E$23,$F$144:$J$147),IF($B$19=VLOOKUP(CY51,$B$2:$G$4,3,TRUE),2,IF($C$19=VLOOKUP(CY51,$B$2:$G$4,3,TRUE),3,IF($D$19=VLOOKUP(CY51,$B$2:$G$4,3,TRUE),4,5))),TRUE))*$G$23/30,0))))))</f>
        <v>0</v>
      </c>
      <c r="DK51" s="768"/>
      <c r="DL51" s="768"/>
      <c r="DM51" s="768"/>
      <c r="DN51" s="768">
        <f t="shared" si="76"/>
        <v>0</v>
      </c>
      <c r="DO51" s="768"/>
      <c r="DP51" s="768"/>
      <c r="DQ51" s="768"/>
      <c r="DR51" s="768">
        <f t="shared" si="77"/>
        <v>0</v>
      </c>
      <c r="DV51" s="768"/>
      <c r="DW51" s="769">
        <f>DX51</f>
        <v>42156</v>
      </c>
      <c r="DX51" s="770">
        <f>IF(DX1&lt;$F$23,$F$23,DY1+1)</f>
        <v>42156</v>
      </c>
      <c r="DY51" s="769"/>
      <c r="DZ51" s="771">
        <f>IF(DX51="","",VLOOKUP(DX51,'IN RPS-2015'!$P$164:$AA$202,11))</f>
        <v>53950</v>
      </c>
      <c r="EA51" s="772">
        <f>IF(DX51&gt;$DY$1,0,IF(DX51&lt;$EN$1,0,ROUND(DZ51*$G$23/30,0)))</f>
        <v>26975</v>
      </c>
      <c r="EB51" s="772">
        <f>IF(EA51=0,0,IF(DZ51=VLOOKUP(DZ51,'IN RPS-2015'!$I$2:$J$5,1),0,ROUND(Main!$H$9*$G$23/30,0)))</f>
        <v>53</v>
      </c>
      <c r="EC51" s="768">
        <f>IF(DX51="","",IF(EA51=0,0,IF(AND($AG$3=$AG$1,DX51&lt;=$AZ$1),0,IF(DZ51=VLOOKUP(DZ51,'IN RPS-2015'!$I$2:$J$5,1),0,ROUND(EA51*VLOOKUP(DX51,$DT$4:$DU$7,2)%,0)))))</f>
        <v>2403</v>
      </c>
      <c r="ED51" s="768">
        <f>IF(DX51="","",IF(EA51=0,0,IF(AND($AG$3=$AG$1,DX51&lt;=$AZ$1),0,IF(OR(EP51=3,DZ51=VLOOKUP(DZ51,'IN RPS-2015'!$I$2:$J$5,1)),0,ROUND(MIN(ROUND(DZ51*VLOOKUP(DX51,$B$1:$G$4,2)%,0),VLOOKUP(DX51,$B$2:$I$4,IF($DU$3=$I$29,7,8),TRUE))*$G$23/30,0)))))</f>
        <v>5395</v>
      </c>
      <c r="EE51" s="768"/>
      <c r="EF51" s="768"/>
      <c r="EG51" s="768"/>
      <c r="EH51" s="768"/>
      <c r="EI51" s="768">
        <f>IF(DX51="","",IF(EA51=0,0,IF(Main!$C$26="UGC",0,IF(OR(EP51=3,DZ51=VLOOKUP(DZ51,'IN RPS-2015'!$I$2:$J$5,1)),0,ROUND(IF(EP51=2,VLOOKUP(DZ51,IF($DU$3=$I$29,$A$20:$E$23,$F$144:$J$147),IF($B$19=VLOOKUP(DX51,$B$2:$G$4,3,TRUE),2,IF($C$19=VLOOKUP(DX51,$B$2:$G$4,3,TRUE),3,IF($D$19=VLOOKUP(DX51,$B$2:$G$4,3,TRUE),4,5))),TRUE),VLOOKUP(DZ51,IF($DU$3=$I$29,$A$20:$E$23,$F$144:$J$147),IF($B$19=VLOOKUP(DX51,$B$2:$G$4,3,TRUE),2,IF($C$19=VLOOKUP(DX51,$B$2:$G$4,3,TRUE),3,IF($D$19=VLOOKUP(DX51,$B$2:$G$4,3,TRUE),4,5))),TRUE))*$G$23/30,0)))))</f>
        <v>250</v>
      </c>
      <c r="EJ51" s="768"/>
      <c r="EK51" s="768"/>
      <c r="EL51" s="768"/>
      <c r="EM51" s="768">
        <f t="shared" ref="EM51" si="99">SUM(EA51:EL51)</f>
        <v>35076</v>
      </c>
      <c r="EN51" s="768"/>
      <c r="EO51" s="768"/>
      <c r="EP51" s="772">
        <v>1</v>
      </c>
      <c r="ET51" s="768"/>
      <c r="EU51" s="769">
        <f>EV51</f>
        <v>42156</v>
      </c>
      <c r="EV51" s="770">
        <f>IF(EV1&lt;$F$23,$F$23,EW1+1)</f>
        <v>42156</v>
      </c>
      <c r="EW51" s="769"/>
      <c r="EX51" s="771">
        <f>IF(EV51="","",VLOOKUP(EV51,'IN RPS-2015'!$P$164:$AA$202,12))</f>
        <v>25600</v>
      </c>
      <c r="EY51" s="772">
        <f>IF(EV51&gt;EW1,0,ROUND(EX51*$G$23/30,0))</f>
        <v>12800</v>
      </c>
      <c r="EZ51" s="772">
        <f>IF(EY51=0,0,IF(EX51=VLOOKUP(EX51,'IN RPS-2015'!$I$2:$J$5,1),0,ROUND(Main!$H$9*$G$23/30,0)))</f>
        <v>53</v>
      </c>
      <c r="FA51" s="768">
        <f>IF(EV51="","",IF(EY51=0,0,IF(AND($AG$3=$AG$1,EV51&lt;=$AZ$1),0,IF(EX51=VLOOKUP(EX51,'IN RPS-2015'!$I$2:$J$5,1),0,ROUND(EY51*VLOOKUP(EV51,$DT$4:$DU$7,2)%,0)))))</f>
        <v>1140</v>
      </c>
      <c r="FB51" s="768">
        <f>IF(EV51="","",IF(EY51=0,0,IF(AND($AG$3=$AG$1,EV51&lt;=$AZ$1),0,IF(OR(FN51=3,EX51=VLOOKUP(EX51,'IN RPS-2015'!$I$2:$J$5,1)),0,ROUND(MIN(ROUND(EX51*VLOOKUP(EV51,$B$1:$G$4,2)%,0),VLOOKUP(EV51,$B$2:$I$4,IF($DU$3=$I$29,7,8),TRUE))*$G$23/30,0)))))</f>
        <v>2560</v>
      </c>
      <c r="FC51" s="768"/>
      <c r="FD51" s="768"/>
      <c r="FE51" s="768"/>
      <c r="FF51" s="768"/>
      <c r="FG51" s="768">
        <f>IF(EV51="","",IF(EY51=0,0,IF(Main!$C$26="UGC",0,IF(OR(FN51=3,EX51=VLOOKUP(EX51,'IN RPS-2015'!$I$2:$J$5,1)),0,ROUND(IF(FN51=2,VLOOKUP(EX51,IF($DU$3=$I$29,$A$20:$E$23,$F$144:$J$147),IF($B$19=VLOOKUP(EV51,$B$2:$G$4,3,TRUE),2,IF($C$19=VLOOKUP(EV51,$B$2:$G$4,3,TRUE),3,IF($D$19=VLOOKUP(EV51,$B$2:$G$4,3,TRUE),4,5))),TRUE),VLOOKUP(EX51,IF($DU$3=$I$29,$A$20:$E$23,$F$144:$J$147),IF($B$19=VLOOKUP(EV51,$B$2:$G$4,3,TRUE),2,IF($C$19=VLOOKUP(EV51,$B$2:$G$4,3,TRUE),3,IF($D$19=VLOOKUP(EV51,$B$2:$G$4,3,TRUE),4,5))),TRUE))*$G$23/30,0)))))</f>
        <v>150</v>
      </c>
      <c r="FH51" s="768"/>
      <c r="FI51" s="768"/>
      <c r="FJ51" s="768"/>
      <c r="FK51" s="768">
        <f t="shared" ref="FK51" si="100">SUM(EY51:FJ51)</f>
        <v>16703</v>
      </c>
      <c r="FL51" s="768"/>
      <c r="FM51" s="768"/>
      <c r="FN51" s="772">
        <v>1</v>
      </c>
    </row>
    <row r="52" spans="1:170" s="767" customFormat="1" ht="15">
      <c r="A52" s="766">
        <f>DATE(2016,7,1)</f>
        <v>42552</v>
      </c>
      <c r="E52" s="790">
        <f t="shared" si="94"/>
        <v>42461</v>
      </c>
      <c r="F52" s="790">
        <f t="shared" si="92"/>
        <v>42461</v>
      </c>
      <c r="G52" s="791">
        <f t="shared" si="95"/>
        <v>1</v>
      </c>
      <c r="H52" s="790">
        <f t="shared" si="96"/>
        <v>42462</v>
      </c>
      <c r="I52" s="790">
        <f t="shared" si="93"/>
        <v>42461</v>
      </c>
      <c r="AH52" s="768"/>
      <c r="AI52" s="769">
        <f>AJ52</f>
        <v>42462</v>
      </c>
      <c r="AJ52" s="770">
        <f>IF(AJ1&lt;$F$24,$F$24,AK1+1)</f>
        <v>42462</v>
      </c>
      <c r="AK52" s="769"/>
      <c r="AL52" s="771">
        <f>VLOOKUP(AJ52,'IN RPS-2015'!$P$164:$AA$202,9)</f>
        <v>55410</v>
      </c>
      <c r="AM52" s="772">
        <f>IF(AJ52&gt;AK1,0,ROUND(AL52*$G$24/30,0))</f>
        <v>0</v>
      </c>
      <c r="AN52" s="772">
        <f>IF(AM52=0,0,IF(AL52=VLOOKUP(AL52,'IN RPS-2015'!$I$2:$J$5,1),0,ROUND(Main!$H$9*$G$24/30,0)))</f>
        <v>0</v>
      </c>
      <c r="AO52" s="772">
        <f>IF(AL52=0,0,IF(AL52=VLOOKUP(AL52,'IN RPS-2015'!$I$2:$J$5,1),0,ROUND(AM52*VLOOKUP(AJ52,$AF$4:$AG$7,2)%,0)))</f>
        <v>0</v>
      </c>
      <c r="AP52" s="772">
        <f>IF(AL52=0,0,IF(AM52=0,0,IF(AL52=VLOOKUP(AL52,'IN RPS-2015'!$I$2:$J$5,1),0,ROUND(MIN(ROUND(AL52*VLOOKUP(AJ52,$B$1:$G$4,2)%,0),VLOOKUP(AJ52,$B$2:$I$4,IF($AG$3=$I$29,7,8),TRUE))*$G$24/30,0))))</f>
        <v>0</v>
      </c>
      <c r="AQ52" s="768"/>
      <c r="AR52" s="768"/>
      <c r="AS52" s="768"/>
      <c r="AT52" s="768"/>
      <c r="AU52" s="768">
        <f>IF(AJ52="","",IF(AN52=0,0,IF(AND($AG$3=$AG$1,AJ52&lt;=$AZ$1),0,IF(Main!$C$26="UGC",0,IF(OR(BB52=3,AL52=VLOOKUP(AL52,'IN RPS-2015'!$I$2:$J$5,1)),0,ROUND(IF(BB52=2,VLOOKUP(AL52,IF($AG$3=$I$29,$A$20:$E$23,$F$144:$J$147),IF($B$19=VLOOKUP(AJ52,$B$2:$G$4,3,TRUE),2,IF($C$19=VLOOKUP(AJ52,$B$2:$G$4,3,TRUE),3,IF($D$19=VLOOKUP(AJ52,$B$2:$G$4,3,TRUE),4,5))),TRUE),VLOOKUP(AL52,IF($AG$3=$I$29,$A$20:$E$23,$F$144:$J$147),IF($B$19=VLOOKUP(AJ52,$B$2:$G$4,3,TRUE),2,IF($C$19=VLOOKUP(AJ52,$B$2:$G$4,3,TRUE),3,IF($D$19=VLOOKUP(AJ52,$B$2:$G$4,3,TRUE),4,5))),TRUE))*$G$24/30,0))))))</f>
        <v>0</v>
      </c>
      <c r="AV52" s="768"/>
      <c r="AW52" s="768"/>
      <c r="AX52" s="768"/>
      <c r="AY52" s="768">
        <f>SUM(AM52:AX52)</f>
        <v>0</v>
      </c>
      <c r="AZ52" s="768"/>
      <c r="BA52" s="768"/>
      <c r="BB52" s="772">
        <v>1</v>
      </c>
      <c r="BC52" s="768"/>
      <c r="BD52" s="769">
        <f>BE52</f>
        <v>42462</v>
      </c>
      <c r="BE52" s="770">
        <f>IF(BE1&lt;$F$24,$F$24,BF1+1)</f>
        <v>42462</v>
      </c>
      <c r="BF52" s="769"/>
      <c r="BG52" s="771">
        <f>VLOOKUP(BE52,'IN RPS-2015'!$P$164:$AA$202,10)</f>
        <v>55410</v>
      </c>
      <c r="BH52" s="772">
        <f>IF(BE52&gt;BF1,0,ROUND(BG52*$G$24/30,0))</f>
        <v>0</v>
      </c>
      <c r="BI52" s="772">
        <f>IF(BH52=0,0,IF(BG52=VLOOKUP(BG52,'IN RPS-2015'!$I$2:$J$5,1),0,ROUND(Main!$H$9*$G$24/30,0)))</f>
        <v>0</v>
      </c>
      <c r="BJ52" s="772">
        <f>IF(BG52=0,0,IF(BG52=VLOOKUP(BG52,'IN RPS-2015'!$I$2:$J$5,1),0,ROUND(BH52*VLOOKUP(BE52,$AF$4:$AG$7,2)%,0)))</f>
        <v>0</v>
      </c>
      <c r="BK52" s="772">
        <f>IF(BG52=0,0,IF(BH52=0,0,IF(BG52=VLOOKUP(BG52,'IN RPS-2015'!$I$2:$J$5,1),0,ROUND(MIN(ROUND(BG52*VLOOKUP(BE52,$B$1:$G$4,2)%,0),VLOOKUP(BE52,$B$2:$I$4,IF($AG$3=$I$29,7,8),TRUE))*$G$24/30,0))))</f>
        <v>0</v>
      </c>
      <c r="BL52" s="768"/>
      <c r="BM52" s="768"/>
      <c r="BN52" s="768"/>
      <c r="BO52" s="768"/>
      <c r="BP52" s="768">
        <f>IF(BE52="","",IF(BI52=0,0,IF(AND($AG$3=$AG$1,BE52&lt;=$AZ$1),0,IF(Main!$C$26="UGC",0,IF(OR(BW52=3,BG52=VLOOKUP(BG52,'IN RPS-2015'!$I$2:$J$5,1)),0,ROUND(IF(BW52=2,VLOOKUP(BG52,IF($AG$3=$I$29,$A$20:$E$23,$F$144:$J$147),IF($B$19=VLOOKUP(BE52,$B$2:$G$4,3,TRUE),2,IF($C$19=VLOOKUP(BE52,$B$2:$G$4,3,TRUE),3,IF($D$19=VLOOKUP(BE52,$B$2:$G$4,3,TRUE),4,5))),TRUE),VLOOKUP(BG52,IF($AG$3=$I$29,$A$20:$E$23,$F$144:$J$147),IF($B$19=VLOOKUP(BE52,$B$2:$G$4,3,TRUE),2,IF($C$19=VLOOKUP(BE52,$B$2:$G$4,3,TRUE),3,IF($D$19=VLOOKUP(BE52,$B$2:$G$4,3,TRUE),4,5))),TRUE))*$G$24/30,0))))))</f>
        <v>0</v>
      </c>
      <c r="BQ52" s="768"/>
      <c r="BR52" s="768"/>
      <c r="BS52" s="768"/>
      <c r="BT52" s="768">
        <f>SUM(BH52:BS52)</f>
        <v>0</v>
      </c>
      <c r="BU52" s="768"/>
      <c r="BV52" s="768"/>
      <c r="BW52" s="768"/>
      <c r="BX52" s="768">
        <f t="shared" si="90"/>
        <v>0</v>
      </c>
      <c r="CB52" s="768"/>
      <c r="CC52" s="769">
        <f>CD52</f>
        <v>42462</v>
      </c>
      <c r="CD52" s="770">
        <f>IF(CD1&lt;$F$24,$F$24,CE1+1)</f>
        <v>42462</v>
      </c>
      <c r="CE52" s="769"/>
      <c r="CF52" s="771">
        <f>IF(CD52="","",VLOOKUP(CD52,'IN RPS-2015'!$T$207:$Y$222,5))</f>
        <v>55410</v>
      </c>
      <c r="CG52" s="772">
        <f>IF(CD52&gt;CE1,0,ROUND(CF52*$G$24/30,0))</f>
        <v>0</v>
      </c>
      <c r="CH52" s="772">
        <f>IF(CG52=0,0,IF(CF52=VLOOKUP(CF52,'IN RPS-2015'!$I$2:$J$5,1),0,ROUND(Main!$H$9*$G$24/30,0)))</f>
        <v>0</v>
      </c>
      <c r="CI52" s="768">
        <f>IF(CD52="","",IF(AND($AG$3=$AG$1,CD52&lt;=$AZ$1),0,IF(CF52=VLOOKUP(CF52,'IN RPS-2015'!$I$2:$J$5,1),0,ROUND(CG52*VLOOKUP(CD52,$BZ$4:$CA$7,2)%,0))))</f>
        <v>0</v>
      </c>
      <c r="CJ52" s="768">
        <f>IF(CD52="","",IF(CG52=0,0,IF(AND($AG$3=$AG$1,CD52&lt;=$AZ$1),0,IF(OR(CV52=3,CF52=VLOOKUP(CF52,'IN RPS-2015'!$I$2:$J$5,1)),0,ROUND(MIN(ROUND(CF52*VLOOKUP(CD52,$B$1:$G$4,2)%,0),VLOOKUP(CD52,$B$2:$I$4,IF($CA$3=$I$29,7,8),TRUE))*$G$24/30,0)))))</f>
        <v>0</v>
      </c>
      <c r="CK52" s="768"/>
      <c r="CL52" s="768"/>
      <c r="CM52" s="768"/>
      <c r="CN52" s="768"/>
      <c r="CO52" s="768">
        <f>IF(CD52="","",IF(CH52=0,0,IF(AND($AG$3=$AG$1,CD52&lt;=$AZ$1),0,IF(Main!$C$26="UGC",0,IF(OR(CV52=3,CF52=VLOOKUP(CF52,'IN RPS-2015'!$I$2:$J$5,1)),0,ROUND(IF(CV52=2,VLOOKUP(CF52,IF($AG$3=$I$29,$A$20:$E$23,$F$144:$J$147),IF($B$19=VLOOKUP(CD52,$B$2:$G$4,3,TRUE),2,IF($C$19=VLOOKUP(CD52,$B$2:$G$4,3,TRUE),3,IF($D$19=VLOOKUP(CD52,$B$2:$G$4,3,TRUE),4,5))),TRUE),VLOOKUP(CF52,IF($AG$3=$I$29,$A$20:$E$23,$F$144:$J$147),IF($B$19=VLOOKUP(CD52,$B$2:$G$4,3,TRUE),2,IF($C$19=VLOOKUP(CD52,$B$2:$G$4,3,TRUE),3,IF($D$19=VLOOKUP(CD52,$B$2:$G$4,3,TRUE),4,5))),TRUE))*$G$24/30,0))))))</f>
        <v>0</v>
      </c>
      <c r="CP52" s="768"/>
      <c r="CQ52" s="768"/>
      <c r="CR52" s="768"/>
      <c r="CS52" s="768">
        <f>SUM(CG52:CR52)</f>
        <v>0</v>
      </c>
      <c r="CT52" s="768"/>
      <c r="CU52" s="768"/>
      <c r="CV52" s="772">
        <v>1</v>
      </c>
      <c r="CW52" s="768"/>
      <c r="CX52" s="769">
        <f>CY52</f>
        <v>42462</v>
      </c>
      <c r="CY52" s="770">
        <f>IF(CY1&lt;$F$24,$F$24,CZ1+1)</f>
        <v>42462</v>
      </c>
      <c r="CZ52" s="769"/>
      <c r="DA52" s="771">
        <f>IF(CY52="","",VLOOKUP(CY52,'IN RPS-2015'!$T$207:$Y$222,5))</f>
        <v>55410</v>
      </c>
      <c r="DB52" s="772">
        <f>IF(CY52&gt;CZ1,0,ROUND(DA52*$G$24/30,0))</f>
        <v>0</v>
      </c>
      <c r="DC52" s="772">
        <f>IF(DB52=0,0,IF(DA52=VLOOKUP(DA52,'IN RPS-2015'!$I$2:$J$5,1),0,ROUND(Main!$H$9*$G$24/30,0)))</f>
        <v>0</v>
      </c>
      <c r="DD52" s="768">
        <f>IF(CY52="","",IF(AND($AG$3=$AG$1,CY52&lt;=$AZ$1),0,IF(DA52=VLOOKUP(DA52,'IN RPS-2015'!$I$2:$J$5,1),0,ROUND(DB52*VLOOKUP(CY52,$BZ$4:$CA$7,2)%,0))))</f>
        <v>0</v>
      </c>
      <c r="DE52" s="768">
        <f>IF(CY52="","",IF(DB52=0,0,IF(AND($AG$3=$AG$1,CY52&lt;=$AZ$1),0,IF(OR(DQ52=3,DA52=VLOOKUP(DA52,'IN RPS-2015'!$I$2:$J$5,1)),0,ROUND(MIN(ROUND(DA52*VLOOKUP(CY52,$B$1:$G$4,2)%,0),VLOOKUP(CY52,$B$2:$I$4,IF($CA$3=$I$29,7,8),TRUE))*$G$24/30,0)))))</f>
        <v>0</v>
      </c>
      <c r="DF52" s="768"/>
      <c r="DG52" s="768"/>
      <c r="DH52" s="768"/>
      <c r="DI52" s="768"/>
      <c r="DJ52" s="768">
        <f>IF(CY52="","",IF(DC52=0,0,IF(AND($AG$3=$AG$1,CY52&lt;=$AZ$1),0,IF(Main!$C$26="UGC",0,IF(OR(DQ52=3,DA52=VLOOKUP(DA52,'IN RPS-2015'!$I$2:$J$5,1)),0,ROUND(IF(DQ52=2,VLOOKUP(DA52,IF($AG$3=$I$29,$A$20:$E$23,$F$144:$J$147),IF($B$19=VLOOKUP(CY52,$B$2:$G$4,3,TRUE),2,IF($C$19=VLOOKUP(CY52,$B$2:$G$4,3,TRUE),3,IF($D$19=VLOOKUP(CY52,$B$2:$G$4,3,TRUE),4,5))),TRUE),VLOOKUP(DA52,IF($AG$3=$I$29,$A$20:$E$23,$F$144:$J$147),IF($B$19=VLOOKUP(CY52,$B$2:$G$4,3,TRUE),2,IF($C$19=VLOOKUP(CY52,$B$2:$G$4,3,TRUE),3,IF($D$19=VLOOKUP(CY52,$B$2:$G$4,3,TRUE),4,5))),TRUE))*$G$24/30,0))))))</f>
        <v>0</v>
      </c>
      <c r="DK52" s="768"/>
      <c r="DL52" s="768"/>
      <c r="DM52" s="768"/>
      <c r="DN52" s="768">
        <f>SUM(DB52:DM52)</f>
        <v>0</v>
      </c>
      <c r="DO52" s="768"/>
      <c r="DP52" s="768"/>
      <c r="DQ52" s="768"/>
      <c r="DR52" s="768">
        <f t="shared" si="77"/>
        <v>0</v>
      </c>
      <c r="DV52" s="768"/>
      <c r="DW52" s="769">
        <f>DX52</f>
        <v>42461</v>
      </c>
      <c r="DX52" s="770">
        <f>IF(DX1&lt;$F$24,$F$24,DY1+1)</f>
        <v>42461</v>
      </c>
      <c r="DY52" s="769"/>
      <c r="DZ52" s="771">
        <f>IF(DX52="","",VLOOKUP(DX52,'IN RPS-2015'!$P$164:$AA$202,11))</f>
        <v>55410</v>
      </c>
      <c r="EA52" s="772">
        <f>IF(DX52&gt;$DY$1,0,IF(DX52&lt;$EN$1,0,ROUND(DZ52*$G$23/30,0)))</f>
        <v>0</v>
      </c>
      <c r="EB52" s="772">
        <f>IF(EA52=0,0,IF(DZ52=VLOOKUP(DZ52,'IN RPS-2015'!$I$2:$J$5,1),0,ROUND(Main!$H$9*$G$24/30,0)))</f>
        <v>0</v>
      </c>
      <c r="EC52" s="768">
        <f>IF(DX52="","",IF(EA52=0,0,IF(AND($AG$3=$AG$1,DX52&lt;=$AZ$1),0,IF(DZ52=VLOOKUP(DZ52,'IN RPS-2015'!$I$2:$J$5,1),0,ROUND(EA52*VLOOKUP(DX52,$DT$4:$DU$7,2)%,0)))))</f>
        <v>0</v>
      </c>
      <c r="ED52" s="768">
        <f>IF(DX52="","",IF(EA52=0,0,IF(AND($AG$3=$AG$1,DX52&lt;=$AZ$1),0,IF(OR(EP52=3,DZ52=VLOOKUP(DZ52,'IN RPS-2015'!$I$2:$J$5,1)),0,ROUND(MIN(ROUND(DZ52*VLOOKUP(DX52,$B$1:$G$4,2)%,0),VLOOKUP(DX52,$B$2:$I$4,IF($DU$3=$I$29,7,8),TRUE))*$G$24/30,0)))))</f>
        <v>0</v>
      </c>
      <c r="EE52" s="768"/>
      <c r="EF52" s="768"/>
      <c r="EG52" s="768"/>
      <c r="EH52" s="768"/>
      <c r="EI52" s="768">
        <f>IF(DX52="","",IF(EA52=0,0,IF(Main!$C$26="UGC",0,IF(OR(EP52=3,DZ52=VLOOKUP(DZ52,'IN RPS-2015'!$I$2:$J$5,1)),0,ROUND(IF(EP52=2,VLOOKUP(DZ52,IF($DU$3=$I$29,$A$20:$E$23,$F$144:$J$147),IF($B$19=VLOOKUP(DX52,$B$2:$G$4,3,TRUE),2,IF($C$19=VLOOKUP(DX52,$B$2:$G$4,3,TRUE),3,IF($D$19=VLOOKUP(DX52,$B$2:$G$4,3,TRUE),4,5))),TRUE),VLOOKUP(DZ52,IF($DU$3=$I$29,$A$20:$E$23,$F$144:$J$147),IF($B$19=VLOOKUP(DX52,$B$2:$G$4,3,TRUE),2,IF($C$19=VLOOKUP(DX52,$B$2:$G$4,3,TRUE),3,IF($D$19=VLOOKUP(DX52,$B$2:$G$4,3,TRUE),4,5))),TRUE))*$G$24/30,0)))))</f>
        <v>0</v>
      </c>
      <c r="EJ52" s="768"/>
      <c r="EK52" s="768"/>
      <c r="EL52" s="768"/>
      <c r="EM52" s="768">
        <f>SUM(EA52:EL52)</f>
        <v>0</v>
      </c>
      <c r="EN52" s="768"/>
      <c r="EO52" s="768"/>
      <c r="EP52" s="772">
        <v>1</v>
      </c>
      <c r="ET52" s="768"/>
      <c r="EU52" s="769">
        <f>EV52</f>
        <v>42461</v>
      </c>
      <c r="EV52" s="770">
        <f>IF(EV1&lt;$F$24,$F$24,EW1+1)</f>
        <v>42461</v>
      </c>
      <c r="EW52" s="769"/>
      <c r="EX52" s="771">
        <f>IF(EV52="","",VLOOKUP(EV52,'IN RPS-2015'!$P$164:$AA$202,12))</f>
        <v>26300</v>
      </c>
      <c r="EY52" s="772">
        <f>IF(EV52&gt;EW1,0,ROUND(EX52*$G$24/30,0))</f>
        <v>0</v>
      </c>
      <c r="EZ52" s="772">
        <f>IF(EY52=0,0,IF(EX52=VLOOKUP(EX52,'IN RPS-2015'!$I$2:$J$5,1),0,ROUND(Main!$H$9*$G$24/30,0)))</f>
        <v>0</v>
      </c>
      <c r="FA52" s="768">
        <f>IF(EV52="","",IF(EY52=0,0,IF(AND($AG$3=$AG$1,EV52&lt;=$AZ$1),0,IF(EX52=VLOOKUP(EX52,'IN RPS-2015'!$I$2:$J$5,1),0,ROUND(EY52*VLOOKUP(EV52,$DT$4:$DU$7,2)%,0)))))</f>
        <v>0</v>
      </c>
      <c r="FB52" s="768">
        <f>IF(EV52="","",IF(EY52=0,0,IF(AND($AG$3=$AG$1,EV52&lt;=$AZ$1),0,IF(OR(FN52=3,EX52=VLOOKUP(EX52,'IN RPS-2015'!$I$2:$J$5,1)),0,ROUND(MIN(ROUND(EX52*VLOOKUP(EV52,$B$1:$G$4,2)%,0),VLOOKUP(EV52,$B$2:$I$4,IF($DU$3=$I$29,7,8),TRUE))*$G$24/30,0)))))</f>
        <v>0</v>
      </c>
      <c r="FC52" s="768"/>
      <c r="FD52" s="768"/>
      <c r="FE52" s="768"/>
      <c r="FF52" s="768"/>
      <c r="FG52" s="768">
        <f>IF(EV52="","",IF(EY52=0,0,IF(Main!$C$26="UGC",0,IF(OR(FN52=3,EX52=VLOOKUP(EX52,'IN RPS-2015'!$I$2:$J$5,1)),0,ROUND(IF(FN52=2,VLOOKUP(EX52,IF($DU$3=$I$29,$A$20:$E$23,$F$144:$J$147),IF($B$19=VLOOKUP(EV52,$B$2:$G$4,3,TRUE),2,IF($C$19=VLOOKUP(EV52,$B$2:$G$4,3,TRUE),3,IF($D$19=VLOOKUP(EV52,$B$2:$G$4,3,TRUE),4,5))),TRUE),VLOOKUP(EX52,IF($DU$3=$I$29,$A$20:$E$23,$F$144:$J$147),IF($B$19=VLOOKUP(EV52,$B$2:$G$4,3,TRUE),2,IF($C$19=VLOOKUP(EV52,$B$2:$G$4,3,TRUE),3,IF($D$19=VLOOKUP(EV52,$B$2:$G$4,3,TRUE),4,5))),TRUE))*$G$24/30,0)))))</f>
        <v>0</v>
      </c>
      <c r="FH52" s="768"/>
      <c r="FI52" s="768"/>
      <c r="FJ52" s="768"/>
      <c r="FK52" s="768">
        <f>SUM(EY52:FJ52)</f>
        <v>0</v>
      </c>
      <c r="FL52" s="768"/>
      <c r="FM52" s="768"/>
      <c r="FN52" s="772">
        <v>1</v>
      </c>
    </row>
    <row r="53" spans="1:170">
      <c r="A53" s="459">
        <f>DATE(2017,1,1)</f>
        <v>42736</v>
      </c>
      <c r="E53" s="515">
        <f t="shared" si="94"/>
        <v>42461</v>
      </c>
      <c r="F53" s="516">
        <f>'IN RPS-2015'!C9</f>
        <v>42461</v>
      </c>
      <c r="G53" s="514">
        <f t="shared" si="95"/>
        <v>1</v>
      </c>
      <c r="H53" s="516">
        <f t="shared" si="96"/>
        <v>42462</v>
      </c>
      <c r="I53" s="516">
        <f>'IN RPS-2015'!C9</f>
        <v>42461</v>
      </c>
      <c r="BY53" s="457"/>
      <c r="BZ53" s="457"/>
      <c r="CA53" s="457"/>
      <c r="CB53" s="457"/>
      <c r="CC53" s="457"/>
      <c r="CD53" s="457"/>
      <c r="CE53" s="457"/>
      <c r="CF53" s="457"/>
      <c r="CG53" s="457"/>
      <c r="CH53" s="457"/>
      <c r="CI53" s="457"/>
      <c r="CJ53" s="457"/>
      <c r="CK53" s="457"/>
      <c r="CL53" s="457"/>
      <c r="CM53" s="457"/>
      <c r="CN53" s="457"/>
      <c r="CO53" s="457"/>
      <c r="CP53" s="457"/>
      <c r="CQ53" s="457"/>
      <c r="CR53" s="457"/>
      <c r="CS53" s="457"/>
      <c r="CT53" s="457"/>
      <c r="CU53" s="457"/>
      <c r="CV53" s="457"/>
      <c r="CW53" s="457"/>
      <c r="CX53" s="457"/>
      <c r="CY53" s="457"/>
      <c r="CZ53" s="457"/>
      <c r="DA53" s="457"/>
      <c r="DB53" s="457"/>
      <c r="DC53" s="457"/>
      <c r="DD53" s="457"/>
      <c r="DE53" s="457"/>
      <c r="DF53" s="457"/>
      <c r="DG53" s="457"/>
      <c r="DH53" s="457"/>
      <c r="DI53" s="457"/>
      <c r="DJ53" s="457"/>
      <c r="DK53" s="457"/>
      <c r="DL53" s="457"/>
      <c r="DM53" s="457"/>
      <c r="DN53" s="457"/>
      <c r="DO53" s="457"/>
      <c r="DP53" s="457"/>
      <c r="DQ53" s="457"/>
      <c r="DR53" s="457"/>
      <c r="DS53" s="457"/>
      <c r="DT53" s="457"/>
      <c r="DU53" s="457"/>
    </row>
    <row r="54" spans="1:170">
      <c r="E54" s="2"/>
      <c r="F54" s="117"/>
      <c r="G54" s="117"/>
      <c r="AG54" s="505" t="s">
        <v>1563</v>
      </c>
      <c r="AL54" s="485"/>
      <c r="AM54" s="485">
        <f>SUM(AM3:AM52)</f>
        <v>0</v>
      </c>
      <c r="AN54" s="485">
        <f t="shared" ref="AN54:BA54" si="101">SUM(AN3:AN52)</f>
        <v>0</v>
      </c>
      <c r="AO54" s="485">
        <f t="shared" si="101"/>
        <v>0</v>
      </c>
      <c r="AP54" s="485">
        <f t="shared" si="101"/>
        <v>0</v>
      </c>
      <c r="AQ54" s="485">
        <f t="shared" si="101"/>
        <v>0</v>
      </c>
      <c r="AR54" s="485">
        <f t="shared" si="101"/>
        <v>0</v>
      </c>
      <c r="AS54" s="485">
        <f t="shared" si="101"/>
        <v>0</v>
      </c>
      <c r="AT54" s="485">
        <f t="shared" si="101"/>
        <v>0</v>
      </c>
      <c r="AU54" s="485">
        <f t="shared" si="101"/>
        <v>0</v>
      </c>
      <c r="AV54" s="485">
        <f t="shared" si="101"/>
        <v>0</v>
      </c>
      <c r="AW54" s="485">
        <f t="shared" si="101"/>
        <v>0</v>
      </c>
      <c r="AX54" s="485">
        <f t="shared" si="101"/>
        <v>0</v>
      </c>
      <c r="AY54" s="485">
        <f t="shared" si="101"/>
        <v>0</v>
      </c>
      <c r="AZ54" s="485">
        <f t="shared" si="101"/>
        <v>0</v>
      </c>
      <c r="BA54" s="485">
        <f t="shared" si="101"/>
        <v>0</v>
      </c>
      <c r="BH54" s="485">
        <f t="shared" ref="BH54:BX54" si="102">SUM(BH3:BH52)</f>
        <v>0</v>
      </c>
      <c r="BI54" s="485">
        <f t="shared" si="102"/>
        <v>0</v>
      </c>
      <c r="BJ54" s="485">
        <f t="shared" si="102"/>
        <v>0</v>
      </c>
      <c r="BK54" s="485">
        <f t="shared" si="102"/>
        <v>0</v>
      </c>
      <c r="BL54" s="485">
        <f t="shared" si="102"/>
        <v>0</v>
      </c>
      <c r="BM54" s="485">
        <f t="shared" si="102"/>
        <v>0</v>
      </c>
      <c r="BN54" s="485">
        <f t="shared" si="102"/>
        <v>0</v>
      </c>
      <c r="BO54" s="485">
        <f t="shared" si="102"/>
        <v>0</v>
      </c>
      <c r="BP54" s="485">
        <f t="shared" si="102"/>
        <v>0</v>
      </c>
      <c r="BQ54" s="485">
        <f t="shared" si="102"/>
        <v>0</v>
      </c>
      <c r="BR54" s="485">
        <f t="shared" si="102"/>
        <v>0</v>
      </c>
      <c r="BS54" s="485">
        <f t="shared" si="102"/>
        <v>0</v>
      </c>
      <c r="BT54" s="485">
        <f t="shared" si="102"/>
        <v>0</v>
      </c>
      <c r="BU54" s="485">
        <f t="shared" si="102"/>
        <v>0</v>
      </c>
      <c r="BV54" s="485">
        <f t="shared" si="102"/>
        <v>0</v>
      </c>
      <c r="BX54" s="485">
        <f t="shared" si="102"/>
        <v>0</v>
      </c>
      <c r="BY54" s="457"/>
      <c r="BZ54" s="457"/>
      <c r="CA54" s="505" t="s">
        <v>1563</v>
      </c>
      <c r="CB54" s="457"/>
      <c r="CC54" s="457"/>
      <c r="CD54" s="457"/>
      <c r="CE54" s="457"/>
      <c r="CF54" s="485"/>
      <c r="CG54" s="485">
        <f>SUM(CG3:CG52)</f>
        <v>0</v>
      </c>
      <c r="CH54" s="485">
        <f t="shared" ref="CH54:CU54" si="103">SUM(CH3:CH52)</f>
        <v>0</v>
      </c>
      <c r="CI54" s="485">
        <f t="shared" si="103"/>
        <v>0</v>
      </c>
      <c r="CJ54" s="485">
        <f t="shared" si="103"/>
        <v>0</v>
      </c>
      <c r="CK54" s="485">
        <f t="shared" si="103"/>
        <v>0</v>
      </c>
      <c r="CL54" s="485">
        <f t="shared" si="103"/>
        <v>0</v>
      </c>
      <c r="CM54" s="485">
        <f t="shared" si="103"/>
        <v>0</v>
      </c>
      <c r="CN54" s="485">
        <f t="shared" si="103"/>
        <v>0</v>
      </c>
      <c r="CO54" s="485">
        <f t="shared" si="103"/>
        <v>0</v>
      </c>
      <c r="CP54" s="485">
        <f t="shared" si="103"/>
        <v>0</v>
      </c>
      <c r="CQ54" s="485">
        <f t="shared" si="103"/>
        <v>0</v>
      </c>
      <c r="CR54" s="485">
        <f t="shared" si="103"/>
        <v>0</v>
      </c>
      <c r="CS54" s="485">
        <f t="shared" si="103"/>
        <v>0</v>
      </c>
      <c r="CT54" s="485">
        <f t="shared" si="103"/>
        <v>0</v>
      </c>
      <c r="CU54" s="485">
        <f t="shared" si="103"/>
        <v>0</v>
      </c>
      <c r="CV54" s="457"/>
      <c r="CW54" s="457"/>
      <c r="CX54" s="457"/>
      <c r="CY54" s="457"/>
      <c r="CZ54" s="457"/>
      <c r="DA54" s="457"/>
      <c r="DB54" s="485">
        <f t="shared" ref="DB54:DP54" si="104">SUM(DB3:DB52)</f>
        <v>0</v>
      </c>
      <c r="DC54" s="485">
        <f t="shared" si="104"/>
        <v>0</v>
      </c>
      <c r="DD54" s="485">
        <f t="shared" si="104"/>
        <v>0</v>
      </c>
      <c r="DE54" s="485">
        <f t="shared" si="104"/>
        <v>0</v>
      </c>
      <c r="DF54" s="485">
        <f t="shared" si="104"/>
        <v>0</v>
      </c>
      <c r="DG54" s="485">
        <f t="shared" si="104"/>
        <v>0</v>
      </c>
      <c r="DH54" s="485">
        <f t="shared" si="104"/>
        <v>0</v>
      </c>
      <c r="DI54" s="485">
        <f t="shared" si="104"/>
        <v>0</v>
      </c>
      <c r="DJ54" s="485">
        <f t="shared" si="104"/>
        <v>0</v>
      </c>
      <c r="DK54" s="485">
        <f t="shared" si="104"/>
        <v>0</v>
      </c>
      <c r="DL54" s="485">
        <f t="shared" si="104"/>
        <v>0</v>
      </c>
      <c r="DM54" s="485">
        <f t="shared" si="104"/>
        <v>0</v>
      </c>
      <c r="DN54" s="485">
        <f t="shared" si="104"/>
        <v>0</v>
      </c>
      <c r="DO54" s="485">
        <f t="shared" si="104"/>
        <v>0</v>
      </c>
      <c r="DP54" s="485">
        <f t="shared" si="104"/>
        <v>0</v>
      </c>
      <c r="DQ54" s="457"/>
      <c r="DR54" s="485">
        <f t="shared" ref="DR54" si="105">SUM(DR3:DR52)</f>
        <v>0</v>
      </c>
      <c r="DS54" s="457"/>
      <c r="DT54" s="457"/>
      <c r="DU54" s="505" t="s">
        <v>1922</v>
      </c>
      <c r="DZ54" s="485"/>
      <c r="EA54" s="485">
        <f>SUM(EA3:EA52)</f>
        <v>188825</v>
      </c>
      <c r="EB54" s="485">
        <f>SUM(EB3:EB52)</f>
        <v>368</v>
      </c>
      <c r="EC54" s="485">
        <f t="shared" ref="EC54:EO54" si="106">SUM(EC3:EC52)</f>
        <v>16821</v>
      </c>
      <c r="ED54" s="485">
        <f t="shared" si="106"/>
        <v>37765</v>
      </c>
      <c r="EE54" s="485">
        <f t="shared" si="106"/>
        <v>0</v>
      </c>
      <c r="EF54" s="485">
        <f t="shared" si="106"/>
        <v>0</v>
      </c>
      <c r="EG54" s="485">
        <f t="shared" si="106"/>
        <v>0</v>
      </c>
      <c r="EH54" s="485">
        <f t="shared" si="106"/>
        <v>1170</v>
      </c>
      <c r="EI54" s="485">
        <f t="shared" si="106"/>
        <v>1750</v>
      </c>
      <c r="EJ54" s="485">
        <f t="shared" si="106"/>
        <v>0</v>
      </c>
      <c r="EK54" s="485">
        <f t="shared" si="106"/>
        <v>0</v>
      </c>
      <c r="EL54" s="485">
        <f t="shared" si="106"/>
        <v>0</v>
      </c>
      <c r="EM54" s="485">
        <f t="shared" si="106"/>
        <v>246699</v>
      </c>
      <c r="EN54" s="485">
        <f t="shared" si="106"/>
        <v>17628</v>
      </c>
      <c r="EO54" s="485">
        <f t="shared" si="106"/>
        <v>0</v>
      </c>
      <c r="ES54" s="505" t="s">
        <v>1563</v>
      </c>
      <c r="EX54" s="485"/>
      <c r="EY54" s="485">
        <f>SUM(EY3:EY52)</f>
        <v>89600</v>
      </c>
      <c r="EZ54" s="485">
        <f t="shared" ref="EZ54:FM54" si="107">SUM(EZ3:EZ52)</f>
        <v>368</v>
      </c>
      <c r="FA54" s="485">
        <f t="shared" si="107"/>
        <v>60963</v>
      </c>
      <c r="FB54" s="485">
        <f t="shared" si="107"/>
        <v>17920</v>
      </c>
      <c r="FC54" s="485">
        <f t="shared" si="107"/>
        <v>0</v>
      </c>
      <c r="FD54" s="485">
        <f t="shared" si="107"/>
        <v>20736</v>
      </c>
      <c r="FE54" s="485">
        <f t="shared" si="107"/>
        <v>0</v>
      </c>
      <c r="FF54" s="485">
        <f t="shared" si="107"/>
        <v>1170</v>
      </c>
      <c r="FG54" s="485">
        <f t="shared" si="107"/>
        <v>570</v>
      </c>
      <c r="FH54" s="485">
        <f t="shared" si="107"/>
        <v>0</v>
      </c>
      <c r="FI54" s="485">
        <f t="shared" si="107"/>
        <v>0</v>
      </c>
      <c r="FJ54" s="485">
        <f t="shared" si="107"/>
        <v>0</v>
      </c>
      <c r="FK54" s="485">
        <f t="shared" si="107"/>
        <v>191327</v>
      </c>
      <c r="FL54" s="485">
        <f t="shared" si="107"/>
        <v>13662</v>
      </c>
      <c r="FM54" s="485">
        <f t="shared" si="107"/>
        <v>0</v>
      </c>
    </row>
    <row r="55" spans="1:170">
      <c r="A55" s="518" t="s">
        <v>1538</v>
      </c>
      <c r="B55" s="518" t="s">
        <v>28</v>
      </c>
      <c r="C55" s="518" t="s">
        <v>1386</v>
      </c>
      <c r="D55" s="518" t="s">
        <v>1385</v>
      </c>
      <c r="E55" s="519"/>
      <c r="F55" s="520"/>
      <c r="G55" s="520"/>
      <c r="H55" s="519"/>
      <c r="I55" s="520"/>
      <c r="AG55" s="505" t="s">
        <v>1562</v>
      </c>
      <c r="AM55" s="485">
        <f>AM54-BH54</f>
        <v>0</v>
      </c>
      <c r="AN55" s="485">
        <f t="shared" ref="AN55:BA55" si="108">AN54-BI54</f>
        <v>0</v>
      </c>
      <c r="AO55" s="485">
        <f t="shared" si="108"/>
        <v>0</v>
      </c>
      <c r="AP55" s="485">
        <f t="shared" si="108"/>
        <v>0</v>
      </c>
      <c r="AQ55" s="485">
        <f t="shared" si="108"/>
        <v>0</v>
      </c>
      <c r="AR55" s="485">
        <f t="shared" si="108"/>
        <v>0</v>
      </c>
      <c r="AS55" s="485">
        <f t="shared" si="108"/>
        <v>0</v>
      </c>
      <c r="AT55" s="485">
        <f t="shared" si="108"/>
        <v>0</v>
      </c>
      <c r="AU55" s="485">
        <f t="shared" si="108"/>
        <v>0</v>
      </c>
      <c r="AV55" s="485">
        <f t="shared" si="108"/>
        <v>0</v>
      </c>
      <c r="AW55" s="485">
        <f t="shared" si="108"/>
        <v>0</v>
      </c>
      <c r="AX55" s="485">
        <f t="shared" si="108"/>
        <v>0</v>
      </c>
      <c r="AY55" s="485">
        <f t="shared" si="108"/>
        <v>0</v>
      </c>
      <c r="AZ55" s="485">
        <f t="shared" si="108"/>
        <v>0</v>
      </c>
      <c r="BA55" s="485">
        <f t="shared" si="108"/>
        <v>0</v>
      </c>
      <c r="BY55" s="457"/>
      <c r="BZ55" s="457"/>
      <c r="CA55" s="505" t="s">
        <v>1562</v>
      </c>
      <c r="CB55" s="457"/>
      <c r="CC55" s="457"/>
      <c r="CD55" s="457"/>
      <c r="CE55" s="457"/>
      <c r="CF55" s="457"/>
      <c r="CG55" s="485">
        <f>CG54-DB54</f>
        <v>0</v>
      </c>
      <c r="CH55" s="485">
        <f t="shared" ref="CH55" si="109">CH54-DC54</f>
        <v>0</v>
      </c>
      <c r="CI55" s="485">
        <f t="shared" ref="CI55" si="110">CI54-DD54</f>
        <v>0</v>
      </c>
      <c r="CJ55" s="485">
        <f t="shared" ref="CJ55" si="111">CJ54-DE54</f>
        <v>0</v>
      </c>
      <c r="CK55" s="485">
        <f t="shared" ref="CK55" si="112">CK54-DF54</f>
        <v>0</v>
      </c>
      <c r="CL55" s="485">
        <f t="shared" ref="CL55" si="113">CL54-DG54</f>
        <v>0</v>
      </c>
      <c r="CM55" s="485">
        <f t="shared" ref="CM55" si="114">CM54-DH54</f>
        <v>0</v>
      </c>
      <c r="CN55" s="485">
        <f t="shared" ref="CN55" si="115">CN54-DI54</f>
        <v>0</v>
      </c>
      <c r="CO55" s="485">
        <f t="shared" ref="CO55" si="116">CO54-DJ54</f>
        <v>0</v>
      </c>
      <c r="CP55" s="485">
        <f t="shared" ref="CP55" si="117">CP54-DK54</f>
        <v>0</v>
      </c>
      <c r="CQ55" s="485">
        <f t="shared" ref="CQ55" si="118">CQ54-DL54</f>
        <v>0</v>
      </c>
      <c r="CR55" s="485">
        <f t="shared" ref="CR55" si="119">CR54-DM54</f>
        <v>0</v>
      </c>
      <c r="CS55" s="485">
        <f t="shared" ref="CS55" si="120">CS54-DN54</f>
        <v>0</v>
      </c>
      <c r="CT55" s="485">
        <f t="shared" ref="CT55" si="121">CT54-DO54</f>
        <v>0</v>
      </c>
      <c r="CU55" s="485">
        <f t="shared" ref="CU55" si="122">CU54-DP54</f>
        <v>0</v>
      </c>
      <c r="CV55" s="457"/>
      <c r="CW55" s="457"/>
      <c r="CX55" s="457"/>
      <c r="CY55" s="457"/>
      <c r="CZ55" s="457"/>
      <c r="DA55" s="457"/>
      <c r="DB55" s="457"/>
      <c r="DC55" s="457"/>
      <c r="DD55" s="457"/>
      <c r="DE55" s="457"/>
      <c r="DF55" s="457"/>
      <c r="DG55" s="457"/>
      <c r="DH55" s="457"/>
      <c r="DI55" s="457"/>
      <c r="DJ55" s="457"/>
      <c r="DK55" s="457"/>
      <c r="DL55" s="457"/>
      <c r="DM55" s="457"/>
      <c r="DN55" s="457"/>
      <c r="DO55" s="457"/>
      <c r="DP55" s="457"/>
      <c r="DQ55" s="457"/>
      <c r="DR55" s="457"/>
      <c r="DS55" s="457"/>
      <c r="DT55" s="457"/>
      <c r="DU55" s="505" t="s">
        <v>1562</v>
      </c>
      <c r="EA55" s="485">
        <f>EY54</f>
        <v>89600</v>
      </c>
      <c r="EB55" s="485">
        <f t="shared" ref="EB55:EO55" si="123">EZ54</f>
        <v>368</v>
      </c>
      <c r="EC55" s="485">
        <f t="shared" si="123"/>
        <v>60963</v>
      </c>
      <c r="ED55" s="485">
        <f t="shared" si="123"/>
        <v>17920</v>
      </c>
      <c r="EE55" s="485">
        <f t="shared" si="123"/>
        <v>0</v>
      </c>
      <c r="EF55" s="485">
        <f t="shared" si="123"/>
        <v>20736</v>
      </c>
      <c r="EG55" s="485">
        <f t="shared" si="123"/>
        <v>0</v>
      </c>
      <c r="EH55" s="485">
        <f t="shared" si="123"/>
        <v>1170</v>
      </c>
      <c r="EI55" s="485">
        <f t="shared" si="123"/>
        <v>570</v>
      </c>
      <c r="EJ55" s="485">
        <f t="shared" si="123"/>
        <v>0</v>
      </c>
      <c r="EK55" s="485">
        <f t="shared" si="123"/>
        <v>0</v>
      </c>
      <c r="EL55" s="485">
        <f t="shared" si="123"/>
        <v>0</v>
      </c>
      <c r="EM55" s="485">
        <f t="shared" si="123"/>
        <v>191327</v>
      </c>
      <c r="EN55" s="485">
        <f t="shared" si="123"/>
        <v>13662</v>
      </c>
      <c r="EO55" s="485">
        <f t="shared" si="123"/>
        <v>0</v>
      </c>
      <c r="ES55" s="505" t="s">
        <v>1562</v>
      </c>
      <c r="EY55" s="485"/>
      <c r="EZ55" s="485"/>
      <c r="FA55" s="485"/>
      <c r="FB55" s="485"/>
      <c r="FC55" s="485"/>
      <c r="FD55" s="485"/>
      <c r="FE55" s="485"/>
      <c r="FF55" s="485"/>
      <c r="FG55" s="485"/>
      <c r="FH55" s="485"/>
      <c r="FI55" s="485"/>
      <c r="FJ55" s="485"/>
      <c r="FK55" s="485"/>
      <c r="FL55" s="485"/>
      <c r="FM55" s="485"/>
    </row>
    <row r="56" spans="1:170">
      <c r="A56" s="521">
        <f>DATE(YEAR(L1),1,1)</f>
        <v>42005</v>
      </c>
      <c r="B56" s="522">
        <f>H10-1</f>
        <v>42460</v>
      </c>
      <c r="C56" s="523">
        <f>IF(B56&lt;G7,J10,I10)</f>
        <v>12.052</v>
      </c>
      <c r="D56" s="523">
        <f>IF(B56&lt;G7,J9,I9)</f>
        <v>8.9079999999999995</v>
      </c>
      <c r="E56" s="519"/>
      <c r="F56" s="519"/>
      <c r="G56" s="519"/>
      <c r="H56" s="519"/>
      <c r="I56" s="519"/>
      <c r="AG56" s="505"/>
      <c r="AY56" s="505" t="s">
        <v>36</v>
      </c>
      <c r="AZ56" s="457">
        <f>IF(AY55=AZ55,AZ55-BA55,AZ55)</f>
        <v>0</v>
      </c>
      <c r="BA56" s="485">
        <f>BA55</f>
        <v>0</v>
      </c>
      <c r="BY56" s="457"/>
      <c r="BZ56" s="457"/>
      <c r="CA56" s="505"/>
      <c r="CB56" s="457"/>
      <c r="CC56" s="457"/>
      <c r="CD56" s="457"/>
      <c r="CE56" s="457"/>
      <c r="CF56" s="457"/>
      <c r="CG56" s="457"/>
      <c r="CH56" s="457"/>
      <c r="CI56" s="457"/>
      <c r="CJ56" s="457"/>
      <c r="CK56" s="457"/>
      <c r="CL56" s="457"/>
      <c r="CM56" s="457"/>
      <c r="CN56" s="457"/>
      <c r="CO56" s="457"/>
      <c r="CP56" s="457"/>
      <c r="CQ56" s="457"/>
      <c r="CR56" s="457"/>
      <c r="CS56" s="505" t="s">
        <v>36</v>
      </c>
      <c r="CT56" s="457">
        <f>IF(CS55=CT55,CT55-CU55,CT55)</f>
        <v>0</v>
      </c>
      <c r="CU56" s="485">
        <f>CU55</f>
        <v>0</v>
      </c>
      <c r="CV56" s="457"/>
      <c r="CW56" s="457"/>
      <c r="CX56" s="457"/>
      <c r="CY56" s="457"/>
      <c r="CZ56" s="457"/>
      <c r="DA56" s="457"/>
      <c r="DB56" s="457"/>
      <c r="DC56" s="457"/>
      <c r="DD56" s="457"/>
      <c r="DE56" s="457"/>
      <c r="DF56" s="457"/>
      <c r="DG56" s="457"/>
      <c r="DH56" s="457"/>
      <c r="DI56" s="457"/>
      <c r="DJ56" s="457"/>
      <c r="DK56" s="457"/>
      <c r="DL56" s="457"/>
      <c r="DM56" s="457"/>
      <c r="DN56" s="457"/>
      <c r="DO56" s="457"/>
      <c r="DP56" s="457"/>
      <c r="DQ56" s="457"/>
      <c r="DR56" s="457"/>
      <c r="DS56" s="457"/>
      <c r="DT56" s="457"/>
      <c r="DU56" s="505"/>
      <c r="EA56" s="485">
        <f>IF(Main!$C$26="UGC",0,EA54-EA55-EC55-EF55)</f>
        <v>17526</v>
      </c>
      <c r="EB56" s="789">
        <f>IF(Main!$C$26="UGC",0,SUM(EB54-EB55))</f>
        <v>0</v>
      </c>
      <c r="EC56" s="485">
        <f>IF(Main!$C$26="UGC",0,EC54)</f>
        <v>16821</v>
      </c>
      <c r="ED56" s="485">
        <f>IF(Main!$C$26="UGC",0,SUM(ED54-ED55))</f>
        <v>19845</v>
      </c>
      <c r="EE56" s="485">
        <f>IF(Main!$C$26="UGC",0,SUM(EE54-EE55))</f>
        <v>0</v>
      </c>
      <c r="EF56" s="485"/>
      <c r="EG56" s="485">
        <f>IF(Main!$C$26="UGC",0,SUM(EG54-EG55))</f>
        <v>0</v>
      </c>
      <c r="EH56" s="485">
        <f>IF(Main!$C$26="UGC",0,SUM(EH54-EH55))</f>
        <v>0</v>
      </c>
      <c r="EI56" s="485">
        <f>IF(Main!$C$26="UGC",0,SUM(EI54-EI55))</f>
        <v>1180</v>
      </c>
      <c r="EJ56" s="485">
        <f>IF(Main!$C$26="UGC",0,SUM(EJ54-EJ55))</f>
        <v>0</v>
      </c>
      <c r="EK56" s="485">
        <f>IF(Main!$C$26="UGC",0,SUM(EK54-EK55))</f>
        <v>0</v>
      </c>
      <c r="EL56" s="485">
        <f>IF(Main!$C$26="UGC",0,SUM(EL54-EL55))</f>
        <v>0</v>
      </c>
      <c r="EM56" s="485">
        <f>IF(Main!$C$26="UGC",0,SUM(EA56:EL56))</f>
        <v>55372</v>
      </c>
      <c r="EN56" s="485">
        <f>IF(Main!$C$26="UGC",0,EN54-EN55)</f>
        <v>3966</v>
      </c>
      <c r="EO56" s="485">
        <f>IF(Main!$C$26="UGC",0,EO54-EO55)</f>
        <v>0</v>
      </c>
      <c r="ES56" s="505"/>
      <c r="FK56" s="505"/>
      <c r="FM56" s="485"/>
    </row>
    <row r="57" spans="1:170">
      <c r="A57" s="519"/>
      <c r="B57" s="519"/>
      <c r="C57" s="519"/>
      <c r="D57" s="519"/>
      <c r="E57" s="519"/>
      <c r="F57" s="518" t="s">
        <v>1731</v>
      </c>
      <c r="G57" s="519">
        <f>IF(Main!F22="CPS",SUM(J60:J93),0)</f>
        <v>0</v>
      </c>
      <c r="H57" s="519"/>
      <c r="I57" s="519"/>
    </row>
    <row r="58" spans="1:170">
      <c r="A58" s="519" t="s">
        <v>1549</v>
      </c>
      <c r="B58" s="519"/>
      <c r="C58" s="523" t="str">
        <f>IF(M1&lt;B56,"",IF(Main!F19=Main!BG12,SUM(J60:J93),SUM(G60:G93)))</f>
        <v/>
      </c>
      <c r="D58" s="519" t="str">
        <f>Main!F22</f>
        <v>CPS</v>
      </c>
      <c r="E58" s="519"/>
      <c r="F58" s="523" t="str">
        <f>IF(M1&lt;B56,"",IF(Main!F19=Main!BG12,SUM(K60:K93),SUM(H60:H93)))</f>
        <v/>
      </c>
      <c r="G58" s="525" t="s">
        <v>1544</v>
      </c>
      <c r="H58" s="516">
        <f>EOMONTH(Main!M20,0)</f>
        <v>42490</v>
      </c>
      <c r="I58" s="519"/>
      <c r="AY58" s="753" t="b">
        <f>EXACT(AY55,BX54)</f>
        <v>1</v>
      </c>
    </row>
    <row r="59" spans="1:170" ht="25.5">
      <c r="A59" s="519"/>
      <c r="B59" s="519"/>
      <c r="C59" s="526" t="s">
        <v>1545</v>
      </c>
      <c r="D59" s="527" t="s">
        <v>1546</v>
      </c>
      <c r="E59" s="526" t="s">
        <v>1540</v>
      </c>
      <c r="F59" s="526" t="s">
        <v>1541</v>
      </c>
      <c r="G59" s="526" t="s">
        <v>1542</v>
      </c>
      <c r="H59" s="526" t="str">
        <f>Main!F22</f>
        <v>CPS</v>
      </c>
      <c r="I59" s="526" t="s">
        <v>1543</v>
      </c>
      <c r="J59" s="505" t="s">
        <v>1542</v>
      </c>
      <c r="K59" s="457" t="str">
        <f>H59</f>
        <v>CPS</v>
      </c>
      <c r="EM59" s="457" t="b">
        <f>EXACT(EM56,EM54-EM55)</f>
        <v>1</v>
      </c>
    </row>
    <row r="60" spans="1:170">
      <c r="A60" s="528">
        <f>A56</f>
        <v>42005</v>
      </c>
      <c r="B60" s="484">
        <f>IF(A60="","",MIN(EOMONTH(A60,0),VLOOKUP(A60,'IN RPS-2015'!$O$164:$P$202,2,TRUE)-1,LOOKUP(A60,$E$47:$F$53)-1,IF(A60&lt;$B$2,$B$2-1,'IN RPS-2015'!$Q$9),IF(A60&lt;$B$3,$B$3-1,'IN RPS-2015'!$Q$9),IF(A60&lt;$B$4,$B$4-1,'IN RPS-2015'!$Q$9),LOOKUP(A60,$H$47:$I$53)))</f>
        <v>42035</v>
      </c>
      <c r="C60" s="529">
        <f>IF(A60="","",IF(AND($B$56&lt;'IN RPS-2015'!$C$11,'IN RPS-2015'!$B$3&gt;0),VLOOKUP(A60,'IN RPS-2015'!$P$164:$U$202,6,TRUE),VLOOKUP(A60,'IN RPS-2015'!$P$164:$U$202,5,TRUE)))</f>
        <v>53950</v>
      </c>
      <c r="D60" s="530">
        <f>IF(C60="","",IF(OR(AND(A60=$E$48,$G$48=3),AND(A60=$E$49,$G$49=3),AND(A60=$E$50,$G$50=3),AND(A60=$E$51,$G$51=3),AND(A60=$E$52,$G$52=3),AND(A60=$E$53,$G$53=3)),0,IF(OR(AND(A60=$E$48,$G$48=2),AND(A60=$E$49,$G$49=2),AND(A60=$E$50,$G$50=2),AND(A60=$E$51,$G$51=2),AND(A60=$E$52,$G$52=2),AND(A60=$E$53,$G$53=2)),ROUND((C60/2)*(DAY(B60)-DAY(A60)+1)/DAY(EOMONTH(A60,0)),0),ROUND((C60)*(DAY(B60)-DAY(A60)+1)/DAY(EOMONTH(A60,0)),0))))</f>
        <v>53950</v>
      </c>
      <c r="E60" s="531">
        <f>IF(A60="","",IF(C60=VLOOKUP(C60,'IN RPS-2015'!$I$2:$J$5,1),0,ROUND(D60*$C$56%,0)))</f>
        <v>6502</v>
      </c>
      <c r="F60" s="531">
        <f>IF(A60="","",IF(C60=VLOOKUP(C60,'IN RPS-2015'!$I$2:$J$5,1),0,ROUND(D60*$D$56%,0)))</f>
        <v>4806</v>
      </c>
      <c r="G60" s="531">
        <f t="shared" ref="G60:G75" si="124">IF(A60="","",E60-F60)</f>
        <v>1696</v>
      </c>
      <c r="H60" s="531">
        <f>IF(A60="","",IF(Main!$F$22=Main!$CA$24,ROUND(G60*10%,0),IF(B60&lt;=$H$58,G60,"")))</f>
        <v>170</v>
      </c>
      <c r="I60" s="531">
        <f>IF(A60="","",IF(H60="",G60,G60-H60))</f>
        <v>1526</v>
      </c>
      <c r="J60" s="469">
        <f>IF(A60="","",IF(A60&lt;$H$58,0,G60))</f>
        <v>0</v>
      </c>
      <c r="K60" s="739">
        <f>IF(A60="","",IF(A60&lt;$H$58,0,H60))</f>
        <v>0</v>
      </c>
      <c r="L60" s="532"/>
    </row>
    <row r="61" spans="1:170">
      <c r="A61" s="533">
        <f t="shared" ref="A61:A91" si="125">IF(B60="","",IF(B60&lt;$B$56,B60+1,""))</f>
        <v>42036</v>
      </c>
      <c r="B61" s="484">
        <f>IF(A61="","",MIN(EOMONTH(A61,0),VLOOKUP(A61,'IN RPS-2015'!$O$164:$P$202,2,TRUE)-1,LOOKUP(A61,$E$47:$F$53)-1,IF(A61&lt;$B$2,$B$2-1,'IN RPS-2015'!$Q$9),IF(A61&lt;$B$3,$B$3-1,'IN RPS-2015'!$Q$9),IF(A61&lt;$B$4,$B$4-1,'IN RPS-2015'!$Q$9),LOOKUP(A61,$H$47:$I$53)))</f>
        <v>42063</v>
      </c>
      <c r="C61" s="529">
        <f>IF(A61="","",IF(AND($B$56&lt;'IN RPS-2015'!$C$11,'IN RPS-2015'!$B$3&gt;0),VLOOKUP(A61,'IN RPS-2015'!$P$164:$U$202,6,TRUE),VLOOKUP(A61,'IN RPS-2015'!$P$164:$U$202,5,TRUE)))</f>
        <v>53950</v>
      </c>
      <c r="D61" s="530">
        <f t="shared" ref="D61:D91" si="126">IF(C61="","",IF(OR(AND(A61=$E$48,$G$48=3),AND(A61=$E$49,$G$49=3),AND(A61=$E$50,$G$50=3),AND(A61=$E$51,$G$51=3),AND(A61=$E$52,$G$52=3),AND(A61=$E$53,$G$53=3)),0,IF(OR(AND(A61=$E$48,$G$48=2),AND(A61=$E$49,$G$49=2),AND(A61=$E$50,$G$50=2),AND(A61=$E$51,$G$51=2),AND(A61=$E$52,$G$52=2),AND(A61=$E$53,$G$53=2)),ROUND((C61/2)*(DAY(B61)-DAY(A61)+1)/DAY(EOMONTH(A61,0)),0),ROUND((C61)*(DAY(B61)-DAY(A61)+1)/DAY(EOMONTH(A61,0)),0))))</f>
        <v>53950</v>
      </c>
      <c r="E61" s="531">
        <f>IF(A61="","",IF(C61=VLOOKUP(C61,'IN RPS-2015'!$I$2:$J$5,1),0,ROUND(D61*$C$56%,0)))</f>
        <v>6502</v>
      </c>
      <c r="F61" s="531">
        <f>IF(A61="","",IF(C61=VLOOKUP(C61,'IN RPS-2015'!$I$2:$J$5,1),0,ROUND(D61*$D$56%,0)))</f>
        <v>4806</v>
      </c>
      <c r="G61" s="531">
        <f t="shared" si="124"/>
        <v>1696</v>
      </c>
      <c r="H61" s="531">
        <f>IF(A61="","",IF(Main!$F$22=Main!$CA$24,ROUND(G61*10%,0),IF(B61&lt;=$H$58,G61,"")))</f>
        <v>170</v>
      </c>
      <c r="I61" s="531">
        <f t="shared" ref="I61:I92" si="127">IF(A61="","",IF(H61="",G61,G61-H61))</f>
        <v>1526</v>
      </c>
      <c r="J61" s="730">
        <f t="shared" ref="J61:J93" si="128">IF(A61="","",IF(A61&lt;$H$58,0,G61))</f>
        <v>0</v>
      </c>
      <c r="K61" s="739">
        <f t="shared" ref="K61:K93" si="129">IF(A61="","",IF(A61&lt;$H$58,0,H61))</f>
        <v>0</v>
      </c>
      <c r="BH61" s="517">
        <f t="shared" ref="BH61:BV61" si="130">SUM(CF3:CF52)</f>
        <v>110820</v>
      </c>
      <c r="BI61" s="517">
        <f t="shared" si="130"/>
        <v>0</v>
      </c>
      <c r="BJ61" s="517">
        <f t="shared" si="130"/>
        <v>0</v>
      </c>
      <c r="BK61" s="517">
        <f t="shared" si="130"/>
        <v>0</v>
      </c>
      <c r="BL61" s="517">
        <f t="shared" si="130"/>
        <v>0</v>
      </c>
      <c r="BM61" s="517">
        <f t="shared" si="130"/>
        <v>0</v>
      </c>
      <c r="BN61" s="517">
        <f t="shared" si="130"/>
        <v>0</v>
      </c>
      <c r="BO61" s="517">
        <f t="shared" si="130"/>
        <v>0</v>
      </c>
      <c r="BP61" s="517">
        <f t="shared" si="130"/>
        <v>0</v>
      </c>
      <c r="BQ61" s="517">
        <f t="shared" si="130"/>
        <v>0</v>
      </c>
      <c r="BR61" s="517">
        <f t="shared" si="130"/>
        <v>0</v>
      </c>
      <c r="BS61" s="517">
        <f t="shared" si="130"/>
        <v>0</v>
      </c>
      <c r="BT61" s="517">
        <f t="shared" si="130"/>
        <v>0</v>
      </c>
      <c r="BU61" s="517">
        <f t="shared" si="130"/>
        <v>0</v>
      </c>
      <c r="BV61" s="517">
        <f t="shared" si="130"/>
        <v>0</v>
      </c>
      <c r="BW61" s="467"/>
    </row>
    <row r="62" spans="1:170">
      <c r="A62" s="533">
        <f t="shared" si="125"/>
        <v>42064</v>
      </c>
      <c r="B62" s="484">
        <f>IF(A62="","",MIN(EOMONTH(A62,0),VLOOKUP(A62,'IN RPS-2015'!$O$164:$P$202,2,TRUE)-1,LOOKUP(A62,$E$47:$F$53)-1,IF(A62&lt;$B$2,$B$2-1,'IN RPS-2015'!$Q$9),IF(A62&lt;$B$3,$B$3-1,'IN RPS-2015'!$Q$9),IF(A62&lt;$B$4,$B$4-1,'IN RPS-2015'!$Q$9),LOOKUP(A62,$H$47:$I$53)))</f>
        <v>42094</v>
      </c>
      <c r="C62" s="529">
        <f>IF(A62="","",IF(AND($B$56&lt;'IN RPS-2015'!$C$11,'IN RPS-2015'!$B$3&gt;0),VLOOKUP(A62,'IN RPS-2015'!$P$164:$U$202,6,TRUE),VLOOKUP(A62,'IN RPS-2015'!$P$164:$U$202,5,TRUE)))</f>
        <v>53950</v>
      </c>
      <c r="D62" s="530">
        <f t="shared" si="126"/>
        <v>53950</v>
      </c>
      <c r="E62" s="531">
        <f>IF(A62="","",IF(C62=VLOOKUP(C62,'IN RPS-2015'!$I$2:$J$5,1),0,ROUND(D62*$C$56%,0)))</f>
        <v>6502</v>
      </c>
      <c r="F62" s="531">
        <f>IF(A62="","",IF(C62=VLOOKUP(C62,'IN RPS-2015'!$I$2:$J$5,1),0,ROUND(D62*$D$56%,0)))</f>
        <v>4806</v>
      </c>
      <c r="G62" s="531">
        <f t="shared" si="124"/>
        <v>1696</v>
      </c>
      <c r="H62" s="531">
        <f>IF(A62="","",IF(Main!$F$22=Main!$CA$24,ROUND(G62*10%,0),IF(B62&lt;=$H$58,G62,"")))</f>
        <v>170</v>
      </c>
      <c r="I62" s="531">
        <f t="shared" si="127"/>
        <v>1526</v>
      </c>
      <c r="J62" s="730">
        <f t="shared" si="128"/>
        <v>0</v>
      </c>
      <c r="K62" s="739">
        <f t="shared" si="129"/>
        <v>0</v>
      </c>
      <c r="BH62" s="517">
        <f>CG55</f>
        <v>0</v>
      </c>
      <c r="BI62" s="517">
        <f t="shared" ref="BI62:BV62" si="131">CH55</f>
        <v>0</v>
      </c>
      <c r="BJ62" s="517">
        <f t="shared" si="131"/>
        <v>0</v>
      </c>
      <c r="BK62" s="517">
        <f t="shared" si="131"/>
        <v>0</v>
      </c>
      <c r="BL62" s="517">
        <f t="shared" si="131"/>
        <v>0</v>
      </c>
      <c r="BM62" s="517">
        <f t="shared" si="131"/>
        <v>0</v>
      </c>
      <c r="BN62" s="517">
        <f t="shared" si="131"/>
        <v>0</v>
      </c>
      <c r="BO62" s="517">
        <f t="shared" si="131"/>
        <v>0</v>
      </c>
      <c r="BP62" s="517">
        <f t="shared" si="131"/>
        <v>0</v>
      </c>
      <c r="BQ62" s="517">
        <f t="shared" si="131"/>
        <v>0</v>
      </c>
      <c r="BR62" s="517">
        <f t="shared" si="131"/>
        <v>0</v>
      </c>
      <c r="BS62" s="517">
        <f t="shared" si="131"/>
        <v>0</v>
      </c>
      <c r="BT62" s="517">
        <f t="shared" si="131"/>
        <v>0</v>
      </c>
      <c r="BU62" s="517">
        <f t="shared" si="131"/>
        <v>0</v>
      </c>
      <c r="BV62" s="517">
        <f t="shared" si="131"/>
        <v>0</v>
      </c>
      <c r="BW62" s="467"/>
    </row>
    <row r="63" spans="1:170">
      <c r="A63" s="533">
        <f t="shared" si="125"/>
        <v>42095</v>
      </c>
      <c r="B63" s="484">
        <f>IF(A63="","",MIN(EOMONTH(A63,0),VLOOKUP(A63,'IN RPS-2015'!$O$164:$P$202,2,TRUE)-1,LOOKUP(A63,$E$47:$F$53)-1,IF(A63&lt;$B$2,$B$2-1,'IN RPS-2015'!$Q$9),IF(A63&lt;$B$3,$B$3-1,'IN RPS-2015'!$Q$9),IF(A63&lt;$B$4,$B$4-1,'IN RPS-2015'!$Q$9),LOOKUP(A63,$H$47:$I$53)))</f>
        <v>42124</v>
      </c>
      <c r="C63" s="529">
        <f>IF(A63="","",IF(AND($B$56&lt;'IN RPS-2015'!$C$11,'IN RPS-2015'!$B$3&gt;0),VLOOKUP(A63,'IN RPS-2015'!$P$164:$U$202,6,TRUE),VLOOKUP(A63,'IN RPS-2015'!$P$164:$U$202,5,TRUE)))</f>
        <v>53950</v>
      </c>
      <c r="D63" s="530">
        <f t="shared" si="126"/>
        <v>53950</v>
      </c>
      <c r="E63" s="531">
        <f>IF(A63="","",IF(C63=VLOOKUP(C63,'IN RPS-2015'!$I$2:$J$5,1),0,ROUND(D63*$C$56%,0)))</f>
        <v>6502</v>
      </c>
      <c r="F63" s="531">
        <f>IF(A63="","",IF(C63=VLOOKUP(C63,'IN RPS-2015'!$I$2:$J$5,1),0,ROUND(D63*$D$56%,0)))</f>
        <v>4806</v>
      </c>
      <c r="G63" s="531">
        <f t="shared" si="124"/>
        <v>1696</v>
      </c>
      <c r="H63" s="531">
        <f>IF(A63="","",IF(Main!$F$22=Main!$CA$24,ROUND(G63*10%,0),IF(B63&lt;=$H$58,G63,"")))</f>
        <v>170</v>
      </c>
      <c r="I63" s="531">
        <f t="shared" si="127"/>
        <v>1526</v>
      </c>
      <c r="J63" s="730">
        <f t="shared" si="128"/>
        <v>0</v>
      </c>
      <c r="K63" s="739">
        <f t="shared" si="129"/>
        <v>0</v>
      </c>
      <c r="BH63" s="467"/>
      <c r="BI63" s="467"/>
      <c r="BJ63" s="467"/>
      <c r="BK63" s="467"/>
      <c r="BL63" s="467"/>
      <c r="BM63" s="467"/>
      <c r="BN63" s="467"/>
      <c r="BO63" s="467"/>
      <c r="BP63" s="467"/>
      <c r="BQ63" s="467"/>
      <c r="BR63" s="467"/>
      <c r="BS63" s="467"/>
      <c r="BT63" s="524" t="s">
        <v>36</v>
      </c>
      <c r="BU63" s="517">
        <f t="shared" ref="BU63" si="132">CT56</f>
        <v>0</v>
      </c>
      <c r="BV63" s="517">
        <f t="shared" ref="BV63" si="133">CU56</f>
        <v>0</v>
      </c>
      <c r="BW63" s="467"/>
      <c r="EM63" s="505" t="s">
        <v>36</v>
      </c>
      <c r="EN63" s="457">
        <f>IF(EM56=EN56,EN56-EO56,EN56)</f>
        <v>3966</v>
      </c>
      <c r="EO63" s="485">
        <f>EO56</f>
        <v>0</v>
      </c>
    </row>
    <row r="64" spans="1:170">
      <c r="A64" s="533">
        <f t="shared" si="125"/>
        <v>42125</v>
      </c>
      <c r="B64" s="484">
        <f>IF(A64="","",MIN(EOMONTH(A64,0),VLOOKUP(A64,'IN RPS-2015'!$O$164:$P$202,2,TRUE)-1,LOOKUP(A64,$E$47:$F$53)-1,IF(A64&lt;$B$2,$B$2-1,'IN RPS-2015'!$Q$9),IF(A64&lt;$B$3,$B$3-1,'IN RPS-2015'!$Q$9),IF(A64&lt;$B$4,$B$4-1,'IN RPS-2015'!$Q$9),LOOKUP(A64,$H$47:$I$53)))</f>
        <v>42155</v>
      </c>
      <c r="C64" s="529">
        <f>IF(A64="","",IF(AND($B$56&lt;'IN RPS-2015'!$C$11,'IN RPS-2015'!$B$3&gt;0),VLOOKUP(A64,'IN RPS-2015'!$P$164:$U$202,6,TRUE),VLOOKUP(A64,'IN RPS-2015'!$P$164:$U$202,5,TRUE)))</f>
        <v>53950</v>
      </c>
      <c r="D64" s="530">
        <f t="shared" si="126"/>
        <v>53950</v>
      </c>
      <c r="E64" s="531">
        <f>IF(A64="","",IF(C64=VLOOKUP(C64,'IN RPS-2015'!$I$2:$J$5,1),0,ROUND(D64*$C$56%,0)))</f>
        <v>6502</v>
      </c>
      <c r="F64" s="531">
        <f>IF(A64="","",IF(C64=VLOOKUP(C64,'IN RPS-2015'!$I$2:$J$5,1),0,ROUND(D64*$D$56%,0)))</f>
        <v>4806</v>
      </c>
      <c r="G64" s="531">
        <f t="shared" si="124"/>
        <v>1696</v>
      </c>
      <c r="H64" s="531">
        <f>IF(A64="","",IF(Main!$F$22=Main!$CA$24,ROUND(G64*10%,0),IF(B64&lt;=$H$58,G64,"")))</f>
        <v>170</v>
      </c>
      <c r="I64" s="531">
        <f t="shared" si="127"/>
        <v>1526</v>
      </c>
      <c r="J64" s="730">
        <f t="shared" si="128"/>
        <v>0</v>
      </c>
      <c r="K64" s="739">
        <f t="shared" si="129"/>
        <v>0</v>
      </c>
      <c r="AD64" s="482"/>
      <c r="AE64" s="482"/>
      <c r="AF64" s="482"/>
      <c r="BY64" s="754"/>
    </row>
    <row r="65" spans="1:77">
      <c r="A65" s="533">
        <f t="shared" si="125"/>
        <v>42156</v>
      </c>
      <c r="B65" s="484">
        <f>IF(A65="","",MIN(EOMONTH(A65,0),VLOOKUP(A65,'IN RPS-2015'!$O$164:$P$202,2,TRUE)-1,LOOKUP(A65,$E$47:$F$53)-1,IF(A65&lt;$B$2,$B$2-1,'IN RPS-2015'!$Q$9),IF(A65&lt;$B$3,$B$3-1,'IN RPS-2015'!$Q$9),IF(A65&lt;$B$4,$B$4-1,'IN RPS-2015'!$Q$9),LOOKUP(A65,$H$47:$I$53)))</f>
        <v>42185</v>
      </c>
      <c r="C65" s="529">
        <f>IF(A65="","",IF(AND($B$56&lt;'IN RPS-2015'!$C$11,'IN RPS-2015'!$B$3&gt;0),VLOOKUP(A65,'IN RPS-2015'!$P$164:$U$202,6,TRUE),VLOOKUP(A65,'IN RPS-2015'!$P$164:$U$202,5,TRUE)))</f>
        <v>53950</v>
      </c>
      <c r="D65" s="530">
        <f t="shared" si="126"/>
        <v>53950</v>
      </c>
      <c r="E65" s="531">
        <f>IF(A65="","",IF(C65=VLOOKUP(C65,'IN RPS-2015'!$I$2:$J$5,1),0,ROUND(D65*$C$56%,0)))</f>
        <v>6502</v>
      </c>
      <c r="F65" s="531">
        <f>IF(A65="","",IF(C65=VLOOKUP(C65,'IN RPS-2015'!$I$2:$J$5,1),0,ROUND(D65*$D$56%,0)))</f>
        <v>4806</v>
      </c>
      <c r="G65" s="531">
        <f t="shared" si="124"/>
        <v>1696</v>
      </c>
      <c r="H65" s="531">
        <f>IF(A65="","",IF(Main!$F$22=Main!$CA$24,ROUND(G65*10%,0),IF(B65&lt;=$H$58,G65,"")))</f>
        <v>170</v>
      </c>
      <c r="I65" s="531">
        <f t="shared" si="127"/>
        <v>1526</v>
      </c>
      <c r="J65" s="730">
        <f t="shared" si="128"/>
        <v>0</v>
      </c>
      <c r="K65" s="739">
        <f t="shared" si="129"/>
        <v>0</v>
      </c>
      <c r="AD65" s="482"/>
      <c r="AE65" s="482"/>
      <c r="AF65" s="482"/>
      <c r="BY65" s="754"/>
    </row>
    <row r="66" spans="1:77">
      <c r="A66" s="533">
        <f t="shared" si="125"/>
        <v>42186</v>
      </c>
      <c r="B66" s="484">
        <f>IF(A66="","",MIN(EOMONTH(A66,0),VLOOKUP(A66,'IN RPS-2015'!$O$164:$P$202,2,TRUE)-1,LOOKUP(A66,$E$47:$F$53)-1,IF(A66&lt;$B$2,$B$2-1,'IN RPS-2015'!$Q$9),IF(A66&lt;$B$3,$B$3-1,'IN RPS-2015'!$Q$9),IF(A66&lt;$B$4,$B$4-1,'IN RPS-2015'!$Q$9),LOOKUP(A66,$H$47:$I$53)))</f>
        <v>42216</v>
      </c>
      <c r="C66" s="529">
        <f>IF(A66="","",IF(AND($B$56&lt;'IN RPS-2015'!$C$11,'IN RPS-2015'!$B$3&gt;0),VLOOKUP(A66,'IN RPS-2015'!$P$164:$U$202,6,TRUE),VLOOKUP(A66,'IN RPS-2015'!$P$164:$U$202,5,TRUE)))</f>
        <v>53950</v>
      </c>
      <c r="D66" s="530">
        <f t="shared" si="126"/>
        <v>53950</v>
      </c>
      <c r="E66" s="531">
        <f>IF(A66="","",IF(C66=VLOOKUP(C66,'IN RPS-2015'!$I$2:$J$5,1),0,ROUND(D66*$C$56%,0)))</f>
        <v>6502</v>
      </c>
      <c r="F66" s="531">
        <f>IF(A66="","",IF(C66=VLOOKUP(C66,'IN RPS-2015'!$I$2:$J$5,1),0,ROUND(D66*$D$56%,0)))</f>
        <v>4806</v>
      </c>
      <c r="G66" s="531">
        <f t="shared" si="124"/>
        <v>1696</v>
      </c>
      <c r="H66" s="531">
        <f>IF(A66="","",IF(Main!$F$22=Main!$CA$24,ROUND(G66*10%,0),IF(B66&lt;=$H$58,G66,"")))</f>
        <v>170</v>
      </c>
      <c r="I66" s="531">
        <f t="shared" si="127"/>
        <v>1526</v>
      </c>
      <c r="J66" s="730">
        <f t="shared" si="128"/>
        <v>0</v>
      </c>
      <c r="K66" s="739">
        <f t="shared" si="129"/>
        <v>0</v>
      </c>
      <c r="AD66" s="482"/>
      <c r="AE66" s="482"/>
      <c r="AF66" s="482"/>
      <c r="BY66" s="754"/>
    </row>
    <row r="67" spans="1:77">
      <c r="A67" s="533">
        <f t="shared" si="125"/>
        <v>42217</v>
      </c>
      <c r="B67" s="484">
        <f>IF(A67="","",MIN(EOMONTH(A67,0),VLOOKUP(A67,'IN RPS-2015'!$O$164:$P$202,2,TRUE)-1,LOOKUP(A67,$E$47:$F$53)-1,IF(A67&lt;$B$2,$B$2-1,'IN RPS-2015'!$Q$9),IF(A67&lt;$B$3,$B$3-1,'IN RPS-2015'!$Q$9),IF(A67&lt;$B$4,$B$4-1,'IN RPS-2015'!$Q$9),LOOKUP(A67,$H$47:$I$53)))</f>
        <v>42247</v>
      </c>
      <c r="C67" s="529">
        <f>IF(A67="","",IF(AND($B$56&lt;'IN RPS-2015'!$C$11,'IN RPS-2015'!$B$3&gt;0),VLOOKUP(A67,'IN RPS-2015'!$P$164:$U$202,6,TRUE),VLOOKUP(A67,'IN RPS-2015'!$P$164:$U$202,5,TRUE)))</f>
        <v>53950</v>
      </c>
      <c r="D67" s="530">
        <f t="shared" si="126"/>
        <v>53950</v>
      </c>
      <c r="E67" s="531">
        <f>IF(A67="","",IF(C67=VLOOKUP(C67,'IN RPS-2015'!$I$2:$J$5,1),0,ROUND(D67*$C$56%,0)))</f>
        <v>6502</v>
      </c>
      <c r="F67" s="531">
        <f>IF(A67="","",IF(C67=VLOOKUP(C67,'IN RPS-2015'!$I$2:$J$5,1),0,ROUND(D67*$D$56%,0)))</f>
        <v>4806</v>
      </c>
      <c r="G67" s="531">
        <f t="shared" si="124"/>
        <v>1696</v>
      </c>
      <c r="H67" s="531">
        <f>IF(A67="","",IF(Main!$F$22=Main!$CA$24,ROUND(G67*10%,0),IF(B67&lt;=$H$58,G67,"")))</f>
        <v>170</v>
      </c>
      <c r="I67" s="531">
        <f t="shared" si="127"/>
        <v>1526</v>
      </c>
      <c r="J67" s="730">
        <f t="shared" si="128"/>
        <v>0</v>
      </c>
      <c r="K67" s="739">
        <f t="shared" si="129"/>
        <v>0</v>
      </c>
    </row>
    <row r="68" spans="1:77">
      <c r="A68" s="533">
        <f t="shared" si="125"/>
        <v>42248</v>
      </c>
      <c r="B68" s="484">
        <f>IF(A68="","",MIN(EOMONTH(A68,0),VLOOKUP(A68,'IN RPS-2015'!$O$164:$P$202,2,TRUE)-1,LOOKUP(A68,$E$47:$F$53)-1,IF(A68&lt;$B$2,$B$2-1,'IN RPS-2015'!$Q$9),IF(A68&lt;$B$3,$B$3-1,'IN RPS-2015'!$Q$9),IF(A68&lt;$B$4,$B$4-1,'IN RPS-2015'!$Q$9),LOOKUP(A68,$H$47:$I$53)))</f>
        <v>42277</v>
      </c>
      <c r="C68" s="529">
        <f>IF(A68="","",IF(AND($B$56&lt;'IN RPS-2015'!$C$11,'IN RPS-2015'!$B$3&gt;0),VLOOKUP(A68,'IN RPS-2015'!$P$164:$U$202,6,TRUE),VLOOKUP(A68,'IN RPS-2015'!$P$164:$U$202,5,TRUE)))</f>
        <v>55410</v>
      </c>
      <c r="D68" s="530">
        <f t="shared" si="126"/>
        <v>55410</v>
      </c>
      <c r="E68" s="531">
        <f>IF(A68="","",IF(C68=VLOOKUP(C68,'IN RPS-2015'!$I$2:$J$5,1),0,ROUND(D68*$C$56%,0)))</f>
        <v>6678</v>
      </c>
      <c r="F68" s="531">
        <f>IF(A68="","",IF(C68=VLOOKUP(C68,'IN RPS-2015'!$I$2:$J$5,1),0,ROUND(D68*$D$56%,0)))</f>
        <v>4936</v>
      </c>
      <c r="G68" s="531">
        <f t="shared" si="124"/>
        <v>1742</v>
      </c>
      <c r="H68" s="531">
        <f>IF(A68="","",IF(Main!$F$22=Main!$CA$24,ROUND(G68*10%,0),IF(B68&lt;=$H$58,G68,"")))</f>
        <v>174</v>
      </c>
      <c r="I68" s="531">
        <f t="shared" si="127"/>
        <v>1568</v>
      </c>
      <c r="J68" s="730">
        <f t="shared" si="128"/>
        <v>0</v>
      </c>
      <c r="K68" s="739">
        <f t="shared" si="129"/>
        <v>0</v>
      </c>
    </row>
    <row r="69" spans="1:77">
      <c r="A69" s="533">
        <f t="shared" si="125"/>
        <v>42278</v>
      </c>
      <c r="B69" s="484">
        <f>IF(A69="","",MIN(EOMONTH(A69,0),VLOOKUP(A69,'IN RPS-2015'!$O$164:$P$202,2,TRUE)-1,LOOKUP(A69,$E$47:$F$53)-1,IF(A69&lt;$B$2,$B$2-1,'IN RPS-2015'!$Q$9),IF(A69&lt;$B$3,$B$3-1,'IN RPS-2015'!$Q$9),IF(A69&lt;$B$4,$B$4-1,'IN RPS-2015'!$Q$9),LOOKUP(A69,$H$47:$I$53)))</f>
        <v>42308</v>
      </c>
      <c r="C69" s="529">
        <f>IF(A69="","",IF(AND($B$56&lt;'IN RPS-2015'!$C$11,'IN RPS-2015'!$B$3&gt;0),VLOOKUP(A69,'IN RPS-2015'!$P$164:$U$202,6,TRUE),VLOOKUP(A69,'IN RPS-2015'!$P$164:$U$202,5,TRUE)))</f>
        <v>55410</v>
      </c>
      <c r="D69" s="530">
        <f t="shared" si="126"/>
        <v>55410</v>
      </c>
      <c r="E69" s="531">
        <f>IF(A69="","",IF(C69=VLOOKUP(C69,'IN RPS-2015'!$I$2:$J$5,1),0,ROUND(D69*$C$56%,0)))</f>
        <v>6678</v>
      </c>
      <c r="F69" s="531">
        <f>IF(A69="","",IF(C69=VLOOKUP(C69,'IN RPS-2015'!$I$2:$J$5,1),0,ROUND(D69*$D$56%,0)))</f>
        <v>4936</v>
      </c>
      <c r="G69" s="531">
        <f t="shared" si="124"/>
        <v>1742</v>
      </c>
      <c r="H69" s="531">
        <f>IF(A69="","",IF(Main!$F$22=Main!$CA$24,ROUND(G69*10%,0),IF(B69&lt;=$H$58,G69,"")))</f>
        <v>174</v>
      </c>
      <c r="I69" s="531">
        <f t="shared" si="127"/>
        <v>1568</v>
      </c>
      <c r="J69" s="730">
        <f t="shared" si="128"/>
        <v>0</v>
      </c>
      <c r="K69" s="739">
        <f t="shared" si="129"/>
        <v>0</v>
      </c>
    </row>
    <row r="70" spans="1:77">
      <c r="A70" s="533">
        <f t="shared" si="125"/>
        <v>42309</v>
      </c>
      <c r="B70" s="484">
        <f>IF(A70="","",MIN(EOMONTH(A70,0),VLOOKUP(A70,'IN RPS-2015'!$O$164:$P$202,2,TRUE)-1,LOOKUP(A70,$E$47:$F$53)-1,IF(A70&lt;$B$2,$B$2-1,'IN RPS-2015'!$Q$9),IF(A70&lt;$B$3,$B$3-1,'IN RPS-2015'!$Q$9),IF(A70&lt;$B$4,$B$4-1,'IN RPS-2015'!$Q$9),LOOKUP(A70,$H$47:$I$53)))</f>
        <v>42338</v>
      </c>
      <c r="C70" s="529">
        <f>IF(A70="","",IF(AND($B$56&lt;'IN RPS-2015'!$C$11,'IN RPS-2015'!$B$3&gt;0),VLOOKUP(A70,'IN RPS-2015'!$P$164:$U$202,6,TRUE),VLOOKUP(A70,'IN RPS-2015'!$P$164:$U$202,5,TRUE)))</f>
        <v>55410</v>
      </c>
      <c r="D70" s="530">
        <f t="shared" si="126"/>
        <v>55410</v>
      </c>
      <c r="E70" s="531">
        <f>IF(A70="","",IF(C70=VLOOKUP(C70,'IN RPS-2015'!$I$2:$J$5,1),0,ROUND(D70*$C$56%,0)))</f>
        <v>6678</v>
      </c>
      <c r="F70" s="531">
        <f>IF(A70="","",IF(C70=VLOOKUP(C70,'IN RPS-2015'!$I$2:$J$5,1),0,ROUND(D70*$D$56%,0)))</f>
        <v>4936</v>
      </c>
      <c r="G70" s="531">
        <f t="shared" si="124"/>
        <v>1742</v>
      </c>
      <c r="H70" s="531">
        <f>IF(A70="","",IF(Main!$F$22=Main!$CA$24,ROUND(G70*10%,0),IF(B70&lt;=$H$58,G70,"")))</f>
        <v>174</v>
      </c>
      <c r="I70" s="531">
        <f t="shared" si="127"/>
        <v>1568</v>
      </c>
      <c r="J70" s="730">
        <f t="shared" si="128"/>
        <v>0</v>
      </c>
      <c r="K70" s="739">
        <f t="shared" si="129"/>
        <v>0</v>
      </c>
    </row>
    <row r="71" spans="1:77">
      <c r="A71" s="533">
        <f t="shared" si="125"/>
        <v>42339</v>
      </c>
      <c r="B71" s="484">
        <f>IF(A71="","",MIN(EOMONTH(A71,0),VLOOKUP(A71,'IN RPS-2015'!$O$164:$P$202,2,TRUE)-1,LOOKUP(A71,$E$47:$F$53)-1,IF(A71&lt;$B$2,$B$2-1,'IN RPS-2015'!$Q$9),IF(A71&lt;$B$3,$B$3-1,'IN RPS-2015'!$Q$9),IF(A71&lt;$B$4,$B$4-1,'IN RPS-2015'!$Q$9),LOOKUP(A71,$H$47:$I$53)))</f>
        <v>42369</v>
      </c>
      <c r="C71" s="529">
        <f>IF(A71="","",IF(AND($B$56&lt;'IN RPS-2015'!$C$11,'IN RPS-2015'!$B$3&gt;0),VLOOKUP(A71,'IN RPS-2015'!$P$164:$U$202,6,TRUE),VLOOKUP(A71,'IN RPS-2015'!$P$164:$U$202,5,TRUE)))</f>
        <v>55410</v>
      </c>
      <c r="D71" s="530">
        <f t="shared" si="126"/>
        <v>55410</v>
      </c>
      <c r="E71" s="531">
        <f>IF(A71="","",IF(C71=VLOOKUP(C71,'IN RPS-2015'!$I$2:$J$5,1),0,ROUND(D71*$C$56%,0)))</f>
        <v>6678</v>
      </c>
      <c r="F71" s="531">
        <f>IF(A71="","",IF(C71=VLOOKUP(C71,'IN RPS-2015'!$I$2:$J$5,1),0,ROUND(D71*$D$56%,0)))</f>
        <v>4936</v>
      </c>
      <c r="G71" s="531">
        <f t="shared" si="124"/>
        <v>1742</v>
      </c>
      <c r="H71" s="531">
        <f>IF(A71="","",IF(Main!$F$22=Main!$CA$24,ROUND(G71*10%,0),IF(B71&lt;=$H$58,G71,"")))</f>
        <v>174</v>
      </c>
      <c r="I71" s="531">
        <f t="shared" si="127"/>
        <v>1568</v>
      </c>
      <c r="J71" s="730">
        <f t="shared" si="128"/>
        <v>0</v>
      </c>
      <c r="K71" s="739">
        <f t="shared" si="129"/>
        <v>0</v>
      </c>
    </row>
    <row r="72" spans="1:77">
      <c r="A72" s="533">
        <f t="shared" si="125"/>
        <v>42370</v>
      </c>
      <c r="B72" s="484">
        <f>IF(A72="","",MIN(EOMONTH(A72,0),VLOOKUP(A72,'IN RPS-2015'!$O$164:$P$202,2,TRUE)-1,LOOKUP(A72,$E$47:$F$53)-1,IF(A72&lt;$B$2,$B$2-1,'IN RPS-2015'!$Q$9),IF(A72&lt;$B$3,$B$3-1,'IN RPS-2015'!$Q$9),IF(A72&lt;$B$4,$B$4-1,'IN RPS-2015'!$Q$9),LOOKUP(A72,$H$47:$I$53)))</f>
        <v>42400</v>
      </c>
      <c r="C72" s="529">
        <f>IF(A72="","",IF(AND($B$56&lt;'IN RPS-2015'!$C$11,'IN RPS-2015'!$B$3&gt;0),VLOOKUP(A72,'IN RPS-2015'!$P$164:$U$202,6,TRUE),VLOOKUP(A72,'IN RPS-2015'!$P$164:$U$202,5,TRUE)))</f>
        <v>55410</v>
      </c>
      <c r="D72" s="530">
        <f t="shared" si="126"/>
        <v>55410</v>
      </c>
      <c r="E72" s="531">
        <f>IF(A72="","",IF(C72=VLOOKUP(C72,'IN RPS-2015'!$I$2:$J$5,1),0,ROUND(D72*$C$56%,0)))</f>
        <v>6678</v>
      </c>
      <c r="F72" s="531">
        <f>IF(A72="","",IF(C72=VLOOKUP(C72,'IN RPS-2015'!$I$2:$J$5,1),0,ROUND(D72*$D$56%,0)))</f>
        <v>4936</v>
      </c>
      <c r="G72" s="531">
        <f t="shared" si="124"/>
        <v>1742</v>
      </c>
      <c r="H72" s="531">
        <f>IF(A72="","",IF(Main!$F$22=Main!$CA$24,ROUND(G72*10%,0),IF(B72&lt;=$H$58,G72,"")))</f>
        <v>174</v>
      </c>
      <c r="I72" s="531">
        <f t="shared" si="127"/>
        <v>1568</v>
      </c>
      <c r="J72" s="730">
        <f t="shared" si="128"/>
        <v>0</v>
      </c>
      <c r="K72" s="739">
        <f t="shared" si="129"/>
        <v>0</v>
      </c>
    </row>
    <row r="73" spans="1:77">
      <c r="A73" s="533">
        <f t="shared" si="125"/>
        <v>42401</v>
      </c>
      <c r="B73" s="484">
        <f>IF(A73="","",MIN(EOMONTH(A73,0),VLOOKUP(A73,'IN RPS-2015'!$O$164:$P$202,2,TRUE)-1,LOOKUP(A73,$E$47:$F$53)-1,IF(A73&lt;$B$2,$B$2-1,'IN RPS-2015'!$Q$9),IF(A73&lt;$B$3,$B$3-1,'IN RPS-2015'!$Q$9),IF(A73&lt;$B$4,$B$4-1,'IN RPS-2015'!$Q$9),LOOKUP(A73,$H$47:$I$53)))</f>
        <v>42429</v>
      </c>
      <c r="C73" s="529">
        <f>IF(A73="","",IF(AND($B$56&lt;'IN RPS-2015'!$C$11,'IN RPS-2015'!$B$3&gt;0),VLOOKUP(A73,'IN RPS-2015'!$P$164:$U$202,6,TRUE),VLOOKUP(A73,'IN RPS-2015'!$P$164:$U$202,5,TRUE)))</f>
        <v>55410</v>
      </c>
      <c r="D73" s="530">
        <f t="shared" si="126"/>
        <v>55410</v>
      </c>
      <c r="E73" s="531">
        <f>IF(A73="","",IF(C73=VLOOKUP(C73,'IN RPS-2015'!$I$2:$J$5,1),0,ROUND(D73*$C$56%,0)))</f>
        <v>6678</v>
      </c>
      <c r="F73" s="531">
        <f>IF(A73="","",IF(C73=VLOOKUP(C73,'IN RPS-2015'!$I$2:$J$5,1),0,ROUND(D73*$D$56%,0)))</f>
        <v>4936</v>
      </c>
      <c r="G73" s="531">
        <f t="shared" si="124"/>
        <v>1742</v>
      </c>
      <c r="H73" s="531">
        <f>IF(A73="","",IF(Main!$F$22=Main!$CA$24,ROUND(G73*10%,0),IF(B73&lt;=$H$58,G73,"")))</f>
        <v>174</v>
      </c>
      <c r="I73" s="531">
        <f t="shared" si="127"/>
        <v>1568</v>
      </c>
      <c r="J73" s="730">
        <f>IF(A73="","",IF(A73&lt;$H$58,0,G73))</f>
        <v>0</v>
      </c>
      <c r="K73" s="739">
        <f t="shared" si="129"/>
        <v>0</v>
      </c>
    </row>
    <row r="74" spans="1:77">
      <c r="A74" s="533">
        <f t="shared" si="125"/>
        <v>42430</v>
      </c>
      <c r="B74" s="484">
        <f>IF(A74="","",MIN(EOMONTH(A74,0),VLOOKUP(A74,'IN RPS-2015'!$O$164:$P$202,2,TRUE)-1,LOOKUP(A74,$E$47:$F$53)-1,IF(A74&lt;$B$2,$B$2-1,'IN RPS-2015'!$Q$9),IF(A74&lt;$B$3,$B$3-1,'IN RPS-2015'!$Q$9),IF(A74&lt;$B$4,$B$4-1,'IN RPS-2015'!$Q$9),LOOKUP(A74,$H$47:$I$53)))</f>
        <v>42460</v>
      </c>
      <c r="C74" s="529">
        <f>IF(A74="","",IF(AND($B$56&lt;'IN RPS-2015'!$C$11,'IN RPS-2015'!$B$3&gt;0),VLOOKUP(A74,'IN RPS-2015'!$P$164:$U$202,6,TRUE),VLOOKUP(A74,'IN RPS-2015'!$P$164:$U$202,5,TRUE)))</f>
        <v>55410</v>
      </c>
      <c r="D74" s="530">
        <f t="shared" si="126"/>
        <v>55410</v>
      </c>
      <c r="E74" s="531">
        <f>IF(A74="","",IF(C74=VLOOKUP(C74,'IN RPS-2015'!$I$2:$J$5,1),0,ROUND(D74*$C$56%,0)))</f>
        <v>6678</v>
      </c>
      <c r="F74" s="531">
        <f>IF(A74="","",IF(C74=VLOOKUP(C74,'IN RPS-2015'!$I$2:$J$5,1),0,ROUND(D74*$D$56%,0)))</f>
        <v>4936</v>
      </c>
      <c r="G74" s="531">
        <f t="shared" si="124"/>
        <v>1742</v>
      </c>
      <c r="H74" s="531">
        <f>IF(A74="","",IF(Main!$F$22=Main!$CA$24,ROUND(G74*10%,0),IF(B74&lt;=$H$58,G74,"")))</f>
        <v>174</v>
      </c>
      <c r="I74" s="531">
        <f t="shared" si="127"/>
        <v>1568</v>
      </c>
      <c r="J74" s="730">
        <f t="shared" si="128"/>
        <v>0</v>
      </c>
      <c r="K74" s="739">
        <f t="shared" si="129"/>
        <v>0</v>
      </c>
    </row>
    <row r="75" spans="1:77">
      <c r="A75" s="533" t="str">
        <f t="shared" si="125"/>
        <v/>
      </c>
      <c r="B75" s="484" t="str">
        <f>IF(A75="","",MIN(EOMONTH(A75,0),VLOOKUP(A75,'IN RPS-2015'!$O$164:$P$202,2,TRUE)-1,LOOKUP(A75,$E$47:$F$53)-1,IF(A75&lt;$B$2,$B$2-1,'IN RPS-2015'!$Q$9),IF(A75&lt;$B$3,$B$3-1,'IN RPS-2015'!$Q$9),IF(A75&lt;$B$4,$B$4-1,'IN RPS-2015'!$Q$9),LOOKUP(A75,$H$47:$I$53)))</f>
        <v/>
      </c>
      <c r="C75" s="529" t="str">
        <f>IF(A75="","",IF(AND($B$56&lt;'IN RPS-2015'!$C$11,'IN RPS-2015'!$B$3&gt;0),VLOOKUP(A75,'IN RPS-2015'!$P$164:$U$202,6,TRUE),VLOOKUP(A75,'IN RPS-2015'!$P$164:$U$202,5,TRUE)))</f>
        <v/>
      </c>
      <c r="D75" s="530" t="str">
        <f t="shared" si="126"/>
        <v/>
      </c>
      <c r="E75" s="531" t="str">
        <f>IF(A75="","",IF(C75=VLOOKUP(C75,'IN RPS-2015'!$I$2:$J$5,1),0,ROUND(D75*$C$56%,0)))</f>
        <v/>
      </c>
      <c r="F75" s="531" t="str">
        <f>IF(A75="","",IF(C75=VLOOKUP(C75,'IN RPS-2015'!$I$2:$J$5,1),0,ROUND(D75*$D$56%,0)))</f>
        <v/>
      </c>
      <c r="G75" s="531" t="str">
        <f t="shared" si="124"/>
        <v/>
      </c>
      <c r="H75" s="531" t="str">
        <f>IF(A75="","",IF(Main!$F$22=Main!$CA$24,ROUND(G75*10%,0),IF(B75&lt;=$H$58,G75,"")))</f>
        <v/>
      </c>
      <c r="I75" s="531" t="str">
        <f t="shared" si="127"/>
        <v/>
      </c>
      <c r="J75" s="730" t="str">
        <f t="shared" si="128"/>
        <v/>
      </c>
      <c r="K75" s="739" t="str">
        <f t="shared" si="129"/>
        <v/>
      </c>
    </row>
    <row r="76" spans="1:77">
      <c r="A76" s="533" t="str">
        <f t="shared" si="125"/>
        <v/>
      </c>
      <c r="B76" s="484" t="str">
        <f>IF(A76="","",MIN(EOMONTH(A76,0),VLOOKUP(A76,'IN RPS-2015'!$O$164:$P$202,2,TRUE)-1,LOOKUP(A76,$E$47:$F$53)-1,IF(A76&lt;$B$2,$B$2-1,'IN RPS-2015'!$Q$9),IF(A76&lt;$B$3,$B$3-1,'IN RPS-2015'!$Q$9),IF(A76&lt;$B$4,$B$4-1,'IN RPS-2015'!$Q$9),LOOKUP(A76,$H$47:$I$53)))</f>
        <v/>
      </c>
      <c r="C76" s="529" t="str">
        <f>IF(A76="","",IF(AND($B$56&lt;'IN RPS-2015'!$C$11,'IN RPS-2015'!$B$3&gt;0),VLOOKUP(A76,'IN RPS-2015'!$P$164:$U$202,6,TRUE),VLOOKUP(A76,'IN RPS-2015'!$P$164:$U$202,5,TRUE)))</f>
        <v/>
      </c>
      <c r="D76" s="530" t="str">
        <f t="shared" si="126"/>
        <v/>
      </c>
      <c r="E76" s="531" t="str">
        <f>IF(A76="","",IF(C76=VLOOKUP(C76,'IN RPS-2015'!$I$2:$J$5,1),0,ROUND(D76*$C$56%,0)))</f>
        <v/>
      </c>
      <c r="F76" s="531" t="str">
        <f>IF(A76="","",IF(C76=VLOOKUP(C76,'IN RPS-2015'!$I$2:$J$5,1),0,ROUND(D76*$D$56%,0)))</f>
        <v/>
      </c>
      <c r="G76" s="531" t="str">
        <f t="shared" ref="G76:G91" si="134">IF(A76="","",E76-F76)</f>
        <v/>
      </c>
      <c r="H76" s="531" t="str">
        <f>IF(A76="","",IF(Main!$F$22=Main!$CA$24,ROUND(G76*10%,0),IF(B76&lt;=$H$58,G76,"")))</f>
        <v/>
      </c>
      <c r="I76" s="531" t="str">
        <f t="shared" si="127"/>
        <v/>
      </c>
      <c r="J76" s="730" t="str">
        <f t="shared" si="128"/>
        <v/>
      </c>
      <c r="K76" s="739" t="str">
        <f t="shared" si="129"/>
        <v/>
      </c>
    </row>
    <row r="77" spans="1:77">
      <c r="A77" s="533" t="str">
        <f t="shared" si="125"/>
        <v/>
      </c>
      <c r="B77" s="484" t="str">
        <f>IF(A77="","",MIN(EOMONTH(A77,0),VLOOKUP(A77,'IN RPS-2015'!$O$164:$P$202,2,TRUE)-1,LOOKUP(A77,$E$47:$F$53)-1,IF(A77&lt;$B$2,$B$2-1,'IN RPS-2015'!$Q$9),IF(A77&lt;$B$3,$B$3-1,'IN RPS-2015'!$Q$9),IF(A77&lt;$B$4,$B$4-1,'IN RPS-2015'!$Q$9),LOOKUP(A77,$H$47:$I$53)))</f>
        <v/>
      </c>
      <c r="C77" s="529" t="str">
        <f>IF(A77="","",IF(AND($B$56&lt;'IN RPS-2015'!$C$11,'IN RPS-2015'!$B$3&gt;0),VLOOKUP(A77,'IN RPS-2015'!$P$164:$U$202,6,TRUE),VLOOKUP(A77,'IN RPS-2015'!$P$164:$U$202,5,TRUE)))</f>
        <v/>
      </c>
      <c r="D77" s="530" t="str">
        <f t="shared" si="126"/>
        <v/>
      </c>
      <c r="E77" s="531" t="str">
        <f>IF(A77="","",IF(C77=VLOOKUP(C77,'IN RPS-2015'!$I$2:$J$5,1),0,ROUND(D77*$C$56%,0)))</f>
        <v/>
      </c>
      <c r="F77" s="531" t="str">
        <f>IF(A77="","",IF(C77=VLOOKUP(C77,'IN RPS-2015'!$I$2:$J$5,1),0,ROUND(D77*$D$56%,0)))</f>
        <v/>
      </c>
      <c r="G77" s="531" t="str">
        <f t="shared" si="134"/>
        <v/>
      </c>
      <c r="H77" s="531" t="str">
        <f>IF(A77="","",IF(Main!$F$22=Main!$CA$24,ROUND(G77*10%,0),IF(B77&lt;=$H$58,G77,"")))</f>
        <v/>
      </c>
      <c r="I77" s="531" t="str">
        <f t="shared" si="127"/>
        <v/>
      </c>
      <c r="J77" s="730" t="str">
        <f t="shared" si="128"/>
        <v/>
      </c>
      <c r="K77" s="739" t="str">
        <f t="shared" si="129"/>
        <v/>
      </c>
    </row>
    <row r="78" spans="1:77">
      <c r="A78" s="533" t="str">
        <f t="shared" si="125"/>
        <v/>
      </c>
      <c r="B78" s="484" t="str">
        <f>IF(A78="","",MIN(EOMONTH(A78,0),VLOOKUP(A78,'IN RPS-2015'!$O$164:$P$202,2,TRUE)-1,LOOKUP(A78,$E$47:$F$53)-1,IF(A78&lt;$B$2,$B$2-1,'IN RPS-2015'!$Q$9),IF(A78&lt;$B$3,$B$3-1,'IN RPS-2015'!$Q$9),IF(A78&lt;$B$4,$B$4-1,'IN RPS-2015'!$Q$9),LOOKUP(A78,$H$47:$I$53)))</f>
        <v/>
      </c>
      <c r="C78" s="529" t="str">
        <f>IF(A78="","",IF(AND($B$56&lt;'IN RPS-2015'!$C$11,'IN RPS-2015'!$B$3&gt;0),VLOOKUP(A78,'IN RPS-2015'!$P$164:$U$202,6,TRUE),VLOOKUP(A78,'IN RPS-2015'!$P$164:$U$202,5,TRUE)))</f>
        <v/>
      </c>
      <c r="D78" s="530" t="str">
        <f t="shared" si="126"/>
        <v/>
      </c>
      <c r="E78" s="531" t="str">
        <f>IF(A78="","",IF(C78=VLOOKUP(C78,'IN RPS-2015'!$I$2:$J$5,1),0,ROUND(D78*$C$56%,0)))</f>
        <v/>
      </c>
      <c r="F78" s="531" t="str">
        <f>IF(A78="","",IF(C78=VLOOKUP(C78,'IN RPS-2015'!$I$2:$J$5,1),0,ROUND(D78*$D$56%,0)))</f>
        <v/>
      </c>
      <c r="G78" s="531" t="str">
        <f t="shared" si="134"/>
        <v/>
      </c>
      <c r="H78" s="531" t="str">
        <f>IF(A78="","",IF(Main!$F$22=Main!$CA$24,ROUND(G78*10%,0),IF(B78&lt;=$H$58,G78,"")))</f>
        <v/>
      </c>
      <c r="I78" s="531" t="str">
        <f t="shared" si="127"/>
        <v/>
      </c>
      <c r="J78" s="730" t="str">
        <f t="shared" si="128"/>
        <v/>
      </c>
      <c r="K78" s="739" t="str">
        <f t="shared" si="129"/>
        <v/>
      </c>
    </row>
    <row r="79" spans="1:77">
      <c r="A79" s="533" t="str">
        <f t="shared" si="125"/>
        <v/>
      </c>
      <c r="B79" s="484" t="str">
        <f>IF(A79="","",MIN(EOMONTH(A79,0),VLOOKUP(A79,'IN RPS-2015'!$O$164:$P$202,2,TRUE)-1,LOOKUP(A79,$E$47:$F$53)-1,IF(A79&lt;$B$2,$B$2-1,'IN RPS-2015'!$Q$9),IF(A79&lt;$B$3,$B$3-1,'IN RPS-2015'!$Q$9),IF(A79&lt;$B$4,$B$4-1,'IN RPS-2015'!$Q$9),LOOKUP(A79,$H$47:$I$53)))</f>
        <v/>
      </c>
      <c r="C79" s="529" t="str">
        <f>IF(A79="","",IF(AND($B$56&lt;'IN RPS-2015'!$C$11,'IN RPS-2015'!$B$3&gt;0),VLOOKUP(A79,'IN RPS-2015'!$P$164:$U$202,6,TRUE),VLOOKUP(A79,'IN RPS-2015'!$P$164:$U$202,5,TRUE)))</f>
        <v/>
      </c>
      <c r="D79" s="530" t="str">
        <f t="shared" si="126"/>
        <v/>
      </c>
      <c r="E79" s="531" t="str">
        <f>IF(A79="","",IF(C79=VLOOKUP(C79,'IN RPS-2015'!$I$2:$J$5,1),0,ROUND(D79*$C$56%,0)))</f>
        <v/>
      </c>
      <c r="F79" s="531" t="str">
        <f>IF(A79="","",IF(C79=VLOOKUP(C79,'IN RPS-2015'!$I$2:$J$5,1),0,ROUND(D79*$D$56%,0)))</f>
        <v/>
      </c>
      <c r="G79" s="531" t="str">
        <f t="shared" si="134"/>
        <v/>
      </c>
      <c r="H79" s="531" t="str">
        <f>IF(A79="","",IF(Main!$F$22=Main!$CA$24,ROUND(G79*10%,0),IF(B79&lt;=$H$58,G79,"")))</f>
        <v/>
      </c>
      <c r="I79" s="531" t="str">
        <f t="shared" si="127"/>
        <v/>
      </c>
      <c r="J79" s="730" t="str">
        <f t="shared" si="128"/>
        <v/>
      </c>
      <c r="K79" s="739" t="str">
        <f t="shared" si="129"/>
        <v/>
      </c>
    </row>
    <row r="80" spans="1:77">
      <c r="A80" s="533" t="str">
        <f t="shared" si="125"/>
        <v/>
      </c>
      <c r="B80" s="484" t="str">
        <f>IF(A80="","",MIN(EOMONTH(A80,0),VLOOKUP(A80,'IN RPS-2015'!$O$164:$P$202,2,TRUE)-1,LOOKUP(A80,$E$47:$F$53)-1,IF(A80&lt;$B$2,$B$2-1,'IN RPS-2015'!$Q$9),IF(A80&lt;$B$3,$B$3-1,'IN RPS-2015'!$Q$9),IF(A80&lt;$B$4,$B$4-1,'IN RPS-2015'!$Q$9),LOOKUP(A80,$H$47:$I$53)))</f>
        <v/>
      </c>
      <c r="C80" s="529" t="str">
        <f>IF(A80="","",IF(AND($B$56&lt;'IN RPS-2015'!$C$11,'IN RPS-2015'!$B$3&gt;0),VLOOKUP(A80,'IN RPS-2015'!$P$164:$U$202,6,TRUE),VLOOKUP(A80,'IN RPS-2015'!$P$164:$U$202,5,TRUE)))</f>
        <v/>
      </c>
      <c r="D80" s="530" t="str">
        <f t="shared" si="126"/>
        <v/>
      </c>
      <c r="E80" s="531" t="str">
        <f>IF(A80="","",IF(C80=VLOOKUP(C80,'IN RPS-2015'!$I$2:$J$5,1),0,ROUND(D80*$C$56%,0)))</f>
        <v/>
      </c>
      <c r="F80" s="531" t="str">
        <f>IF(A80="","",IF(C80=VLOOKUP(C80,'IN RPS-2015'!$I$2:$J$5,1),0,ROUND(D80*$D$56%,0)))</f>
        <v/>
      </c>
      <c r="G80" s="531" t="str">
        <f t="shared" si="134"/>
        <v/>
      </c>
      <c r="H80" s="531" t="str">
        <f>IF(A80="","",IF(Main!$F$22=Main!$CA$24,ROUND(G80*10%,0),IF(B80&lt;=$H$58,G80,"")))</f>
        <v/>
      </c>
      <c r="I80" s="531" t="str">
        <f t="shared" si="127"/>
        <v/>
      </c>
      <c r="J80" s="730" t="str">
        <f t="shared" si="128"/>
        <v/>
      </c>
      <c r="K80" s="739" t="str">
        <f t="shared" si="129"/>
        <v/>
      </c>
    </row>
    <row r="81" spans="1:11">
      <c r="A81" s="533" t="str">
        <f t="shared" si="125"/>
        <v/>
      </c>
      <c r="B81" s="484" t="str">
        <f>IF(A81="","",MIN(EOMONTH(A81,0),VLOOKUP(A81,'IN RPS-2015'!$O$164:$P$202,2,TRUE)-1,LOOKUP(A81,$E$47:$F$53)-1,IF(A81&lt;$B$2,$B$2-1,'IN RPS-2015'!$Q$9),IF(A81&lt;$B$3,$B$3-1,'IN RPS-2015'!$Q$9),IF(A81&lt;$B$4,$B$4-1,'IN RPS-2015'!$Q$9),LOOKUP(A81,$H$47:$I$53)))</f>
        <v/>
      </c>
      <c r="C81" s="529" t="str">
        <f>IF(A81="","",IF(AND($B$56&lt;'IN RPS-2015'!$C$11,'IN RPS-2015'!$B$3&gt;0),VLOOKUP(A81,'IN RPS-2015'!$P$164:$U$202,6,TRUE),VLOOKUP(A81,'IN RPS-2015'!$P$164:$U$202,5,TRUE)))</f>
        <v/>
      </c>
      <c r="D81" s="530" t="str">
        <f t="shared" si="126"/>
        <v/>
      </c>
      <c r="E81" s="531" t="str">
        <f>IF(A81="","",IF(C81=VLOOKUP(C81,'IN RPS-2015'!$I$2:$J$5,1),0,ROUND(D81*$C$56%,0)))</f>
        <v/>
      </c>
      <c r="F81" s="531" t="str">
        <f>IF(A81="","",IF(C81=VLOOKUP(C81,'IN RPS-2015'!$I$2:$J$5,1),0,ROUND(D81*$D$56%,0)))</f>
        <v/>
      </c>
      <c r="G81" s="531" t="str">
        <f t="shared" si="134"/>
        <v/>
      </c>
      <c r="H81" s="531" t="str">
        <f>IF(A81="","",IF(Main!$F$22=Main!$CA$24,ROUND(G81*10%,0),IF(B81&lt;=$H$58,G81,"")))</f>
        <v/>
      </c>
      <c r="I81" s="531" t="str">
        <f t="shared" si="127"/>
        <v/>
      </c>
      <c r="J81" s="730" t="str">
        <f t="shared" si="128"/>
        <v/>
      </c>
      <c r="K81" s="739" t="str">
        <f t="shared" si="129"/>
        <v/>
      </c>
    </row>
    <row r="82" spans="1:11">
      <c r="A82" s="533" t="str">
        <f t="shared" si="125"/>
        <v/>
      </c>
      <c r="B82" s="484" t="str">
        <f>IF(A82="","",MIN(EOMONTH(A82,0),VLOOKUP(A82,'IN RPS-2015'!$O$164:$P$202,2,TRUE)-1,LOOKUP(A82,$E$47:$F$53)-1,IF(A82&lt;$B$2,$B$2-1,'IN RPS-2015'!$Q$9),IF(A82&lt;$B$3,$B$3-1,'IN RPS-2015'!$Q$9),IF(A82&lt;$B$4,$B$4-1,'IN RPS-2015'!$Q$9),LOOKUP(A82,$H$47:$I$53)))</f>
        <v/>
      </c>
      <c r="C82" s="529" t="str">
        <f>IF(A82="","",IF(AND($B$56&lt;'IN RPS-2015'!$C$11,'IN RPS-2015'!$B$3&gt;0),VLOOKUP(A82,'IN RPS-2015'!$P$164:$U$202,6,TRUE),VLOOKUP(A82,'IN RPS-2015'!$P$164:$U$202,5,TRUE)))</f>
        <v/>
      </c>
      <c r="D82" s="530" t="str">
        <f t="shared" si="126"/>
        <v/>
      </c>
      <c r="E82" s="531" t="str">
        <f>IF(A82="","",IF(C82=VLOOKUP(C82,'IN RPS-2015'!$I$2:$J$5,1),0,ROUND(D82*$C$56%,0)))</f>
        <v/>
      </c>
      <c r="F82" s="531" t="str">
        <f>IF(A82="","",IF(C82=VLOOKUP(C82,'IN RPS-2015'!$I$2:$J$5,1),0,ROUND(D82*$D$56%,0)))</f>
        <v/>
      </c>
      <c r="G82" s="531" t="str">
        <f t="shared" si="134"/>
        <v/>
      </c>
      <c r="H82" s="531" t="str">
        <f>IF(A82="","",IF(Main!$F$22=Main!$CA$24,ROUND(G82*10%,0),IF(B82&lt;=$H$58,G82,"")))</f>
        <v/>
      </c>
      <c r="I82" s="531" t="str">
        <f t="shared" si="127"/>
        <v/>
      </c>
      <c r="J82" s="730" t="str">
        <f t="shared" si="128"/>
        <v/>
      </c>
      <c r="K82" s="739" t="str">
        <f t="shared" si="129"/>
        <v/>
      </c>
    </row>
    <row r="83" spans="1:11">
      <c r="A83" s="533" t="str">
        <f t="shared" si="125"/>
        <v/>
      </c>
      <c r="B83" s="484" t="str">
        <f>IF(A83="","",MIN(EOMONTH(A83,0),VLOOKUP(A83,'IN RPS-2015'!$O$164:$P$202,2,TRUE)-1,LOOKUP(A83,$E$47:$F$53)-1,IF(A83&lt;$B$2,$B$2-1,'IN RPS-2015'!$Q$9),IF(A83&lt;$B$3,$B$3-1,'IN RPS-2015'!$Q$9),IF(A83&lt;$B$4,$B$4-1,'IN RPS-2015'!$Q$9),LOOKUP(A83,$H$47:$I$53)))</f>
        <v/>
      </c>
      <c r="C83" s="529" t="str">
        <f>IF(A83="","",IF(AND($B$56&lt;'IN RPS-2015'!$C$11,'IN RPS-2015'!$B$3&gt;0),VLOOKUP(A83,'IN RPS-2015'!$P$164:$U$202,6,TRUE),VLOOKUP(A83,'IN RPS-2015'!$P$164:$U$202,5,TRUE)))</f>
        <v/>
      </c>
      <c r="D83" s="530" t="str">
        <f t="shared" si="126"/>
        <v/>
      </c>
      <c r="E83" s="531" t="str">
        <f>IF(A83="","",IF(C83=VLOOKUP(C83,'IN RPS-2015'!$I$2:$J$5,1),0,ROUND(D83*$C$56%,0)))</f>
        <v/>
      </c>
      <c r="F83" s="531" t="str">
        <f>IF(A83="","",IF(C83=VLOOKUP(C83,'IN RPS-2015'!$I$2:$J$5,1),0,ROUND(D83*$D$56%,0)))</f>
        <v/>
      </c>
      <c r="G83" s="531" t="str">
        <f t="shared" si="134"/>
        <v/>
      </c>
      <c r="H83" s="531" t="str">
        <f>IF(A83="","",IF(Main!$F$22=Main!$CA$24,ROUND(G83*10%,0),IF(B83&lt;=$H$58,G83,"")))</f>
        <v/>
      </c>
      <c r="I83" s="531" t="str">
        <f t="shared" si="127"/>
        <v/>
      </c>
      <c r="J83" s="730" t="str">
        <f t="shared" si="128"/>
        <v/>
      </c>
      <c r="K83" s="739" t="str">
        <f t="shared" si="129"/>
        <v/>
      </c>
    </row>
    <row r="84" spans="1:11">
      <c r="A84" s="533" t="str">
        <f t="shared" si="125"/>
        <v/>
      </c>
      <c r="B84" s="484" t="str">
        <f>IF(A84="","",MIN(EOMONTH(A84,0),VLOOKUP(A84,'IN RPS-2015'!$O$164:$P$202,2,TRUE)-1,LOOKUP(A84,$E$47:$F$53)-1,IF(A84&lt;$B$2,$B$2-1,'IN RPS-2015'!$Q$9),IF(A84&lt;$B$3,$B$3-1,'IN RPS-2015'!$Q$9),IF(A84&lt;$B$4,$B$4-1,'IN RPS-2015'!$Q$9),LOOKUP(A84,$H$47:$I$53)))</f>
        <v/>
      </c>
      <c r="C84" s="529" t="str">
        <f>IF(A84="","",IF(AND($B$56&lt;'IN RPS-2015'!$C$11,'IN RPS-2015'!$B$3&gt;0),VLOOKUP(A84,'IN RPS-2015'!$P$164:$U$202,6,TRUE),VLOOKUP(A84,'IN RPS-2015'!$P$164:$U$202,5,TRUE)))</f>
        <v/>
      </c>
      <c r="D84" s="530" t="str">
        <f t="shared" si="126"/>
        <v/>
      </c>
      <c r="E84" s="531" t="str">
        <f>IF(A84="","",IF(C84=VLOOKUP(C84,'IN RPS-2015'!$I$2:$J$5,1),0,ROUND(D84*$C$56%,0)))</f>
        <v/>
      </c>
      <c r="F84" s="531" t="str">
        <f>IF(A84="","",IF(C84=VLOOKUP(C84,'IN RPS-2015'!$I$2:$J$5,1),0,ROUND(D84*$D$56%,0)))</f>
        <v/>
      </c>
      <c r="G84" s="531" t="str">
        <f t="shared" si="134"/>
        <v/>
      </c>
      <c r="H84" s="531" t="str">
        <f>IF(A84="","",IF(Main!$F$22=Main!$CA$24,ROUND(G84*10%,0),IF(B84&lt;=$H$58,G84,"")))</f>
        <v/>
      </c>
      <c r="I84" s="531" t="str">
        <f t="shared" si="127"/>
        <v/>
      </c>
      <c r="J84" s="730" t="str">
        <f t="shared" si="128"/>
        <v/>
      </c>
      <c r="K84" s="739" t="str">
        <f t="shared" si="129"/>
        <v/>
      </c>
    </row>
    <row r="85" spans="1:11">
      <c r="A85" s="533" t="str">
        <f t="shared" si="125"/>
        <v/>
      </c>
      <c r="B85" s="484" t="str">
        <f>IF(A85="","",MIN(EOMONTH(A85,0),VLOOKUP(A85,'IN RPS-2015'!$O$164:$P$202,2,TRUE)-1,LOOKUP(A85,$E$47:$F$53)-1,IF(A85&lt;$B$2,$B$2-1,'IN RPS-2015'!$Q$9),IF(A85&lt;$B$3,$B$3-1,'IN RPS-2015'!$Q$9),IF(A85&lt;$B$4,$B$4-1,'IN RPS-2015'!$Q$9),LOOKUP(A85,$H$47:$I$53)))</f>
        <v/>
      </c>
      <c r="C85" s="529" t="str">
        <f>IF(A85="","",IF(AND($B$56&lt;'IN RPS-2015'!$C$11,'IN RPS-2015'!$B$3&gt;0),VLOOKUP(A85,'IN RPS-2015'!$P$164:$U$202,6,TRUE),VLOOKUP(A85,'IN RPS-2015'!$P$164:$U$202,5,TRUE)))</f>
        <v/>
      </c>
      <c r="D85" s="530" t="str">
        <f t="shared" si="126"/>
        <v/>
      </c>
      <c r="E85" s="531" t="str">
        <f>IF(A85="","",IF(C85=VLOOKUP(C85,'IN RPS-2015'!$I$2:$J$5,1),0,ROUND(D85*$C$56%,0)))</f>
        <v/>
      </c>
      <c r="F85" s="531" t="str">
        <f>IF(A85="","",IF(C85=VLOOKUP(C85,'IN RPS-2015'!$I$2:$J$5,1),0,ROUND(D85*$D$56%,0)))</f>
        <v/>
      </c>
      <c r="G85" s="531" t="str">
        <f t="shared" si="134"/>
        <v/>
      </c>
      <c r="H85" s="531" t="str">
        <f>IF(A85="","",IF(Main!$F$22=Main!$CA$24,ROUND(G85*10%,0),IF(B85&lt;=$H$58,G85,"")))</f>
        <v/>
      </c>
      <c r="I85" s="531" t="str">
        <f t="shared" si="127"/>
        <v/>
      </c>
      <c r="J85" s="730" t="str">
        <f t="shared" si="128"/>
        <v/>
      </c>
      <c r="K85" s="739" t="str">
        <f t="shared" si="129"/>
        <v/>
      </c>
    </row>
    <row r="86" spans="1:11">
      <c r="A86" s="533" t="str">
        <f t="shared" si="125"/>
        <v/>
      </c>
      <c r="B86" s="484" t="str">
        <f>IF(A86="","",MIN(EOMONTH(A86,0),VLOOKUP(A86,'IN RPS-2015'!$O$164:$P$202,2,TRUE)-1,LOOKUP(A86,$E$47:$F$53)-1,IF(A86&lt;$B$2,$B$2-1,'IN RPS-2015'!$Q$9),IF(A86&lt;$B$3,$B$3-1,'IN RPS-2015'!$Q$9),IF(A86&lt;$B$4,$B$4-1,'IN RPS-2015'!$Q$9),LOOKUP(A86,$H$47:$I$53)))</f>
        <v/>
      </c>
      <c r="C86" s="529" t="str">
        <f>IF(A86="","",IF(AND($B$56&lt;'IN RPS-2015'!$C$11,'IN RPS-2015'!$B$3&gt;0),VLOOKUP(A86,'IN RPS-2015'!$P$164:$U$202,6,TRUE),VLOOKUP(A86,'IN RPS-2015'!$P$164:$U$202,5,TRUE)))</f>
        <v/>
      </c>
      <c r="D86" s="530" t="str">
        <f t="shared" si="126"/>
        <v/>
      </c>
      <c r="E86" s="531" t="str">
        <f>IF(A86="","",IF(C86=VLOOKUP(C86,'IN RPS-2015'!$I$2:$J$5,1),0,ROUND(D86*$C$56%,0)))</f>
        <v/>
      </c>
      <c r="F86" s="531" t="str">
        <f>IF(A86="","",IF(C86=VLOOKUP(C86,'IN RPS-2015'!$I$2:$J$5,1),0,ROUND(D86*$D$56%,0)))</f>
        <v/>
      </c>
      <c r="G86" s="531" t="str">
        <f t="shared" si="134"/>
        <v/>
      </c>
      <c r="H86" s="531" t="str">
        <f>IF(A86="","",IF(Main!$F$22=Main!$CA$24,ROUND(G86*10%,0),IF(B86&lt;=$H$58,G86,"")))</f>
        <v/>
      </c>
      <c r="I86" s="531" t="str">
        <f t="shared" si="127"/>
        <v/>
      </c>
      <c r="J86" s="730" t="str">
        <f t="shared" si="128"/>
        <v/>
      </c>
      <c r="K86" s="739" t="str">
        <f t="shared" si="129"/>
        <v/>
      </c>
    </row>
    <row r="87" spans="1:11">
      <c r="A87" s="533" t="str">
        <f t="shared" si="125"/>
        <v/>
      </c>
      <c r="B87" s="484" t="str">
        <f>IF(A87="","",MIN(EOMONTH(A87,0),VLOOKUP(A87,'IN RPS-2015'!$O$164:$P$202,2,TRUE)-1,LOOKUP(A87,$E$47:$F$53)-1,IF(A87&lt;$B$2,$B$2-1,'IN RPS-2015'!$Q$9),IF(A87&lt;$B$3,$B$3-1,'IN RPS-2015'!$Q$9),IF(A87&lt;$B$4,$B$4-1,'IN RPS-2015'!$Q$9),LOOKUP(A87,$H$47:$I$53)))</f>
        <v/>
      </c>
      <c r="C87" s="529" t="str">
        <f>IF(A87="","",IF(AND($B$56&lt;'IN RPS-2015'!$C$11,'IN RPS-2015'!$B$3&gt;0),VLOOKUP(A87,'IN RPS-2015'!$P$164:$U$202,6,TRUE),VLOOKUP(A87,'IN RPS-2015'!$P$164:$U$202,5,TRUE)))</f>
        <v/>
      </c>
      <c r="D87" s="530" t="str">
        <f t="shared" si="126"/>
        <v/>
      </c>
      <c r="E87" s="531" t="str">
        <f>IF(A87="","",IF(C87=VLOOKUP(C87,'IN RPS-2015'!$I$2:$J$5,1),0,ROUND(D87*$C$56%,0)))</f>
        <v/>
      </c>
      <c r="F87" s="531" t="str">
        <f>IF(A87="","",IF(C87=VLOOKUP(C87,'IN RPS-2015'!$I$2:$J$5,1),0,ROUND(D87*$D$56%,0)))</f>
        <v/>
      </c>
      <c r="G87" s="531" t="str">
        <f t="shared" si="134"/>
        <v/>
      </c>
      <c r="H87" s="531" t="str">
        <f>IF(A87="","",IF(Main!$F$22=Main!$CA$24,ROUND(G87*10%,0),IF(B87&lt;=$H$58,G87,"")))</f>
        <v/>
      </c>
      <c r="I87" s="531" t="str">
        <f t="shared" si="127"/>
        <v/>
      </c>
      <c r="J87" s="730" t="str">
        <f t="shared" si="128"/>
        <v/>
      </c>
      <c r="K87" s="739" t="str">
        <f t="shared" si="129"/>
        <v/>
      </c>
    </row>
    <row r="88" spans="1:11">
      <c r="A88" s="533" t="str">
        <f t="shared" si="125"/>
        <v/>
      </c>
      <c r="B88" s="484" t="str">
        <f>IF(A88="","",MIN(EOMONTH(A88,0),VLOOKUP(A88,'IN RPS-2015'!$O$164:$P$202,2,TRUE)-1,LOOKUP(A88,$E$47:$F$53)-1,IF(A88&lt;$B$2,$B$2-1,'IN RPS-2015'!$Q$9),IF(A88&lt;$B$3,$B$3-1,'IN RPS-2015'!$Q$9),IF(A88&lt;$B$4,$B$4-1,'IN RPS-2015'!$Q$9),LOOKUP(A88,$H$47:$I$53)))</f>
        <v/>
      </c>
      <c r="C88" s="529" t="str">
        <f>IF(A88="","",IF(AND($B$56&lt;'IN RPS-2015'!$C$11,'IN RPS-2015'!$B$3&gt;0),VLOOKUP(A88,'IN RPS-2015'!$P$164:$U$202,6,TRUE),VLOOKUP(A88,'IN RPS-2015'!$P$164:$U$202,5,TRUE)))</f>
        <v/>
      </c>
      <c r="D88" s="530" t="str">
        <f t="shared" si="126"/>
        <v/>
      </c>
      <c r="E88" s="531" t="str">
        <f>IF(A88="","",IF(C88=VLOOKUP(C88,'IN RPS-2015'!$I$2:$J$5,1),0,ROUND(D88*$C$56%,0)))</f>
        <v/>
      </c>
      <c r="F88" s="531" t="str">
        <f>IF(A88="","",IF(C88=VLOOKUP(C88,'IN RPS-2015'!$I$2:$J$5,1),0,ROUND(D88*$D$56%,0)))</f>
        <v/>
      </c>
      <c r="G88" s="531" t="str">
        <f t="shared" si="134"/>
        <v/>
      </c>
      <c r="H88" s="531" t="str">
        <f>IF(A88="","",IF(Main!$F$22=Main!$CA$24,ROUND(G88*10%,0),IF(B88&lt;=$H$58,G88,"")))</f>
        <v/>
      </c>
      <c r="I88" s="531" t="str">
        <f t="shared" si="127"/>
        <v/>
      </c>
      <c r="J88" s="730" t="str">
        <f t="shared" si="128"/>
        <v/>
      </c>
      <c r="K88" s="739" t="str">
        <f t="shared" si="129"/>
        <v/>
      </c>
    </row>
    <row r="89" spans="1:11">
      <c r="A89" s="533" t="str">
        <f t="shared" si="125"/>
        <v/>
      </c>
      <c r="B89" s="484" t="str">
        <f>IF(A89="","",MIN(EOMONTH(A89,0),VLOOKUP(A89,'IN RPS-2015'!$O$164:$P$202,2,TRUE)-1,LOOKUP(A89,$E$47:$F$53)-1,IF(A89&lt;$B$2,$B$2-1,'IN RPS-2015'!$Q$9),IF(A89&lt;$B$3,$B$3-1,'IN RPS-2015'!$Q$9),IF(A89&lt;$B$4,$B$4-1,'IN RPS-2015'!$Q$9),LOOKUP(A89,$H$47:$I$53)))</f>
        <v/>
      </c>
      <c r="C89" s="529" t="str">
        <f>IF(A89="","",IF(AND($B$56&lt;'IN RPS-2015'!$C$11,'IN RPS-2015'!$B$3&gt;0),VLOOKUP(A89,'IN RPS-2015'!$P$164:$U$202,6,TRUE),VLOOKUP(A89,'IN RPS-2015'!$P$164:$U$202,5,TRUE)))</f>
        <v/>
      </c>
      <c r="D89" s="530" t="str">
        <f t="shared" si="126"/>
        <v/>
      </c>
      <c r="E89" s="531" t="str">
        <f>IF(A89="","",IF(C89=VLOOKUP(C89,'IN RPS-2015'!$I$2:$J$5,1),0,ROUND(D89*$C$56%,0)))</f>
        <v/>
      </c>
      <c r="F89" s="531" t="str">
        <f>IF(A89="","",IF(C89=VLOOKUP(C89,'IN RPS-2015'!$I$2:$J$5,1),0,ROUND(D89*$D$56%,0)))</f>
        <v/>
      </c>
      <c r="G89" s="531" t="str">
        <f t="shared" si="134"/>
        <v/>
      </c>
      <c r="H89" s="531" t="str">
        <f>IF(A89="","",IF(Main!$F$22=Main!$CA$24,ROUND(G89*10%,0),IF(B89&lt;=$H$58,G89,"")))</f>
        <v/>
      </c>
      <c r="I89" s="531" t="str">
        <f t="shared" si="127"/>
        <v/>
      </c>
      <c r="J89" s="730" t="str">
        <f t="shared" si="128"/>
        <v/>
      </c>
      <c r="K89" s="739" t="str">
        <f t="shared" si="129"/>
        <v/>
      </c>
    </row>
    <row r="90" spans="1:11">
      <c r="A90" s="533" t="str">
        <f t="shared" si="125"/>
        <v/>
      </c>
      <c r="B90" s="484" t="str">
        <f>IF(A90="","",MIN(EOMONTH(A90,0),VLOOKUP(A90,'IN RPS-2015'!$O$164:$P$202,2,TRUE)-1,LOOKUP(A90,$E$47:$F$53)-1,IF(A90&lt;$B$2,$B$2-1,'IN RPS-2015'!$Q$9),IF(A90&lt;$B$3,$B$3-1,'IN RPS-2015'!$Q$9),IF(A90&lt;$B$4,$B$4-1,'IN RPS-2015'!$Q$9),LOOKUP(A90,$H$47:$I$53)))</f>
        <v/>
      </c>
      <c r="C90" s="529" t="str">
        <f>IF(A90="","",IF(AND($B$56&lt;'IN RPS-2015'!$C$11,'IN RPS-2015'!$B$3&gt;0),VLOOKUP(A90,'IN RPS-2015'!$P$164:$U$202,6,TRUE),VLOOKUP(A90,'IN RPS-2015'!$P$164:$U$202,5,TRUE)))</f>
        <v/>
      </c>
      <c r="D90" s="530" t="str">
        <f t="shared" si="126"/>
        <v/>
      </c>
      <c r="E90" s="531" t="str">
        <f>IF(A90="","",IF(C90=VLOOKUP(C90,'IN RPS-2015'!$I$2:$J$5,1),0,ROUND(D90*$C$56%,0)))</f>
        <v/>
      </c>
      <c r="F90" s="531" t="str">
        <f>IF(A90="","",IF(C90=VLOOKUP(C90,'IN RPS-2015'!$I$2:$J$5,1),0,ROUND(D90*$D$56%,0)))</f>
        <v/>
      </c>
      <c r="G90" s="531" t="str">
        <f t="shared" si="134"/>
        <v/>
      </c>
      <c r="H90" s="531" t="str">
        <f>IF(A90="","",IF(Main!$F$22=Main!$CA$24,ROUND(G90*10%,0),IF(B90&lt;=$H$58,G90,"")))</f>
        <v/>
      </c>
      <c r="I90" s="531" t="str">
        <f t="shared" si="127"/>
        <v/>
      </c>
      <c r="J90" s="730" t="str">
        <f t="shared" si="128"/>
        <v/>
      </c>
      <c r="K90" s="739" t="str">
        <f t="shared" si="129"/>
        <v/>
      </c>
    </row>
    <row r="91" spans="1:11">
      <c r="A91" s="533" t="str">
        <f t="shared" si="125"/>
        <v/>
      </c>
      <c r="B91" s="484" t="str">
        <f>IF(A91="","",MIN(EOMONTH(A91,0),VLOOKUP(A91,'IN RPS-2015'!$O$164:$P$202,2,TRUE)-1,LOOKUP(A91,$E$47:$F$53)-1,IF(A91&lt;$B$2,$B$2-1,'IN RPS-2015'!$Q$9),IF(A91&lt;$B$3,$B$3-1,'IN RPS-2015'!$Q$9),IF(A91&lt;$B$4,$B$4-1,'IN RPS-2015'!$Q$9),LOOKUP(A91,$H$47:$I$53)))</f>
        <v/>
      </c>
      <c r="C91" s="529" t="str">
        <f>IF(A91="","",IF(AND($B$56&lt;'IN RPS-2015'!$C$11,'IN RPS-2015'!$B$3&gt;0),VLOOKUP(A91,'IN RPS-2015'!$P$164:$U$202,6,TRUE),VLOOKUP(A91,'IN RPS-2015'!$P$164:$U$202,5,TRUE)))</f>
        <v/>
      </c>
      <c r="D91" s="530" t="str">
        <f t="shared" si="126"/>
        <v/>
      </c>
      <c r="E91" s="531" t="str">
        <f>IF(A91="","",IF(C91=VLOOKUP(C91,'IN RPS-2015'!$I$2:$J$5,1),0,ROUND(D91*$C$56%,0)))</f>
        <v/>
      </c>
      <c r="F91" s="531" t="str">
        <f>IF(A91="","",IF(C91=VLOOKUP(C91,'IN RPS-2015'!$I$2:$J$5,1),0,ROUND(D91*$D$56%,0)))</f>
        <v/>
      </c>
      <c r="G91" s="531" t="str">
        <f t="shared" si="134"/>
        <v/>
      </c>
      <c r="H91" s="531" t="str">
        <f>IF(A91="","",IF(Main!$F$22=Main!$CA$24,ROUND(G91*10%,0),IF(B91&lt;=$H$58,G91,"")))</f>
        <v/>
      </c>
      <c r="I91" s="531" t="str">
        <f t="shared" si="127"/>
        <v/>
      </c>
      <c r="J91" s="730" t="str">
        <f t="shared" si="128"/>
        <v/>
      </c>
      <c r="K91" s="739" t="str">
        <f t="shared" si="129"/>
        <v/>
      </c>
    </row>
    <row r="92" spans="1:11">
      <c r="A92" s="533">
        <f>IF(AND($A$56&lt;=$F$23,$F$23&lt;=$B$56),$F$23,"")</f>
        <v>42156</v>
      </c>
      <c r="B92" s="534">
        <f>IF(A92="","",$F$23+$G$23-1)</f>
        <v>42170</v>
      </c>
      <c r="C92" s="529">
        <f>IF(A92="","",IF(AND($B$56&lt;'IN RPS-2015'!$C$11,'IN RPS-2015'!$B$3&gt;0),VLOOKUP(A92,'IN RPS-2015'!$P$164:$U$202,6,TRUE),VLOOKUP(A92,'IN RPS-2015'!$P$164:$U$202,5,TRUE)))</f>
        <v>53950</v>
      </c>
      <c r="D92" s="535">
        <f>IF(C92="","",IF($G$23=15,ROUND(C92/2,0),C92))</f>
        <v>26975</v>
      </c>
      <c r="E92" s="531">
        <f>IF(A92="","",IF(C92=VLOOKUP(C92,'IN RPS-2015'!$I$2:$J$5,1),0,ROUND(D92*$C$56%,0)))</f>
        <v>3251</v>
      </c>
      <c r="F92" s="531">
        <f>IF(A92="","",IF(C92=VLOOKUP(C92,'IN RPS-2015'!$I$2:$J$5,1),0,ROUND(D92*$D$56%,0)))</f>
        <v>2403</v>
      </c>
      <c r="G92" s="536">
        <f>IF(A92="","",E92-F92)</f>
        <v>848</v>
      </c>
      <c r="H92" s="531">
        <f>IF(A92="","",IF(Main!$F$22=Main!$CA$24,ROUND(G92*10%,0),IF(B92&lt;=$H$58,G92,"")))</f>
        <v>85</v>
      </c>
      <c r="I92" s="531">
        <f t="shared" si="127"/>
        <v>763</v>
      </c>
      <c r="J92" s="730">
        <f t="shared" si="128"/>
        <v>0</v>
      </c>
      <c r="K92" s="739">
        <f t="shared" si="129"/>
        <v>0</v>
      </c>
    </row>
    <row r="93" spans="1:11">
      <c r="A93" s="533" t="str">
        <f>IF(AND($A$56&lt;=$F$24,$F$24&lt;=$B$56),$F$24,"")</f>
        <v/>
      </c>
      <c r="B93" s="534" t="str">
        <f>IF(A93="","",$F$24+$G$24-1)</f>
        <v/>
      </c>
      <c r="C93" s="529" t="str">
        <f>IF(A93="","",IF(AND($B$56&lt;'IN RPS-2015'!$C$11,'IN RPS-2015'!$B$3&gt;0),VLOOKUP(A93,'IN RPS-2015'!$P$164:$U$202,6,TRUE),VLOOKUP(A93,'IN RPS-2015'!$P$164:$U$202,5,TRUE)))</f>
        <v/>
      </c>
      <c r="D93" s="535" t="str">
        <f>IF(C93="","",IF($G$24=15,ROUND(C93/2,0),C93))</f>
        <v/>
      </c>
      <c r="E93" s="531" t="str">
        <f>IF(A93="","",IF(C93=VLOOKUP(C93,'IN RPS-2015'!$I$2:$J$5,1),0,ROUND(D93*$C$56%,0)))</f>
        <v/>
      </c>
      <c r="F93" s="531" t="str">
        <f>IF(A93="","",IF(C93=VLOOKUP(C93,'IN RPS-2015'!$I$2:$J$5,1),0,ROUND(D93*$D$56%,0)))</f>
        <v/>
      </c>
      <c r="G93" s="536" t="str">
        <f>IF(A93="","",E93-F93)</f>
        <v/>
      </c>
      <c r="H93" s="531" t="str">
        <f>IF(A93="","",IF(Main!$F$22=Main!$CA$24,ROUND(G93*10%,0),IF(B93&lt;=$H$58,G93,"")))</f>
        <v/>
      </c>
      <c r="I93" s="531" t="str">
        <f t="shared" ref="I93" si="135">IF(A93="","",G93-H93)</f>
        <v/>
      </c>
      <c r="J93" s="730" t="str">
        <f t="shared" si="128"/>
        <v/>
      </c>
      <c r="K93" s="739" t="str">
        <f t="shared" si="129"/>
        <v/>
      </c>
    </row>
    <row r="94" spans="1:11">
      <c r="A94" s="519"/>
      <c r="B94" s="519"/>
      <c r="C94" s="529" t="str">
        <f>IF(A94="","",IF(AND($B$56&lt;'IN RPS-2015'!$C$11,'IN RPS-2015'!$B$3&gt;0),VLOOKUP(A94,'IN RPS-2015'!$P$164:$R$202,3,TRUE),VLOOKUP(A94,'IN RPS-2015'!$P$164:$R$202,2,TRUE)))</f>
        <v/>
      </c>
      <c r="D94" s="519"/>
      <c r="E94" s="519"/>
      <c r="F94" s="519"/>
      <c r="G94" s="519"/>
      <c r="H94" s="519"/>
      <c r="I94" s="519"/>
    </row>
    <row r="96" spans="1:11">
      <c r="A96" s="533">
        <v>42186</v>
      </c>
      <c r="B96" s="533">
        <f>IF(A96="","",MIN(EOMONTH(A96,0),VLOOKUP(A96,'IN RPS-2015'!$A$31:$B$41,2,TRUE),LOOKUP(A96,$E$47:$F$53)-1,LOOKUP(A96,$H$47:$I$53),LOOKUP(A96,$F$27:$G$30)-1))</f>
        <v>42216</v>
      </c>
      <c r="H96" s="505"/>
    </row>
    <row r="97" spans="1:11">
      <c r="H97" s="505" t="s">
        <v>1731</v>
      </c>
    </row>
    <row r="98" spans="1:11">
      <c r="A98" s="518" t="s">
        <v>1538</v>
      </c>
      <c r="B98" s="518" t="s">
        <v>28</v>
      </c>
      <c r="C98" s="518" t="s">
        <v>1386</v>
      </c>
      <c r="D98" s="518" t="s">
        <v>1385</v>
      </c>
      <c r="E98" s="519"/>
      <c r="F98" s="520"/>
      <c r="G98" s="537" t="s">
        <v>1550</v>
      </c>
      <c r="H98" s="518" t="s">
        <v>36</v>
      </c>
      <c r="I98" s="520"/>
    </row>
    <row r="99" spans="1:11">
      <c r="A99" s="521">
        <f>DATE(YEAR(L1),7,1)</f>
        <v>42186</v>
      </c>
      <c r="B99" s="522">
        <f>H11-1</f>
        <v>42460</v>
      </c>
      <c r="C99" s="523">
        <f>IF(B56&lt;G7,J11,I11)</f>
        <v>15.196</v>
      </c>
      <c r="D99" s="523">
        <f>IF(B56&lt;G7,J10,I10)</f>
        <v>12.052</v>
      </c>
      <c r="E99" s="519"/>
      <c r="F99" s="520">
        <f>'IN RPS-2015'!C9</f>
        <v>42461</v>
      </c>
      <c r="G99" s="538" t="str">
        <f>IF(B99&lt;F99,C101,0)</f>
        <v/>
      </c>
      <c r="H99" s="539" t="str">
        <f>IF(G99=0,0,F101)</f>
        <v/>
      </c>
      <c r="I99" s="519"/>
    </row>
    <row r="100" spans="1:11">
      <c r="A100" s="519"/>
      <c r="B100" s="519"/>
      <c r="C100" s="519"/>
      <c r="D100" s="519"/>
      <c r="E100" s="519"/>
      <c r="F100" s="519"/>
      <c r="G100" s="519"/>
      <c r="H100" s="519"/>
      <c r="I100" s="519"/>
      <c r="J100" s="505"/>
    </row>
    <row r="101" spans="1:11">
      <c r="A101" s="519" t="s">
        <v>1549</v>
      </c>
      <c r="B101" s="519"/>
      <c r="C101" s="523" t="str">
        <f>IF(M1&lt;B99,"",IF(Main!J19=Main!BG14,SUM(J103:J136),SUM(G103:G136)))</f>
        <v/>
      </c>
      <c r="D101" s="519" t="s">
        <v>36</v>
      </c>
      <c r="E101" s="519"/>
      <c r="F101" s="523" t="str">
        <f>IF(M1&lt;B99,"",IF(Main!J19=Main!BG14,SUM(K103:K136),SUM(H103:H136)))</f>
        <v/>
      </c>
      <c r="G101" s="525" t="s">
        <v>1544</v>
      </c>
      <c r="H101" s="516">
        <f>B99</f>
        <v>42460</v>
      </c>
      <c r="I101" s="519"/>
    </row>
    <row r="102" spans="1:11" ht="25.5">
      <c r="A102" s="519"/>
      <c r="B102" s="519"/>
      <c r="C102" s="526" t="s">
        <v>1545</v>
      </c>
      <c r="D102" s="527" t="s">
        <v>1546</v>
      </c>
      <c r="E102" s="526" t="s">
        <v>1540</v>
      </c>
      <c r="F102" s="526" t="s">
        <v>1541</v>
      </c>
      <c r="G102" s="526" t="s">
        <v>1542</v>
      </c>
      <c r="H102" s="526" t="s">
        <v>36</v>
      </c>
      <c r="I102" s="526" t="s">
        <v>1543</v>
      </c>
      <c r="J102" s="457" t="s">
        <v>1542</v>
      </c>
      <c r="K102" s="457" t="s">
        <v>1368</v>
      </c>
    </row>
    <row r="103" spans="1:11">
      <c r="A103" s="528">
        <f>A99</f>
        <v>42186</v>
      </c>
      <c r="B103" s="484">
        <f>IF(A103="","",MIN(EOMONTH(A103,0),VLOOKUP(A103,'IN RPS-2015'!$O$164:$P$202,2,TRUE)-1,LOOKUP(A103,$E$47:$F$53)-1,IF(A103&lt;$B$2,$B$2-1,'IN RPS-2015'!$Q$9),IF(A103&lt;$B$3,$B$3-1,'IN RPS-2015'!$Q$9),IF(A103&lt;$B$4,$B$4-1,'IN RPS-2015'!$Q$9),LOOKUP(A103,$H$47:$I$53)))</f>
        <v>42216</v>
      </c>
      <c r="C103" s="529">
        <f>IF(A103="","",IF(AND($B$99&lt;'IN RPS-2015'!$C$11,'IN RPS-2015'!$B$3&gt;0),VLOOKUP(A103,'IN RPS-2015'!$P$164:$W$202,8,TRUE),VLOOKUP(A103,'IN RPS-2015'!$P$164:$W$202,7,TRUE)))</f>
        <v>53950</v>
      </c>
      <c r="D103" s="530">
        <f>IF(C103="","",IF(OR(AND(A103=$E$48,$G$48=3),AND(A103=$E$49,$G$49=3),AND(A103=$E$50,$G$50=3),AND(A103=$E$51,$G$51=3),AND(A103=$E$52,$G$52=3),AND(A103=$E$53,$G$53=3)),0,IF(OR(AND(A103=$E$48,$G$48=2),AND(A103=$E$49,$G$49=2),AND(A103=$E$50,$G$50=2),AND(A103=$E$51,$G$51=2),AND(A103=$E$52,$G$52=2),AND(A103=$E$53,$G$53=2)),ROUND((C103/2)*(DAY(B103)-DAY(A103)+1)/DAY(EOMONTH(A103,0)),0),ROUND((C103)*(DAY(B103)-DAY(A103)+1)/DAY(EOMONTH(A103,0)),0))))</f>
        <v>53950</v>
      </c>
      <c r="E103" s="531">
        <f>IF(A103="","",IF(C103=VLOOKUP(C103,'IN RPS-2015'!$I$2:$J$5,1),0,ROUND(D103*$C$99%,0)))</f>
        <v>8198</v>
      </c>
      <c r="F103" s="531">
        <f>IF(A103="","",IF(C103=VLOOKUP(C103,'IN RPS-2015'!$I$2:$J$5,1),0,ROUND(D103*$D$99%,0)))</f>
        <v>6502</v>
      </c>
      <c r="G103" s="531">
        <f>IF(A103="","",E103-F103)</f>
        <v>1696</v>
      </c>
      <c r="H103" s="531">
        <f>IF(A103="","",IF(Main!$F$22=Main!$CA$24,ROUND(G103*10%,0),IF(B103&lt;=$H$101,G103,"")))</f>
        <v>170</v>
      </c>
      <c r="I103" s="531">
        <f>IF(A103="","",IF(H103="",G103,G103-H103))</f>
        <v>1526</v>
      </c>
      <c r="J103" s="735">
        <f>IF(A103="","",IF(A103&lt;$H$101,0,G103))</f>
        <v>0</v>
      </c>
      <c r="K103" s="739">
        <f>IF(A103="","",IF(A103&lt;$H$101,0,H103))</f>
        <v>0</v>
      </c>
    </row>
    <row r="104" spans="1:11">
      <c r="A104" s="533">
        <f>IF(B103="","",IF(B103&lt;$B$99,B103+1,""))</f>
        <v>42217</v>
      </c>
      <c r="B104" s="484">
        <f>IF(A104="","",MIN(EOMONTH(A104,0),VLOOKUP(A104,'IN RPS-2015'!$O$164:$P$202,2,TRUE)-1,LOOKUP(A104,$E$47:$F$53)-1,IF(A104&lt;$B$2,$B$2-1,'IN RPS-2015'!$Q$9),IF(A104&lt;$B$3,$B$3-1,'IN RPS-2015'!$Q$9),IF(A104&lt;$B$4,$B$4-1,'IN RPS-2015'!$Q$9),LOOKUP(A104,$H$47:$I$53)))</f>
        <v>42247</v>
      </c>
      <c r="C104" s="529">
        <f>IF(A104="","",IF(AND($B$99&lt;'IN RPS-2015'!$C$11,'IN RPS-2015'!$B$3&gt;0),VLOOKUP(A104,'IN RPS-2015'!$P$164:$W$202,8,TRUE),VLOOKUP(A104,'IN RPS-2015'!$P$164:$W$202,7,TRUE)))</f>
        <v>53950</v>
      </c>
      <c r="D104" s="530">
        <f>IF(C104="","",IF(OR(AND(A104=$E$48,$G$48=3),AND(A104=$E$49,$G$49=3),AND(A104=$E$50,$G$50=3),AND(A104=$E$51,$G$51=3),AND(A104=$E$52,$G$52=3),AND(A104=$E$53,$G$53=3)),0,IF(OR(AND(A104=$E$48,$G$48=2),AND(A104=$E$49,$G$49=2),AND(A104=$E$50,$G$50=2),AND(A104=$E$51,$G$51=2),AND(A104=$E$52,$G$52=2),AND(A104=$E$53,$G$53=2)),ROUND((C104/2)*(DAY(B104)-DAY(A104)+1)/DAY(EOMONTH(A104,0)),0),ROUND((C104)*(DAY(B104)-DAY(A104)+1)/DAY(EOMONTH(A104,0)),0))))</f>
        <v>53950</v>
      </c>
      <c r="E104" s="531">
        <f>IF(A104="","",IF(C104=VLOOKUP(C104,'IN RPS-2015'!$I$2:$J$5,1),0,ROUND(D104*$C$99%,0)))</f>
        <v>8198</v>
      </c>
      <c r="F104" s="531">
        <f>IF(A104="","",IF(C104=VLOOKUP(C104,'IN RPS-2015'!$I$2:$J$5,1),0,ROUND(D104*$D$99%,0)))</f>
        <v>6502</v>
      </c>
      <c r="G104" s="531">
        <f t="shared" ref="G104:G136" si="136">IF(A104="","",E104-F104)</f>
        <v>1696</v>
      </c>
      <c r="H104" s="531">
        <f>IF(A104="","",IF(Main!$F$22=Main!$CA$24,ROUND(G104*10%,0),IF(B104&lt;=$H$101,G104,"")))</f>
        <v>170</v>
      </c>
      <c r="I104" s="531">
        <f t="shared" ref="I104:I136" si="137">IF(A104="","",IF(H104="",G104,G104-H104))</f>
        <v>1526</v>
      </c>
      <c r="J104" s="735">
        <f t="shared" ref="J104:J136" si="138">IF(A104="","",IF(A104&lt;$H$101,0,G104))</f>
        <v>0</v>
      </c>
      <c r="K104" s="739">
        <f t="shared" ref="K104:K136" si="139">IF(A104="","",IF(A104&lt;$H$101,0,H104))</f>
        <v>0</v>
      </c>
    </row>
    <row r="105" spans="1:11">
      <c r="A105" s="533">
        <f t="shared" ref="A105:A134" si="140">IF(B104="","",IF(B104&lt;$B$99,B104+1,""))</f>
        <v>42248</v>
      </c>
      <c r="B105" s="484">
        <f>IF(A105="","",MIN(EOMONTH(A105,0),VLOOKUP(A105,'IN RPS-2015'!$O$164:$P$202,2,TRUE)-1,LOOKUP(A105,$E$47:$F$53)-1,IF(A105&lt;$B$2,$B$2-1,'IN RPS-2015'!$Q$9),IF(A105&lt;$B$3,$B$3-1,'IN RPS-2015'!$Q$9),IF(A105&lt;$B$4,$B$4-1,'IN RPS-2015'!$Q$9),LOOKUP(A105,$H$47:$I$53)))</f>
        <v>42277</v>
      </c>
      <c r="C105" s="529">
        <f>IF(A105="","",IF(AND($B$99&lt;'IN RPS-2015'!$C$11,'IN RPS-2015'!$B$3&gt;0),VLOOKUP(A105,'IN RPS-2015'!$P$164:$W$202,8,TRUE),VLOOKUP(A105,'IN RPS-2015'!$P$164:$W$202,7,TRUE)))</f>
        <v>55410</v>
      </c>
      <c r="D105" s="530">
        <f t="shared" ref="D105:D134" si="141">IF(C105="","",IF(OR(AND(A105=$E$48,$G$48=3),AND(A105=$E$49,$G$49=3),AND(A105=$E$50,$G$50=3),AND(A105=$E$51,$G$51=3),AND(A105=$E$52,$G$52=3),AND(A105=$E$53,$G$53=3)),0,IF(OR(AND(A105=$E$48,$G$48=2),AND(A105=$E$49,$G$49=2),AND(A105=$E$50,$G$50=2),AND(A105=$E$51,$G$51=2),AND(A105=$E$52,$G$52=2),AND(A105=$E$53,$G$53=2)),ROUND((C105/2)*(DAY(B105)-DAY(A105)+1)/DAY(EOMONTH(A105,0)),0),ROUND((C105)*(DAY(B105)-DAY(A105)+1)/DAY(EOMONTH(A105,0)),0))))</f>
        <v>55410</v>
      </c>
      <c r="E105" s="531">
        <f>IF(A105="","",IF(C105=VLOOKUP(C105,'IN RPS-2015'!$I$2:$J$5,1),0,ROUND(D105*$C$99%,0)))</f>
        <v>8420</v>
      </c>
      <c r="F105" s="531">
        <f>IF(A105="","",IF(C105=VLOOKUP(C105,'IN RPS-2015'!$I$2:$J$5,1),0,ROUND(D105*$D$99%,0)))</f>
        <v>6678</v>
      </c>
      <c r="G105" s="531">
        <f t="shared" si="136"/>
        <v>1742</v>
      </c>
      <c r="H105" s="531">
        <f>IF(A105="","",IF(Main!$F$22=Main!$CA$24,ROUND(G105*10%,0),IF(B105&lt;=$H$101,G105,"")))</f>
        <v>174</v>
      </c>
      <c r="I105" s="531">
        <f t="shared" si="137"/>
        <v>1568</v>
      </c>
      <c r="J105" s="735">
        <f t="shared" si="138"/>
        <v>0</v>
      </c>
      <c r="K105" s="739">
        <f t="shared" si="139"/>
        <v>0</v>
      </c>
    </row>
    <row r="106" spans="1:11">
      <c r="A106" s="533">
        <f t="shared" si="140"/>
        <v>42278</v>
      </c>
      <c r="B106" s="484">
        <f>IF(A106="","",MIN(EOMONTH(A106,0),VLOOKUP(A106,'IN RPS-2015'!$O$164:$P$202,2,TRUE)-1,LOOKUP(A106,$E$47:$F$53)-1,IF(A106&lt;$B$2,$B$2-1,'IN RPS-2015'!$Q$9),IF(A106&lt;$B$3,$B$3-1,'IN RPS-2015'!$Q$9),IF(A106&lt;$B$4,$B$4-1,'IN RPS-2015'!$Q$9),LOOKUP(A106,$H$47:$I$53)))</f>
        <v>42308</v>
      </c>
      <c r="C106" s="529">
        <f>IF(A106="","",IF(AND($B$99&lt;'IN RPS-2015'!$C$11,'IN RPS-2015'!$B$3&gt;0),VLOOKUP(A106,'IN RPS-2015'!$P$164:$W$202,8,TRUE),VLOOKUP(A106,'IN RPS-2015'!$P$164:$W$202,7,TRUE)))</f>
        <v>55410</v>
      </c>
      <c r="D106" s="530">
        <f t="shared" si="141"/>
        <v>55410</v>
      </c>
      <c r="E106" s="531">
        <f>IF(A106="","",IF(C106=VLOOKUP(C106,'IN RPS-2015'!$I$2:$J$5,1),0,ROUND(D106*$C$99%,0)))</f>
        <v>8420</v>
      </c>
      <c r="F106" s="531">
        <f>IF(A106="","",IF(C106=VLOOKUP(C106,'IN RPS-2015'!$I$2:$J$5,1),0,ROUND(D106*$D$99%,0)))</f>
        <v>6678</v>
      </c>
      <c r="G106" s="531">
        <f t="shared" si="136"/>
        <v>1742</v>
      </c>
      <c r="H106" s="531">
        <f>IF(A106="","",IF(Main!$F$22=Main!$CA$24,ROUND(G106*10%,0),IF(B106&lt;=$H$101,G106,"")))</f>
        <v>174</v>
      </c>
      <c r="I106" s="531">
        <f t="shared" si="137"/>
        <v>1568</v>
      </c>
      <c r="J106" s="735">
        <f t="shared" si="138"/>
        <v>0</v>
      </c>
      <c r="K106" s="739">
        <f t="shared" si="139"/>
        <v>0</v>
      </c>
    </row>
    <row r="107" spans="1:11">
      <c r="A107" s="533">
        <f t="shared" si="140"/>
        <v>42309</v>
      </c>
      <c r="B107" s="484">
        <f>IF(A107="","",MIN(EOMONTH(A107,0),VLOOKUP(A107,'IN RPS-2015'!$O$164:$P$202,2,TRUE)-1,LOOKUP(A107,$E$47:$F$53)-1,IF(A107&lt;$B$2,$B$2-1,'IN RPS-2015'!$Q$9),IF(A107&lt;$B$3,$B$3-1,'IN RPS-2015'!$Q$9),IF(A107&lt;$B$4,$B$4-1,'IN RPS-2015'!$Q$9),LOOKUP(A107,$H$47:$I$53)))</f>
        <v>42338</v>
      </c>
      <c r="C107" s="529">
        <f>IF(A107="","",IF(AND($B$99&lt;'IN RPS-2015'!$C$11,'IN RPS-2015'!$B$3&gt;0),VLOOKUP(A107,'IN RPS-2015'!$P$164:$W$202,8,TRUE),VLOOKUP(A107,'IN RPS-2015'!$P$164:$W$202,7,TRUE)))</f>
        <v>55410</v>
      </c>
      <c r="D107" s="530">
        <f t="shared" si="141"/>
        <v>55410</v>
      </c>
      <c r="E107" s="531">
        <f>IF(A107="","",IF(C107=VLOOKUP(C107,'IN RPS-2015'!$I$2:$J$5,1),0,ROUND(D107*$C$99%,0)))</f>
        <v>8420</v>
      </c>
      <c r="F107" s="531">
        <f>IF(A107="","",IF(C107=VLOOKUP(C107,'IN RPS-2015'!$I$2:$J$5,1),0,ROUND(D107*$D$99%,0)))</f>
        <v>6678</v>
      </c>
      <c r="G107" s="531">
        <f t="shared" si="136"/>
        <v>1742</v>
      </c>
      <c r="H107" s="531">
        <f>IF(A107="","",IF(Main!$F$22=Main!$CA$24,ROUND(G107*10%,0),IF(B107&lt;=$H$101,G107,"")))</f>
        <v>174</v>
      </c>
      <c r="I107" s="531">
        <f t="shared" si="137"/>
        <v>1568</v>
      </c>
      <c r="J107" s="735">
        <f t="shared" si="138"/>
        <v>0</v>
      </c>
      <c r="K107" s="739">
        <f t="shared" si="139"/>
        <v>0</v>
      </c>
    </row>
    <row r="108" spans="1:11">
      <c r="A108" s="533">
        <f t="shared" si="140"/>
        <v>42339</v>
      </c>
      <c r="B108" s="484">
        <f>IF(A108="","",MIN(EOMONTH(A108,0),VLOOKUP(A108,'IN RPS-2015'!$O$164:$P$202,2,TRUE)-1,LOOKUP(A108,$E$47:$F$53)-1,IF(A108&lt;$B$2,$B$2-1,'IN RPS-2015'!$Q$9),IF(A108&lt;$B$3,$B$3-1,'IN RPS-2015'!$Q$9),IF(A108&lt;$B$4,$B$4-1,'IN RPS-2015'!$Q$9),LOOKUP(A108,$H$47:$I$53)))</f>
        <v>42369</v>
      </c>
      <c r="C108" s="529">
        <f>IF(A108="","",IF(AND($B$99&lt;'IN RPS-2015'!$C$11,'IN RPS-2015'!$B$3&gt;0),VLOOKUP(A108,'IN RPS-2015'!$P$164:$W$202,8,TRUE),VLOOKUP(A108,'IN RPS-2015'!$P$164:$W$202,7,TRUE)))</f>
        <v>55410</v>
      </c>
      <c r="D108" s="530">
        <f t="shared" si="141"/>
        <v>55410</v>
      </c>
      <c r="E108" s="531">
        <f>IF(A108="","",IF(C108=VLOOKUP(C108,'IN RPS-2015'!$I$2:$J$5,1),0,ROUND(D108*$C$99%,0)))</f>
        <v>8420</v>
      </c>
      <c r="F108" s="531">
        <f>IF(A108="","",IF(C108=VLOOKUP(C108,'IN RPS-2015'!$I$2:$J$5,1),0,ROUND(D108*$D$99%,0)))</f>
        <v>6678</v>
      </c>
      <c r="G108" s="531">
        <f t="shared" si="136"/>
        <v>1742</v>
      </c>
      <c r="H108" s="531">
        <f>IF(A108="","",IF(Main!$F$22=Main!$CA$24,ROUND(G108*10%,0),IF(B108&lt;=$H$101,G108,"")))</f>
        <v>174</v>
      </c>
      <c r="I108" s="531">
        <f t="shared" si="137"/>
        <v>1568</v>
      </c>
      <c r="J108" s="735">
        <f t="shared" si="138"/>
        <v>0</v>
      </c>
      <c r="K108" s="739">
        <f t="shared" si="139"/>
        <v>0</v>
      </c>
    </row>
    <row r="109" spans="1:11">
      <c r="A109" s="533">
        <f t="shared" si="140"/>
        <v>42370</v>
      </c>
      <c r="B109" s="484">
        <f>IF(A109="","",MIN(EOMONTH(A109,0),VLOOKUP(A109,'IN RPS-2015'!$O$164:$P$202,2,TRUE)-1,LOOKUP(A109,$E$47:$F$53)-1,IF(A109&lt;$B$2,$B$2-1,'IN RPS-2015'!$Q$9),IF(A109&lt;$B$3,$B$3-1,'IN RPS-2015'!$Q$9),IF(A109&lt;$B$4,$B$4-1,'IN RPS-2015'!$Q$9),LOOKUP(A109,$H$47:$I$53)))</f>
        <v>42400</v>
      </c>
      <c r="C109" s="529">
        <f>IF(A109="","",IF(AND($B$99&lt;'IN RPS-2015'!$C$11,'IN RPS-2015'!$B$3&gt;0),VLOOKUP(A109,'IN RPS-2015'!$P$164:$W$202,8,TRUE),VLOOKUP(A109,'IN RPS-2015'!$P$164:$W$202,7,TRUE)))</f>
        <v>55410</v>
      </c>
      <c r="D109" s="530">
        <f t="shared" si="141"/>
        <v>55410</v>
      </c>
      <c r="E109" s="531">
        <f>IF(A109="","",IF(C109=VLOOKUP(C109,'IN RPS-2015'!$I$2:$J$5,1),0,ROUND(D109*$C$99%,0)))</f>
        <v>8420</v>
      </c>
      <c r="F109" s="531">
        <f>IF(A109="","",IF(C109=VLOOKUP(C109,'IN RPS-2015'!$I$2:$J$5,1),0,ROUND(D109*$D$99%,0)))</f>
        <v>6678</v>
      </c>
      <c r="G109" s="531">
        <f t="shared" si="136"/>
        <v>1742</v>
      </c>
      <c r="H109" s="531">
        <f>IF(A109="","",IF(Main!$F$22=Main!$CA$24,ROUND(G109*10%,0),IF(B109&lt;=$H$101,G109,"")))</f>
        <v>174</v>
      </c>
      <c r="I109" s="531">
        <f t="shared" si="137"/>
        <v>1568</v>
      </c>
      <c r="J109" s="735">
        <f t="shared" si="138"/>
        <v>0</v>
      </c>
      <c r="K109" s="739">
        <f t="shared" si="139"/>
        <v>0</v>
      </c>
    </row>
    <row r="110" spans="1:11">
      <c r="A110" s="533">
        <f t="shared" si="140"/>
        <v>42401</v>
      </c>
      <c r="B110" s="484">
        <f>IF(A110="","",MIN(EOMONTH(A110,0),VLOOKUP(A110,'IN RPS-2015'!$O$164:$P$202,2,TRUE)-1,LOOKUP(A110,$E$47:$F$53)-1,IF(A110&lt;$B$2,$B$2-1,'IN RPS-2015'!$Q$9),IF(A110&lt;$B$3,$B$3-1,'IN RPS-2015'!$Q$9),IF(A110&lt;$B$4,$B$4-1,'IN RPS-2015'!$Q$9),LOOKUP(A110,$H$47:$I$53)))</f>
        <v>42429</v>
      </c>
      <c r="C110" s="529">
        <f>IF(A110="","",IF(AND($B$99&lt;'IN RPS-2015'!$C$11,'IN RPS-2015'!$B$3&gt;0),VLOOKUP(A110,'IN RPS-2015'!$P$164:$W$202,8,TRUE),VLOOKUP(A110,'IN RPS-2015'!$P$164:$W$202,7,TRUE)))</f>
        <v>55410</v>
      </c>
      <c r="D110" s="530">
        <f t="shared" si="141"/>
        <v>55410</v>
      </c>
      <c r="E110" s="531">
        <f>IF(A110="","",IF(C110=VLOOKUP(C110,'IN RPS-2015'!$I$2:$J$5,1),0,ROUND(D110*$C$99%,0)))</f>
        <v>8420</v>
      </c>
      <c r="F110" s="531">
        <f>IF(A110="","",IF(C110=VLOOKUP(C110,'IN RPS-2015'!$I$2:$J$5,1),0,ROUND(D110*$D$99%,0)))</f>
        <v>6678</v>
      </c>
      <c r="G110" s="531">
        <f t="shared" si="136"/>
        <v>1742</v>
      </c>
      <c r="H110" s="531">
        <f>IF(A110="","",IF(Main!$F$22=Main!$CA$24,ROUND(G110*10%,0),IF(B110&lt;=$H$101,G110,"")))</f>
        <v>174</v>
      </c>
      <c r="I110" s="531">
        <f t="shared" si="137"/>
        <v>1568</v>
      </c>
      <c r="J110" s="735">
        <f t="shared" si="138"/>
        <v>0</v>
      </c>
      <c r="K110" s="739">
        <f t="shared" si="139"/>
        <v>0</v>
      </c>
    </row>
    <row r="111" spans="1:11">
      <c r="A111" s="533">
        <f t="shared" si="140"/>
        <v>42430</v>
      </c>
      <c r="B111" s="484">
        <f>IF(A111="","",MIN(EOMONTH(A111,0),VLOOKUP(A111,'IN RPS-2015'!$O$164:$P$202,2,TRUE)-1,LOOKUP(A111,$E$47:$F$53)-1,IF(A111&lt;$B$2,$B$2-1,'IN RPS-2015'!$Q$9),IF(A111&lt;$B$3,$B$3-1,'IN RPS-2015'!$Q$9),IF(A111&lt;$B$4,$B$4-1,'IN RPS-2015'!$Q$9),LOOKUP(A111,$H$47:$I$53)))</f>
        <v>42460</v>
      </c>
      <c r="C111" s="529">
        <f>IF(A111="","",IF(AND($B$99&lt;'IN RPS-2015'!$C$11,'IN RPS-2015'!$B$3&gt;0),VLOOKUP(A111,'IN RPS-2015'!$P$164:$W$202,8,TRUE),VLOOKUP(A111,'IN RPS-2015'!$P$164:$W$202,7,TRUE)))</f>
        <v>55410</v>
      </c>
      <c r="D111" s="530">
        <f t="shared" si="141"/>
        <v>55410</v>
      </c>
      <c r="E111" s="531">
        <f>IF(A111="","",IF(C111=VLOOKUP(C111,'IN RPS-2015'!$I$2:$J$5,1),0,ROUND(D111*$C$99%,0)))</f>
        <v>8420</v>
      </c>
      <c r="F111" s="531">
        <f>IF(A111="","",IF(C111=VLOOKUP(C111,'IN RPS-2015'!$I$2:$J$5,1),0,ROUND(D111*$D$99%,0)))</f>
        <v>6678</v>
      </c>
      <c r="G111" s="531">
        <f t="shared" si="136"/>
        <v>1742</v>
      </c>
      <c r="H111" s="531">
        <f>IF(A111="","",IF(Main!$F$22=Main!$CA$24,ROUND(G111*10%,0),IF(B111&lt;=$H$101,G111,"")))</f>
        <v>174</v>
      </c>
      <c r="I111" s="531">
        <f t="shared" si="137"/>
        <v>1568</v>
      </c>
      <c r="J111" s="735">
        <f t="shared" si="138"/>
        <v>0</v>
      </c>
      <c r="K111" s="739">
        <f t="shared" si="139"/>
        <v>0</v>
      </c>
    </row>
    <row r="112" spans="1:11">
      <c r="A112" s="533" t="str">
        <f t="shared" si="140"/>
        <v/>
      </c>
      <c r="B112" s="484" t="str">
        <f>IF(A112="","",MIN(EOMONTH(A112,0),VLOOKUP(A112,'IN RPS-2015'!$O$164:$P$202,2,TRUE)-1,LOOKUP(A112,$E$47:$F$53)-1,IF(A112&lt;$B$2,$B$2-1,'IN RPS-2015'!$Q$9),IF(A112&lt;$B$3,$B$3-1,'IN RPS-2015'!$Q$9),IF(A112&lt;$B$4,$B$4-1,'IN RPS-2015'!$Q$9),LOOKUP(A112,$H$47:$I$53)))</f>
        <v/>
      </c>
      <c r="C112" s="529" t="str">
        <f>IF(A112="","",IF(AND($B$99&lt;'IN RPS-2015'!$C$11,'IN RPS-2015'!$B$3&gt;0),VLOOKUP(A112,'IN RPS-2015'!$P$164:$W$202,8,TRUE),VLOOKUP(A112,'IN RPS-2015'!$P$164:$W$202,7,TRUE)))</f>
        <v/>
      </c>
      <c r="D112" s="530" t="str">
        <f t="shared" si="141"/>
        <v/>
      </c>
      <c r="E112" s="531" t="str">
        <f>IF(A112="","",IF(C112=VLOOKUP(C112,'IN RPS-2015'!$I$2:$J$5,1),0,ROUND(D112*$C$99%,0)))</f>
        <v/>
      </c>
      <c r="F112" s="531" t="str">
        <f>IF(A112="","",IF(C112=VLOOKUP(C112,'IN RPS-2015'!$I$2:$J$5,1),0,ROUND(D112*$D$99%,0)))</f>
        <v/>
      </c>
      <c r="G112" s="531" t="str">
        <f t="shared" si="136"/>
        <v/>
      </c>
      <c r="H112" s="531" t="str">
        <f>IF(A112="","",IF(Main!$F$22=Main!$CA$24,ROUND(G112*10%,0),IF(B112&lt;=$H$101,G112,"")))</f>
        <v/>
      </c>
      <c r="I112" s="531" t="str">
        <f t="shared" si="137"/>
        <v/>
      </c>
      <c r="J112" s="735" t="str">
        <f t="shared" si="138"/>
        <v/>
      </c>
      <c r="K112" s="739" t="str">
        <f t="shared" si="139"/>
        <v/>
      </c>
    </row>
    <row r="113" spans="1:11">
      <c r="A113" s="533" t="str">
        <f t="shared" si="140"/>
        <v/>
      </c>
      <c r="B113" s="484" t="str">
        <f>IF(A113="","",MIN(EOMONTH(A113,0),VLOOKUP(A113,'IN RPS-2015'!$O$164:$P$202,2,TRUE)-1,LOOKUP(A113,$E$47:$F$53)-1,IF(A113&lt;$B$2,$B$2-1,'IN RPS-2015'!$Q$9),IF(A113&lt;$B$3,$B$3-1,'IN RPS-2015'!$Q$9),IF(A113&lt;$B$4,$B$4-1,'IN RPS-2015'!$Q$9),LOOKUP(A113,$H$47:$I$53)))</f>
        <v/>
      </c>
      <c r="C113" s="529" t="str">
        <f>IF(A113="","",IF(AND($B$99&lt;'IN RPS-2015'!$C$11,'IN RPS-2015'!$B$3&gt;0),VLOOKUP(A113,'IN RPS-2015'!$P$164:$W$202,8,TRUE),VLOOKUP(A113,'IN RPS-2015'!$P$164:$W$202,7,TRUE)))</f>
        <v/>
      </c>
      <c r="D113" s="530" t="str">
        <f t="shared" si="141"/>
        <v/>
      </c>
      <c r="E113" s="531" t="str">
        <f>IF(A113="","",IF(C113=VLOOKUP(C113,'IN RPS-2015'!$I$2:$J$5,1),0,ROUND(D113*$C$99%,0)))</f>
        <v/>
      </c>
      <c r="F113" s="531" t="str">
        <f>IF(A113="","",IF(C113=VLOOKUP(C113,'IN RPS-2015'!$I$2:$J$5,1),0,ROUND(D113*$D$99%,0)))</f>
        <v/>
      </c>
      <c r="G113" s="531" t="str">
        <f t="shared" si="136"/>
        <v/>
      </c>
      <c r="H113" s="531" t="str">
        <f>IF(A113="","",IF(Main!$F$22=Main!$CA$24,ROUND(G113*10%,0),IF(B113&lt;=$H$101,G113,"")))</f>
        <v/>
      </c>
      <c r="I113" s="531" t="str">
        <f t="shared" si="137"/>
        <v/>
      </c>
      <c r="J113" s="735" t="str">
        <f t="shared" si="138"/>
        <v/>
      </c>
      <c r="K113" s="739" t="str">
        <f t="shared" si="139"/>
        <v/>
      </c>
    </row>
    <row r="114" spans="1:11">
      <c r="A114" s="533" t="str">
        <f t="shared" si="140"/>
        <v/>
      </c>
      <c r="B114" s="484" t="str">
        <f>IF(A114="","",MIN(EOMONTH(A114,0),VLOOKUP(A114,'IN RPS-2015'!$O$164:$P$202,2,TRUE)-1,LOOKUP(A114,$E$47:$F$53)-1,IF(A114&lt;$B$2,$B$2-1,'IN RPS-2015'!$Q$9),IF(A114&lt;$B$3,$B$3-1,'IN RPS-2015'!$Q$9),IF(A114&lt;$B$4,$B$4-1,'IN RPS-2015'!$Q$9),LOOKUP(A114,$H$47:$I$53)))</f>
        <v/>
      </c>
      <c r="C114" s="529" t="str">
        <f>IF(A114="","",IF(AND($B$99&lt;'IN RPS-2015'!$C$11,'IN RPS-2015'!$B$3&gt;0),VLOOKUP(A114,'IN RPS-2015'!$P$164:$W$202,8,TRUE),VLOOKUP(A114,'IN RPS-2015'!$P$164:$W$202,7,TRUE)))</f>
        <v/>
      </c>
      <c r="D114" s="530" t="str">
        <f t="shared" si="141"/>
        <v/>
      </c>
      <c r="E114" s="531" t="str">
        <f>IF(A114="","",IF(C114=VLOOKUP(C114,'IN RPS-2015'!$I$2:$J$5,1),0,ROUND(D114*$C$99%,0)))</f>
        <v/>
      </c>
      <c r="F114" s="531" t="str">
        <f>IF(A114="","",IF(C114=VLOOKUP(C114,'IN RPS-2015'!$I$2:$J$5,1),0,ROUND(D114*$D$99%,0)))</f>
        <v/>
      </c>
      <c r="G114" s="531" t="str">
        <f t="shared" si="136"/>
        <v/>
      </c>
      <c r="H114" s="531" t="str">
        <f>IF(A114="","",IF(Main!$F$22=Main!$CA$24,ROUND(G114*10%,0),IF(B114&lt;=$H$101,G114,"")))</f>
        <v/>
      </c>
      <c r="I114" s="531" t="str">
        <f t="shared" si="137"/>
        <v/>
      </c>
      <c r="J114" s="735" t="str">
        <f t="shared" si="138"/>
        <v/>
      </c>
      <c r="K114" s="739" t="str">
        <f t="shared" si="139"/>
        <v/>
      </c>
    </row>
    <row r="115" spans="1:11">
      <c r="A115" s="533" t="str">
        <f t="shared" si="140"/>
        <v/>
      </c>
      <c r="B115" s="484" t="str">
        <f>IF(A115="","",MIN(EOMONTH(A115,0),VLOOKUP(A115,'IN RPS-2015'!$O$164:$P$202,2,TRUE)-1,LOOKUP(A115,$E$47:$F$53)-1,IF(A115&lt;$B$2,$B$2-1,'IN RPS-2015'!$Q$9),IF(A115&lt;$B$3,$B$3-1,'IN RPS-2015'!$Q$9),IF(A115&lt;$B$4,$B$4-1,'IN RPS-2015'!$Q$9),LOOKUP(A115,$H$47:$I$53)))</f>
        <v/>
      </c>
      <c r="C115" s="529" t="str">
        <f>IF(A115="","",IF(AND($B$99&lt;'IN RPS-2015'!$C$11,'IN RPS-2015'!$B$3&gt;0),VLOOKUP(A115,'IN RPS-2015'!$P$164:$W$202,8,TRUE),VLOOKUP(A115,'IN RPS-2015'!$P$164:$W$202,7,TRUE)))</f>
        <v/>
      </c>
      <c r="D115" s="530" t="str">
        <f t="shared" si="141"/>
        <v/>
      </c>
      <c r="E115" s="531" t="str">
        <f>IF(A115="","",IF(C115=VLOOKUP(C115,'IN RPS-2015'!$I$2:$J$5,1),0,ROUND(D115*$C$99%,0)))</f>
        <v/>
      </c>
      <c r="F115" s="531" t="str">
        <f>IF(A115="","",IF(C115=VLOOKUP(C115,'IN RPS-2015'!$I$2:$J$5,1),0,ROUND(D115*$D$99%,0)))</f>
        <v/>
      </c>
      <c r="G115" s="531" t="str">
        <f t="shared" si="136"/>
        <v/>
      </c>
      <c r="H115" s="531" t="str">
        <f>IF(A115="","",IF(Main!$F$22=Main!$CA$24,ROUND(G115*10%,0),IF(B115&lt;=$H$101,G115,"")))</f>
        <v/>
      </c>
      <c r="I115" s="531" t="str">
        <f t="shared" si="137"/>
        <v/>
      </c>
      <c r="J115" s="735" t="str">
        <f t="shared" si="138"/>
        <v/>
      </c>
      <c r="K115" s="739" t="str">
        <f t="shared" si="139"/>
        <v/>
      </c>
    </row>
    <row r="116" spans="1:11">
      <c r="A116" s="533" t="str">
        <f t="shared" si="140"/>
        <v/>
      </c>
      <c r="B116" s="484" t="str">
        <f>IF(A116="","",MIN(EOMONTH(A116,0),VLOOKUP(A116,'IN RPS-2015'!$O$164:$P$202,2,TRUE)-1,LOOKUP(A116,$E$47:$F$53)-1,IF(A116&lt;$B$2,$B$2-1,'IN RPS-2015'!$Q$9),IF(A116&lt;$B$3,$B$3-1,'IN RPS-2015'!$Q$9),IF(A116&lt;$B$4,$B$4-1,'IN RPS-2015'!$Q$9),LOOKUP(A116,$H$47:$I$53)))</f>
        <v/>
      </c>
      <c r="C116" s="529" t="str">
        <f>IF(A116="","",IF(AND($B$99&lt;'IN RPS-2015'!$C$11,'IN RPS-2015'!$B$3&gt;0),VLOOKUP(A116,'IN RPS-2015'!$P$164:$W$202,8,TRUE),VLOOKUP(A116,'IN RPS-2015'!$P$164:$W$202,7,TRUE)))</f>
        <v/>
      </c>
      <c r="D116" s="530" t="str">
        <f t="shared" si="141"/>
        <v/>
      </c>
      <c r="E116" s="531" t="str">
        <f>IF(A116="","",IF(C116=VLOOKUP(C116,'IN RPS-2015'!$I$2:$J$5,1),0,ROUND(D116*$C$99%,0)))</f>
        <v/>
      </c>
      <c r="F116" s="531" t="str">
        <f>IF(A116="","",IF(C116=VLOOKUP(C116,'IN RPS-2015'!$I$2:$J$5,1),0,ROUND(D116*$D$99%,0)))</f>
        <v/>
      </c>
      <c r="G116" s="531" t="str">
        <f t="shared" si="136"/>
        <v/>
      </c>
      <c r="H116" s="531" t="str">
        <f>IF(A116="","",IF(Main!$F$22=Main!$CA$24,ROUND(G116*10%,0),IF(B116&lt;=$H$101,G116,"")))</f>
        <v/>
      </c>
      <c r="I116" s="531" t="str">
        <f t="shared" si="137"/>
        <v/>
      </c>
      <c r="J116" s="735" t="str">
        <f t="shared" si="138"/>
        <v/>
      </c>
      <c r="K116" s="739" t="str">
        <f t="shared" si="139"/>
        <v/>
      </c>
    </row>
    <row r="117" spans="1:11">
      <c r="A117" s="533" t="str">
        <f t="shared" si="140"/>
        <v/>
      </c>
      <c r="B117" s="484" t="str">
        <f>IF(A117="","",MIN(EOMONTH(A117,0),VLOOKUP(A117,'IN RPS-2015'!$O$164:$P$202,2,TRUE)-1,LOOKUP(A117,$E$47:$F$53)-1,IF(A117&lt;$B$2,$B$2-1,'IN RPS-2015'!$Q$9),IF(A117&lt;$B$3,$B$3-1,'IN RPS-2015'!$Q$9),IF(A117&lt;$B$4,$B$4-1,'IN RPS-2015'!$Q$9),LOOKUP(A117,$H$47:$I$53)))</f>
        <v/>
      </c>
      <c r="C117" s="529" t="str">
        <f>IF(A117="","",IF(AND($B$99&lt;'IN RPS-2015'!$C$11,'IN RPS-2015'!$B$3&gt;0),VLOOKUP(A117,'IN RPS-2015'!$P$164:$W$202,8,TRUE),VLOOKUP(A117,'IN RPS-2015'!$P$164:$W$202,7,TRUE)))</f>
        <v/>
      </c>
      <c r="D117" s="530" t="str">
        <f t="shared" si="141"/>
        <v/>
      </c>
      <c r="E117" s="531" t="str">
        <f>IF(A117="","",IF(C117=VLOOKUP(C117,'IN RPS-2015'!$I$2:$J$5,1),0,ROUND(D117*$C$99%,0)))</f>
        <v/>
      </c>
      <c r="F117" s="531" t="str">
        <f>IF(A117="","",IF(C117=VLOOKUP(C117,'IN RPS-2015'!$I$2:$J$5,1),0,ROUND(D117*$D$99%,0)))</f>
        <v/>
      </c>
      <c r="G117" s="531" t="str">
        <f t="shared" si="136"/>
        <v/>
      </c>
      <c r="H117" s="531" t="str">
        <f>IF(A117="","",IF(Main!$F$22=Main!$CA$24,ROUND(G117*10%,0),IF(B117&lt;=$H$101,G117,"")))</f>
        <v/>
      </c>
      <c r="I117" s="531" t="str">
        <f t="shared" si="137"/>
        <v/>
      </c>
      <c r="J117" s="735" t="str">
        <f t="shared" si="138"/>
        <v/>
      </c>
      <c r="K117" s="739" t="str">
        <f t="shared" si="139"/>
        <v/>
      </c>
    </row>
    <row r="118" spans="1:11">
      <c r="A118" s="533" t="str">
        <f t="shared" si="140"/>
        <v/>
      </c>
      <c r="B118" s="484" t="str">
        <f>IF(A118="","",MIN(EOMONTH(A118,0),VLOOKUP(A118,'IN RPS-2015'!$O$164:$P$202,2,TRUE)-1,LOOKUP(A118,$E$47:$F$53)-1,IF(A118&lt;$B$2,$B$2-1,'IN RPS-2015'!$Q$9),IF(A118&lt;$B$3,$B$3-1,'IN RPS-2015'!$Q$9),IF(A118&lt;$B$4,$B$4-1,'IN RPS-2015'!$Q$9),LOOKUP(A118,$H$47:$I$53)))</f>
        <v/>
      </c>
      <c r="C118" s="529" t="str">
        <f>IF(A118="","",IF(AND($B$99&lt;'IN RPS-2015'!$C$11,'IN RPS-2015'!$B$3&gt;0),VLOOKUP(A118,'IN RPS-2015'!$P$164:$W$202,8,TRUE),VLOOKUP(A118,'IN RPS-2015'!$P$164:$W$202,7,TRUE)))</f>
        <v/>
      </c>
      <c r="D118" s="530" t="str">
        <f t="shared" si="141"/>
        <v/>
      </c>
      <c r="E118" s="531" t="str">
        <f>IF(A118="","",IF(C118=VLOOKUP(C118,'IN RPS-2015'!$I$2:$J$5,1),0,ROUND(D118*$C$99%,0)))</f>
        <v/>
      </c>
      <c r="F118" s="531" t="str">
        <f>IF(A118="","",IF(C118=VLOOKUP(C118,'IN RPS-2015'!$I$2:$J$5,1),0,ROUND(D118*$D$99%,0)))</f>
        <v/>
      </c>
      <c r="G118" s="531" t="str">
        <f t="shared" si="136"/>
        <v/>
      </c>
      <c r="H118" s="531" t="str">
        <f>IF(A118="","",IF(Main!$F$22=Main!$CA$24,ROUND(G118*10%,0),IF(B118&lt;=$H$101,G118,"")))</f>
        <v/>
      </c>
      <c r="I118" s="531" t="str">
        <f t="shared" si="137"/>
        <v/>
      </c>
      <c r="J118" s="735" t="str">
        <f t="shared" si="138"/>
        <v/>
      </c>
      <c r="K118" s="739" t="str">
        <f t="shared" si="139"/>
        <v/>
      </c>
    </row>
    <row r="119" spans="1:11">
      <c r="A119" s="533" t="str">
        <f t="shared" si="140"/>
        <v/>
      </c>
      <c r="B119" s="484" t="str">
        <f>IF(A119="","",MIN(EOMONTH(A119,0),VLOOKUP(A119,'IN RPS-2015'!$O$164:$P$202,2,TRUE)-1,LOOKUP(A119,$E$47:$F$53)-1,IF(A119&lt;$B$2,$B$2-1,'IN RPS-2015'!$Q$9),IF(A119&lt;$B$3,$B$3-1,'IN RPS-2015'!$Q$9),IF(A119&lt;$B$4,$B$4-1,'IN RPS-2015'!$Q$9),LOOKUP(A119,$H$47:$I$53)))</f>
        <v/>
      </c>
      <c r="C119" s="529" t="str">
        <f>IF(A119="","",IF(AND($B$99&lt;'IN RPS-2015'!$C$11,'IN RPS-2015'!$B$3&gt;0),VLOOKUP(A119,'IN RPS-2015'!$P$164:$W$202,8,TRUE),VLOOKUP(A119,'IN RPS-2015'!$P$164:$W$202,7,TRUE)))</f>
        <v/>
      </c>
      <c r="D119" s="530" t="str">
        <f t="shared" si="141"/>
        <v/>
      </c>
      <c r="E119" s="531" t="str">
        <f>IF(A119="","",IF(C119=VLOOKUP(C119,'IN RPS-2015'!$I$2:$J$5,1),0,ROUND(D119*$C$99%,0)))</f>
        <v/>
      </c>
      <c r="F119" s="531" t="str">
        <f>IF(A119="","",IF(C119=VLOOKUP(C119,'IN RPS-2015'!$I$2:$J$5,1),0,ROUND(D119*$D$99%,0)))</f>
        <v/>
      </c>
      <c r="G119" s="531" t="str">
        <f t="shared" si="136"/>
        <v/>
      </c>
      <c r="H119" s="531" t="str">
        <f>IF(A119="","",IF(Main!$F$22=Main!$CA$24,ROUND(G119*10%,0),IF(B119&lt;=$H$101,G119,"")))</f>
        <v/>
      </c>
      <c r="I119" s="531" t="str">
        <f t="shared" si="137"/>
        <v/>
      </c>
      <c r="J119" s="735" t="str">
        <f t="shared" si="138"/>
        <v/>
      </c>
      <c r="K119" s="739" t="str">
        <f t="shared" si="139"/>
        <v/>
      </c>
    </row>
    <row r="120" spans="1:11">
      <c r="A120" s="533" t="str">
        <f t="shared" si="140"/>
        <v/>
      </c>
      <c r="B120" s="484" t="str">
        <f>IF(A120="","",MIN(EOMONTH(A120,0),VLOOKUP(A120,'IN RPS-2015'!$O$164:$P$202,2,TRUE)-1,LOOKUP(A120,$E$47:$F$53)-1,IF(A120&lt;$B$2,$B$2-1,'IN RPS-2015'!$Q$9),IF(A120&lt;$B$3,$B$3-1,'IN RPS-2015'!$Q$9),IF(A120&lt;$B$4,$B$4-1,'IN RPS-2015'!$Q$9),LOOKUP(A120,$H$47:$I$53)))</f>
        <v/>
      </c>
      <c r="C120" s="529" t="str">
        <f>IF(A120="","",IF(AND($B$99&lt;'IN RPS-2015'!$C$11,'IN RPS-2015'!$B$3&gt;0),VLOOKUP(A120,'IN RPS-2015'!$P$164:$W$202,8,TRUE),VLOOKUP(A120,'IN RPS-2015'!$P$164:$W$202,7,TRUE)))</f>
        <v/>
      </c>
      <c r="D120" s="530" t="str">
        <f t="shared" si="141"/>
        <v/>
      </c>
      <c r="E120" s="531" t="str">
        <f>IF(A120="","",IF(C120=VLOOKUP(C120,'IN RPS-2015'!$I$2:$J$5,1),0,ROUND(D120*$C$99%,0)))</f>
        <v/>
      </c>
      <c r="F120" s="531" t="str">
        <f>IF(A120="","",IF(C120=VLOOKUP(C120,'IN RPS-2015'!$I$2:$J$5,1),0,ROUND(D120*$D$99%,0)))</f>
        <v/>
      </c>
      <c r="G120" s="531" t="str">
        <f t="shared" si="136"/>
        <v/>
      </c>
      <c r="H120" s="531" t="str">
        <f>IF(A120="","",IF(Main!$F$22=Main!$CA$24,ROUND(G120*10%,0),IF(B120&lt;=$H$101,G120,"")))</f>
        <v/>
      </c>
      <c r="I120" s="531" t="str">
        <f t="shared" si="137"/>
        <v/>
      </c>
      <c r="J120" s="735" t="str">
        <f t="shared" si="138"/>
        <v/>
      </c>
      <c r="K120" s="739" t="str">
        <f t="shared" si="139"/>
        <v/>
      </c>
    </row>
    <row r="121" spans="1:11">
      <c r="A121" s="533" t="str">
        <f t="shared" si="140"/>
        <v/>
      </c>
      <c r="B121" s="484" t="str">
        <f>IF(A121="","",MIN(EOMONTH(A121,0),VLOOKUP(A121,'IN RPS-2015'!$O$164:$P$202,2,TRUE)-1,LOOKUP(A121,$E$47:$F$53)-1,IF(A121&lt;$B$2,$B$2-1,'IN RPS-2015'!$Q$9),IF(A121&lt;$B$3,$B$3-1,'IN RPS-2015'!$Q$9),IF(A121&lt;$B$4,$B$4-1,'IN RPS-2015'!$Q$9),LOOKUP(A121,$H$47:$I$53)))</f>
        <v/>
      </c>
      <c r="C121" s="529" t="str">
        <f>IF(A121="","",IF(AND($B$99&lt;'IN RPS-2015'!$C$11,'IN RPS-2015'!$B$3&gt;0),VLOOKUP(A121,'IN RPS-2015'!$P$164:$W$202,8,TRUE),VLOOKUP(A121,'IN RPS-2015'!$P$164:$W$202,7,TRUE)))</f>
        <v/>
      </c>
      <c r="D121" s="530" t="str">
        <f t="shared" si="141"/>
        <v/>
      </c>
      <c r="E121" s="531" t="str">
        <f>IF(A121="","",IF(C121=VLOOKUP(C121,'IN RPS-2015'!$I$2:$J$5,1),0,ROUND(D121*$C$99%,0)))</f>
        <v/>
      </c>
      <c r="F121" s="531" t="str">
        <f>IF(A121="","",IF(C121=VLOOKUP(C121,'IN RPS-2015'!$I$2:$J$5,1),0,ROUND(D121*$D$99%,0)))</f>
        <v/>
      </c>
      <c r="G121" s="531" t="str">
        <f t="shared" si="136"/>
        <v/>
      </c>
      <c r="H121" s="531" t="str">
        <f>IF(A121="","",IF(Main!$F$22=Main!$CA$24,ROUND(G121*10%,0),IF(B121&lt;=$H$101,G121,"")))</f>
        <v/>
      </c>
      <c r="I121" s="531" t="str">
        <f t="shared" si="137"/>
        <v/>
      </c>
      <c r="J121" s="735" t="str">
        <f t="shared" si="138"/>
        <v/>
      </c>
      <c r="K121" s="739" t="str">
        <f t="shared" si="139"/>
        <v/>
      </c>
    </row>
    <row r="122" spans="1:11">
      <c r="A122" s="533" t="str">
        <f t="shared" si="140"/>
        <v/>
      </c>
      <c r="B122" s="484" t="str">
        <f>IF(A122="","",MIN(EOMONTH(A122,0),VLOOKUP(A122,'IN RPS-2015'!$O$164:$P$202,2,TRUE)-1,LOOKUP(A122,$E$47:$F$53)-1,IF(A122&lt;$B$2,$B$2-1,'IN RPS-2015'!$Q$9),IF(A122&lt;$B$3,$B$3-1,'IN RPS-2015'!$Q$9),IF(A122&lt;$B$4,$B$4-1,'IN RPS-2015'!$Q$9),LOOKUP(A122,$H$47:$I$53)))</f>
        <v/>
      </c>
      <c r="C122" s="529" t="str">
        <f>IF(A122="","",IF(AND($B$99&lt;'IN RPS-2015'!$C$11,'IN RPS-2015'!$B$3&gt;0),VLOOKUP(A122,'IN RPS-2015'!$P$164:$W$202,8,TRUE),VLOOKUP(A122,'IN RPS-2015'!$P$164:$W$202,7,TRUE)))</f>
        <v/>
      </c>
      <c r="D122" s="530" t="str">
        <f t="shared" si="141"/>
        <v/>
      </c>
      <c r="E122" s="531" t="str">
        <f>IF(A122="","",IF(C122=VLOOKUP(C122,'IN RPS-2015'!$I$2:$J$5,1),0,ROUND(D122*$C$99%,0)))</f>
        <v/>
      </c>
      <c r="F122" s="531" t="str">
        <f>IF(A122="","",IF(C122=VLOOKUP(C122,'IN RPS-2015'!$I$2:$J$5,1),0,ROUND(D122*$D$99%,0)))</f>
        <v/>
      </c>
      <c r="G122" s="531" t="str">
        <f t="shared" si="136"/>
        <v/>
      </c>
      <c r="H122" s="531" t="str">
        <f>IF(A122="","",IF(Main!$F$22=Main!$CA$24,ROUND(G122*10%,0),IF(B122&lt;=$H$101,G122,"")))</f>
        <v/>
      </c>
      <c r="I122" s="531" t="str">
        <f t="shared" si="137"/>
        <v/>
      </c>
      <c r="J122" s="735" t="str">
        <f t="shared" si="138"/>
        <v/>
      </c>
      <c r="K122" s="739" t="str">
        <f t="shared" si="139"/>
        <v/>
      </c>
    </row>
    <row r="123" spans="1:11">
      <c r="A123" s="533" t="str">
        <f t="shared" si="140"/>
        <v/>
      </c>
      <c r="B123" s="484" t="str">
        <f>IF(A123="","",MIN(EOMONTH(A123,0),VLOOKUP(A123,'IN RPS-2015'!$O$164:$P$202,2,TRUE)-1,LOOKUP(A123,$E$47:$F$53)-1,IF(A123&lt;$B$2,$B$2-1,'IN RPS-2015'!$Q$9),IF(A123&lt;$B$3,$B$3-1,'IN RPS-2015'!$Q$9),IF(A123&lt;$B$4,$B$4-1,'IN RPS-2015'!$Q$9),LOOKUP(A123,$H$47:$I$53)))</f>
        <v/>
      </c>
      <c r="C123" s="529" t="str">
        <f>IF(A123="","",IF(AND($B$99&lt;'IN RPS-2015'!$C$11,'IN RPS-2015'!$B$3&gt;0),VLOOKUP(A123,'IN RPS-2015'!$P$164:$W$202,8,TRUE),VLOOKUP(A123,'IN RPS-2015'!$P$164:$W$202,7,TRUE)))</f>
        <v/>
      </c>
      <c r="D123" s="530" t="str">
        <f t="shared" si="141"/>
        <v/>
      </c>
      <c r="E123" s="531" t="str">
        <f>IF(A123="","",IF(C123=VLOOKUP(C123,'IN RPS-2015'!$I$2:$J$5,1),0,ROUND(D123*$C$99%,0)))</f>
        <v/>
      </c>
      <c r="F123" s="531" t="str">
        <f>IF(A123="","",IF(C123=VLOOKUP(C123,'IN RPS-2015'!$I$2:$J$5,1),0,ROUND(D123*$D$99%,0)))</f>
        <v/>
      </c>
      <c r="G123" s="531" t="str">
        <f t="shared" si="136"/>
        <v/>
      </c>
      <c r="H123" s="531" t="str">
        <f>IF(A123="","",IF(Main!$F$22=Main!$CA$24,ROUND(G123*10%,0),IF(B123&lt;=$H$101,G123,"")))</f>
        <v/>
      </c>
      <c r="I123" s="531" t="str">
        <f t="shared" si="137"/>
        <v/>
      </c>
      <c r="J123" s="735" t="str">
        <f t="shared" si="138"/>
        <v/>
      </c>
      <c r="K123" s="739" t="str">
        <f t="shared" si="139"/>
        <v/>
      </c>
    </row>
    <row r="124" spans="1:11">
      <c r="A124" s="533" t="str">
        <f t="shared" si="140"/>
        <v/>
      </c>
      <c r="B124" s="484" t="str">
        <f>IF(A124="","",MIN(EOMONTH(A124,0),VLOOKUP(A124,'IN RPS-2015'!$O$164:$P$202,2,TRUE)-1,LOOKUP(A124,$E$47:$F$53)-1,IF(A124&lt;$B$2,$B$2-1,'IN RPS-2015'!$Q$9),IF(A124&lt;$B$3,$B$3-1,'IN RPS-2015'!$Q$9),IF(A124&lt;$B$4,$B$4-1,'IN RPS-2015'!$Q$9),LOOKUP(A124,$H$47:$I$53)))</f>
        <v/>
      </c>
      <c r="C124" s="529" t="str">
        <f>IF(A124="","",IF(AND($B$99&lt;'IN RPS-2015'!$C$11,'IN RPS-2015'!$B$3&gt;0),VLOOKUP(A124,'IN RPS-2015'!$P$164:$W$202,8,TRUE),VLOOKUP(A124,'IN RPS-2015'!$P$164:$W$202,7,TRUE)))</f>
        <v/>
      </c>
      <c r="D124" s="530" t="str">
        <f t="shared" si="141"/>
        <v/>
      </c>
      <c r="E124" s="531" t="str">
        <f>IF(A124="","",IF(C124=VLOOKUP(C124,'IN RPS-2015'!$I$2:$J$5,1),0,ROUND(D124*$C$99%,0)))</f>
        <v/>
      </c>
      <c r="F124" s="531" t="str">
        <f>IF(A124="","",IF(C124=VLOOKUP(C124,'IN RPS-2015'!$I$2:$J$5,1),0,ROUND(D124*$D$99%,0)))</f>
        <v/>
      </c>
      <c r="G124" s="531" t="str">
        <f t="shared" si="136"/>
        <v/>
      </c>
      <c r="H124" s="531" t="str">
        <f>IF(A124="","",IF(Main!$F$22=Main!$CA$24,ROUND(G124*10%,0),IF(B124&lt;=$H$101,G124,"")))</f>
        <v/>
      </c>
      <c r="I124" s="531" t="str">
        <f t="shared" si="137"/>
        <v/>
      </c>
      <c r="J124" s="735" t="str">
        <f t="shared" si="138"/>
        <v/>
      </c>
      <c r="K124" s="739" t="str">
        <f t="shared" si="139"/>
        <v/>
      </c>
    </row>
    <row r="125" spans="1:11">
      <c r="A125" s="533" t="str">
        <f t="shared" si="140"/>
        <v/>
      </c>
      <c r="B125" s="484" t="str">
        <f>IF(A125="","",MIN(EOMONTH(A125,0),VLOOKUP(A125,'IN RPS-2015'!$O$164:$P$202,2,TRUE)-1,LOOKUP(A125,$E$47:$F$53)-1,IF(A125&lt;$B$2,$B$2-1,'IN RPS-2015'!$Q$9),IF(A125&lt;$B$3,$B$3-1,'IN RPS-2015'!$Q$9),IF(A125&lt;$B$4,$B$4-1,'IN RPS-2015'!$Q$9),LOOKUP(A125,$H$47:$I$53)))</f>
        <v/>
      </c>
      <c r="C125" s="529" t="str">
        <f>IF(A125="","",IF(AND($B$99&lt;'IN RPS-2015'!$C$11,'IN RPS-2015'!$B$3&gt;0),VLOOKUP(A125,'IN RPS-2015'!$P$164:$W$202,8,TRUE),VLOOKUP(A125,'IN RPS-2015'!$P$164:$W$202,7,TRUE)))</f>
        <v/>
      </c>
      <c r="D125" s="530" t="str">
        <f t="shared" si="141"/>
        <v/>
      </c>
      <c r="E125" s="531" t="str">
        <f>IF(A125="","",IF(C125=VLOOKUP(C125,'IN RPS-2015'!$I$2:$J$5,1),0,ROUND(D125*$C$99%,0)))</f>
        <v/>
      </c>
      <c r="F125" s="531" t="str">
        <f>IF(A125="","",IF(C125=VLOOKUP(C125,'IN RPS-2015'!$I$2:$J$5,1),0,ROUND(D125*$D$99%,0)))</f>
        <v/>
      </c>
      <c r="G125" s="531" t="str">
        <f t="shared" si="136"/>
        <v/>
      </c>
      <c r="H125" s="531" t="str">
        <f>IF(A125="","",IF(Main!$F$22=Main!$CA$24,ROUND(G125*10%,0),IF(B125&lt;=$H$101,G125,"")))</f>
        <v/>
      </c>
      <c r="I125" s="531" t="str">
        <f t="shared" si="137"/>
        <v/>
      </c>
      <c r="J125" s="735" t="str">
        <f t="shared" si="138"/>
        <v/>
      </c>
      <c r="K125" s="739" t="str">
        <f t="shared" si="139"/>
        <v/>
      </c>
    </row>
    <row r="126" spans="1:11">
      <c r="A126" s="533" t="str">
        <f t="shared" si="140"/>
        <v/>
      </c>
      <c r="B126" s="484" t="str">
        <f>IF(A126="","",MIN(EOMONTH(A126,0),VLOOKUP(A126,'IN RPS-2015'!$O$164:$P$202,2,TRUE)-1,LOOKUP(A126,$E$47:$F$53)-1,IF(A126&lt;$B$2,$B$2-1,'IN RPS-2015'!$Q$9),IF(A126&lt;$B$3,$B$3-1,'IN RPS-2015'!$Q$9),IF(A126&lt;$B$4,$B$4-1,'IN RPS-2015'!$Q$9),LOOKUP(A126,$H$47:$I$53)))</f>
        <v/>
      </c>
      <c r="C126" s="529" t="str">
        <f>IF(A126="","",IF(AND($B$99&lt;'IN RPS-2015'!$C$11,'IN RPS-2015'!$B$3&gt;0),VLOOKUP(A126,'IN RPS-2015'!$P$164:$W$202,8,TRUE),VLOOKUP(A126,'IN RPS-2015'!$P$164:$W$202,7,TRUE)))</f>
        <v/>
      </c>
      <c r="D126" s="530" t="str">
        <f t="shared" si="141"/>
        <v/>
      </c>
      <c r="E126" s="531" t="str">
        <f>IF(A126="","",IF(C126=VLOOKUP(C126,'IN RPS-2015'!$I$2:$J$5,1),0,ROUND(D126*$C$99%,0)))</f>
        <v/>
      </c>
      <c r="F126" s="531" t="str">
        <f>IF(A126="","",IF(C126=VLOOKUP(C126,'IN RPS-2015'!$I$2:$J$5,1),0,ROUND(D126*$D$99%,0)))</f>
        <v/>
      </c>
      <c r="G126" s="531" t="str">
        <f t="shared" si="136"/>
        <v/>
      </c>
      <c r="H126" s="531" t="str">
        <f>IF(A126="","",IF(Main!$F$22=Main!$CA$24,ROUND(G126*10%,0),IF(B126&lt;=$H$101,G126,"")))</f>
        <v/>
      </c>
      <c r="I126" s="531" t="str">
        <f t="shared" si="137"/>
        <v/>
      </c>
      <c r="J126" s="735" t="str">
        <f t="shared" si="138"/>
        <v/>
      </c>
      <c r="K126" s="739" t="str">
        <f t="shared" si="139"/>
        <v/>
      </c>
    </row>
    <row r="127" spans="1:11">
      <c r="A127" s="533" t="str">
        <f t="shared" si="140"/>
        <v/>
      </c>
      <c r="B127" s="484" t="str">
        <f>IF(A127="","",MIN(EOMONTH(A127,0),VLOOKUP(A127,'IN RPS-2015'!$O$164:$P$202,2,TRUE)-1,LOOKUP(A127,$E$47:$F$53)-1,IF(A127&lt;$B$2,$B$2-1,'IN RPS-2015'!$Q$9),IF(A127&lt;$B$3,$B$3-1,'IN RPS-2015'!$Q$9),IF(A127&lt;$B$4,$B$4-1,'IN RPS-2015'!$Q$9),LOOKUP(A127,$H$47:$I$53)))</f>
        <v/>
      </c>
      <c r="C127" s="529" t="str">
        <f>IF(A127="","",IF(AND($B$99&lt;'IN RPS-2015'!$C$11,'IN RPS-2015'!$B$3&gt;0),VLOOKUP(A127,'IN RPS-2015'!$P$164:$W$202,8,TRUE),VLOOKUP(A127,'IN RPS-2015'!$P$164:$W$202,7,TRUE)))</f>
        <v/>
      </c>
      <c r="D127" s="530" t="str">
        <f t="shared" si="141"/>
        <v/>
      </c>
      <c r="E127" s="531" t="str">
        <f>IF(A127="","",IF(C127=VLOOKUP(C127,'IN RPS-2015'!$I$2:$J$5,1),0,ROUND(D127*$C$99%,0)))</f>
        <v/>
      </c>
      <c r="F127" s="531" t="str">
        <f>IF(A127="","",IF(C127=VLOOKUP(C127,'IN RPS-2015'!$I$2:$J$5,1),0,ROUND(D127*$D$99%,0)))</f>
        <v/>
      </c>
      <c r="G127" s="531" t="str">
        <f t="shared" si="136"/>
        <v/>
      </c>
      <c r="H127" s="531" t="str">
        <f>IF(A127="","",IF(Main!$F$22=Main!$CA$24,ROUND(G127*10%,0),IF(B127&lt;=$H$101,G127,"")))</f>
        <v/>
      </c>
      <c r="I127" s="531" t="str">
        <f t="shared" si="137"/>
        <v/>
      </c>
      <c r="J127" s="735" t="str">
        <f t="shared" si="138"/>
        <v/>
      </c>
      <c r="K127" s="739" t="str">
        <f t="shared" si="139"/>
        <v/>
      </c>
    </row>
    <row r="128" spans="1:11">
      <c r="A128" s="533" t="str">
        <f t="shared" si="140"/>
        <v/>
      </c>
      <c r="B128" s="484" t="str">
        <f>IF(A128="","",MIN(EOMONTH(A128,0),VLOOKUP(A128,'IN RPS-2015'!$O$164:$P$202,2,TRUE)-1,LOOKUP(A128,$E$47:$F$53)-1,IF(A128&lt;$B$2,$B$2-1,'IN RPS-2015'!$Q$9),IF(A128&lt;$B$3,$B$3-1,'IN RPS-2015'!$Q$9),IF(A128&lt;$B$4,$B$4-1,'IN RPS-2015'!$Q$9),LOOKUP(A128,$H$47:$I$53)))</f>
        <v/>
      </c>
      <c r="C128" s="529" t="str">
        <f>IF(A128="","",IF(AND($B$99&lt;'IN RPS-2015'!$C$11,'IN RPS-2015'!$B$3&gt;0),VLOOKUP(A128,'IN RPS-2015'!$P$164:$W$202,8,TRUE),VLOOKUP(A128,'IN RPS-2015'!$P$164:$W$202,7,TRUE)))</f>
        <v/>
      </c>
      <c r="D128" s="530" t="str">
        <f t="shared" si="141"/>
        <v/>
      </c>
      <c r="E128" s="531" t="str">
        <f>IF(A128="","",IF(C128=VLOOKUP(C128,'IN RPS-2015'!$I$2:$J$5,1),0,ROUND(D128*$C$99%,0)))</f>
        <v/>
      </c>
      <c r="F128" s="531" t="str">
        <f>IF(A128="","",IF(C128=VLOOKUP(C128,'IN RPS-2015'!$I$2:$J$5,1),0,ROUND(D128*$D$99%,0)))</f>
        <v/>
      </c>
      <c r="G128" s="531" t="str">
        <f t="shared" si="136"/>
        <v/>
      </c>
      <c r="H128" s="531" t="str">
        <f>IF(A128="","",IF(Main!$F$22=Main!$CA$24,ROUND(G128*10%,0),IF(B128&lt;=$H$101,G128,"")))</f>
        <v/>
      </c>
      <c r="I128" s="531" t="str">
        <f t="shared" si="137"/>
        <v/>
      </c>
      <c r="J128" s="735" t="str">
        <f t="shared" si="138"/>
        <v/>
      </c>
      <c r="K128" s="739" t="str">
        <f t="shared" si="139"/>
        <v/>
      </c>
    </row>
    <row r="129" spans="1:11">
      <c r="A129" s="533" t="str">
        <f t="shared" si="140"/>
        <v/>
      </c>
      <c r="B129" s="484" t="str">
        <f>IF(A129="","",MIN(EOMONTH(A129,0),VLOOKUP(A129,'IN RPS-2015'!$O$164:$P$202,2,TRUE)-1,LOOKUP(A129,$E$47:$F$53)-1,IF(A129&lt;$B$2,$B$2-1,'IN RPS-2015'!$Q$9),IF(A129&lt;$B$3,$B$3-1,'IN RPS-2015'!$Q$9),IF(A129&lt;$B$4,$B$4-1,'IN RPS-2015'!$Q$9),LOOKUP(A129,$H$47:$I$53)))</f>
        <v/>
      </c>
      <c r="C129" s="529" t="str">
        <f>IF(A129="","",IF(AND($B$99&lt;'IN RPS-2015'!$C$11,'IN RPS-2015'!$B$3&gt;0),VLOOKUP(A129,'IN RPS-2015'!$P$164:$W$202,8,TRUE),VLOOKUP(A129,'IN RPS-2015'!$P$164:$W$202,7,TRUE)))</f>
        <v/>
      </c>
      <c r="D129" s="530" t="str">
        <f t="shared" si="141"/>
        <v/>
      </c>
      <c r="E129" s="531" t="str">
        <f>IF(A129="","",IF(C129=VLOOKUP(C129,'IN RPS-2015'!$I$2:$J$5,1),0,ROUND(D129*$C$99%,0)))</f>
        <v/>
      </c>
      <c r="F129" s="531" t="str">
        <f>IF(A129="","",IF(C129=VLOOKUP(C129,'IN RPS-2015'!$I$2:$J$5,1),0,ROUND(D129*$D$99%,0)))</f>
        <v/>
      </c>
      <c r="G129" s="531" t="str">
        <f t="shared" si="136"/>
        <v/>
      </c>
      <c r="H129" s="531" t="str">
        <f>IF(A129="","",IF(Main!$F$22=Main!$CA$24,ROUND(G129*10%,0),IF(B129&lt;=$H$101,G129,"")))</f>
        <v/>
      </c>
      <c r="I129" s="531" t="str">
        <f t="shared" si="137"/>
        <v/>
      </c>
      <c r="J129" s="735" t="str">
        <f t="shared" si="138"/>
        <v/>
      </c>
      <c r="K129" s="739" t="str">
        <f t="shared" si="139"/>
        <v/>
      </c>
    </row>
    <row r="130" spans="1:11">
      <c r="A130" s="533" t="str">
        <f t="shared" si="140"/>
        <v/>
      </c>
      <c r="B130" s="484" t="str">
        <f>IF(A130="","",MIN(EOMONTH(A130,0),VLOOKUP(A130,'IN RPS-2015'!$O$164:$P$202,2,TRUE)-1,LOOKUP(A130,$E$47:$F$53)-1,IF(A130&lt;$B$2,$B$2-1,'IN RPS-2015'!$Q$9),IF(A130&lt;$B$3,$B$3-1,'IN RPS-2015'!$Q$9),IF(A130&lt;$B$4,$B$4-1,'IN RPS-2015'!$Q$9),LOOKUP(A130,$H$47:$I$53)))</f>
        <v/>
      </c>
      <c r="C130" s="529" t="str">
        <f>IF(A130="","",IF(AND($B$99&lt;'IN RPS-2015'!$C$11,'IN RPS-2015'!$B$3&gt;0),VLOOKUP(A130,'IN RPS-2015'!$P$164:$W$202,8,TRUE),VLOOKUP(A130,'IN RPS-2015'!$P$164:$W$202,7,TRUE)))</f>
        <v/>
      </c>
      <c r="D130" s="530" t="str">
        <f t="shared" si="141"/>
        <v/>
      </c>
      <c r="E130" s="531" t="str">
        <f>IF(A130="","",IF(C130=VLOOKUP(C130,'IN RPS-2015'!$I$2:$J$5,1),0,ROUND(D130*$C$99%,0)))</f>
        <v/>
      </c>
      <c r="F130" s="531" t="str">
        <f>IF(A130="","",IF(C130=VLOOKUP(C130,'IN RPS-2015'!$I$2:$J$5,1),0,ROUND(D130*$D$99%,0)))</f>
        <v/>
      </c>
      <c r="G130" s="531" t="str">
        <f t="shared" si="136"/>
        <v/>
      </c>
      <c r="H130" s="531" t="str">
        <f>IF(A130="","",IF(Main!$F$22=Main!$CA$24,ROUND(G130*10%,0),IF(B130&lt;=$H$101,G130,"")))</f>
        <v/>
      </c>
      <c r="I130" s="531" t="str">
        <f t="shared" si="137"/>
        <v/>
      </c>
      <c r="J130" s="735" t="str">
        <f t="shared" si="138"/>
        <v/>
      </c>
      <c r="K130" s="739" t="str">
        <f t="shared" si="139"/>
        <v/>
      </c>
    </row>
    <row r="131" spans="1:11">
      <c r="A131" s="533" t="str">
        <f t="shared" si="140"/>
        <v/>
      </c>
      <c r="B131" s="484" t="str">
        <f>IF(A131="","",MIN(EOMONTH(A131,0),VLOOKUP(A131,'IN RPS-2015'!$O$164:$P$202,2,TRUE)-1,LOOKUP(A131,$E$47:$F$53)-1,IF(A131&lt;$B$2,$B$2-1,'IN RPS-2015'!$Q$9),IF(A131&lt;$B$3,$B$3-1,'IN RPS-2015'!$Q$9),IF(A131&lt;$B$4,$B$4-1,'IN RPS-2015'!$Q$9),LOOKUP(A131,$H$47:$I$53)))</f>
        <v/>
      </c>
      <c r="C131" s="529" t="str">
        <f>IF(A131="","",IF(AND($B$99&lt;'IN RPS-2015'!$C$11,'IN RPS-2015'!$B$3&gt;0),VLOOKUP(A131,'IN RPS-2015'!$P$164:$W$202,8,TRUE),VLOOKUP(A131,'IN RPS-2015'!$P$164:$W$202,7,TRUE)))</f>
        <v/>
      </c>
      <c r="D131" s="530" t="str">
        <f t="shared" si="141"/>
        <v/>
      </c>
      <c r="E131" s="531" t="str">
        <f>IF(A131="","",IF(C131=VLOOKUP(C131,'IN RPS-2015'!$I$2:$J$5,1),0,ROUND(D131*$C$99%,0)))</f>
        <v/>
      </c>
      <c r="F131" s="531" t="str">
        <f>IF(A131="","",IF(C131=VLOOKUP(C131,'IN RPS-2015'!$I$2:$J$5,1),0,ROUND(D131*$D$99%,0)))</f>
        <v/>
      </c>
      <c r="G131" s="531" t="str">
        <f t="shared" si="136"/>
        <v/>
      </c>
      <c r="H131" s="531" t="str">
        <f>IF(A131="","",IF(Main!$F$22=Main!$CA$24,ROUND(G131*10%,0),IF(B131&lt;=$H$101,G131,"")))</f>
        <v/>
      </c>
      <c r="I131" s="531" t="str">
        <f t="shared" si="137"/>
        <v/>
      </c>
      <c r="J131" s="735" t="str">
        <f t="shared" si="138"/>
        <v/>
      </c>
      <c r="K131" s="739" t="str">
        <f t="shared" si="139"/>
        <v/>
      </c>
    </row>
    <row r="132" spans="1:11">
      <c r="A132" s="533" t="str">
        <f t="shared" si="140"/>
        <v/>
      </c>
      <c r="B132" s="484" t="str">
        <f>IF(A132="","",MIN(EOMONTH(A132,0),VLOOKUP(A132,'IN RPS-2015'!$O$164:$P$202,2,TRUE)-1,LOOKUP(A132,$E$47:$F$53)-1,IF(A132&lt;$B$2,$B$2-1,'IN RPS-2015'!$Q$9),IF(A132&lt;$B$3,$B$3-1,'IN RPS-2015'!$Q$9),IF(A132&lt;$B$4,$B$4-1,'IN RPS-2015'!$Q$9),LOOKUP(A132,$H$47:$I$53)))</f>
        <v/>
      </c>
      <c r="C132" s="529" t="str">
        <f>IF(A132="","",IF(AND($B$99&lt;'IN RPS-2015'!$C$11,'IN RPS-2015'!$B$3&gt;0),VLOOKUP(A132,'IN RPS-2015'!$P$164:$W$202,8,TRUE),VLOOKUP(A132,'IN RPS-2015'!$P$164:$W$202,7,TRUE)))</f>
        <v/>
      </c>
      <c r="D132" s="530" t="str">
        <f t="shared" si="141"/>
        <v/>
      </c>
      <c r="E132" s="531" t="str">
        <f>IF(A132="","",IF(C132=VLOOKUP(C132,'IN RPS-2015'!$I$2:$J$5,1),0,ROUND(D132*$C$99%,0)))</f>
        <v/>
      </c>
      <c r="F132" s="531" t="str">
        <f>IF(A132="","",IF(C132=VLOOKUP(C132,'IN RPS-2015'!$I$2:$J$5,1),0,ROUND(D132*$D$99%,0)))</f>
        <v/>
      </c>
      <c r="G132" s="531" t="str">
        <f t="shared" si="136"/>
        <v/>
      </c>
      <c r="H132" s="531" t="str">
        <f>IF(A132="","",IF(Main!$F$22=Main!$CA$24,ROUND(G132*10%,0),IF(B132&lt;=$H$101,G132,"")))</f>
        <v/>
      </c>
      <c r="I132" s="531" t="str">
        <f t="shared" si="137"/>
        <v/>
      </c>
      <c r="J132" s="735" t="str">
        <f t="shared" si="138"/>
        <v/>
      </c>
      <c r="K132" s="739" t="str">
        <f t="shared" si="139"/>
        <v/>
      </c>
    </row>
    <row r="133" spans="1:11">
      <c r="A133" s="533" t="str">
        <f t="shared" si="140"/>
        <v/>
      </c>
      <c r="B133" s="484" t="str">
        <f>IF(A133="","",MIN(EOMONTH(A133,0),VLOOKUP(A133,'IN RPS-2015'!$O$164:$P$202,2,TRUE)-1,LOOKUP(A133,$E$47:$F$53)-1,IF(A133&lt;$B$2,$B$2-1,'IN RPS-2015'!$Q$9),IF(A133&lt;$B$3,$B$3-1,'IN RPS-2015'!$Q$9),IF(A133&lt;$B$4,$B$4-1,'IN RPS-2015'!$Q$9),LOOKUP(A133,$H$47:$I$53)))</f>
        <v/>
      </c>
      <c r="C133" s="529" t="str">
        <f>IF(A133="","",IF(AND($B$99&lt;'IN RPS-2015'!$C$11,'IN RPS-2015'!$B$3&gt;0),VLOOKUP(A133,'IN RPS-2015'!$P$164:$W$202,8,TRUE),VLOOKUP(A133,'IN RPS-2015'!$P$164:$W$202,7,TRUE)))</f>
        <v/>
      </c>
      <c r="D133" s="530" t="str">
        <f t="shared" si="141"/>
        <v/>
      </c>
      <c r="E133" s="531" t="str">
        <f>IF(A133="","",IF(C133=VLOOKUP(C133,'IN RPS-2015'!$I$2:$J$5,1),0,ROUND(D133*$C$99%,0)))</f>
        <v/>
      </c>
      <c r="F133" s="531" t="str">
        <f>IF(A133="","",IF(C133=VLOOKUP(C133,'IN RPS-2015'!$I$2:$J$5,1),0,ROUND(D133*$D$99%,0)))</f>
        <v/>
      </c>
      <c r="G133" s="531" t="str">
        <f t="shared" si="136"/>
        <v/>
      </c>
      <c r="H133" s="531" t="str">
        <f>IF(A133="","",IF(Main!$F$22=Main!$CA$24,ROUND(G133*10%,0),IF(B133&lt;=$H$101,G133,"")))</f>
        <v/>
      </c>
      <c r="I133" s="531" t="str">
        <f t="shared" si="137"/>
        <v/>
      </c>
      <c r="J133" s="735" t="str">
        <f t="shared" si="138"/>
        <v/>
      </c>
      <c r="K133" s="739" t="str">
        <f t="shared" si="139"/>
        <v/>
      </c>
    </row>
    <row r="134" spans="1:11">
      <c r="A134" s="533" t="str">
        <f t="shared" si="140"/>
        <v/>
      </c>
      <c r="B134" s="484" t="str">
        <f>IF(A134="","",MIN(EOMONTH(A134,0),VLOOKUP(A134,'IN RPS-2015'!$O$164:$P$202,2,TRUE)-1,LOOKUP(A134,$E$47:$F$53)-1,IF(A134&lt;$B$2,$B$2-1,'IN RPS-2015'!$Q$9),IF(A134&lt;$B$3,$B$3-1,'IN RPS-2015'!$Q$9),IF(A134&lt;$B$4,$B$4-1,'IN RPS-2015'!$Q$9),LOOKUP(A134,$H$47:$I$53)))</f>
        <v/>
      </c>
      <c r="C134" s="529" t="str">
        <f>IF(A134="","",IF(AND($B$99&lt;'IN RPS-2015'!$C$11,'IN RPS-2015'!$B$3&gt;0),VLOOKUP(A134,'IN RPS-2015'!$P$164:$W$202,8,TRUE),VLOOKUP(A134,'IN RPS-2015'!$P$164:$W$202,7,TRUE)))</f>
        <v/>
      </c>
      <c r="D134" s="530" t="str">
        <f t="shared" si="141"/>
        <v/>
      </c>
      <c r="E134" s="531" t="str">
        <f>IF(A134="","",IF(C134=VLOOKUP(C134,'IN RPS-2015'!$I$2:$J$5,1),0,ROUND(D134*$C$99%,0)))</f>
        <v/>
      </c>
      <c r="F134" s="531" t="str">
        <f>IF(A134="","",IF(C134=VLOOKUP(C134,'IN RPS-2015'!$I$2:$J$5,1),0,ROUND(D134*$D$99%,0)))</f>
        <v/>
      </c>
      <c r="G134" s="531" t="str">
        <f t="shared" si="136"/>
        <v/>
      </c>
      <c r="H134" s="531" t="str">
        <f>IF(A134="","",IF(Main!$F$22=Main!$CA$24,ROUND(G134*10%,0),IF(B134&lt;=$H$101,G134,"")))</f>
        <v/>
      </c>
      <c r="I134" s="531" t="str">
        <f t="shared" si="137"/>
        <v/>
      </c>
      <c r="J134" s="735" t="str">
        <f t="shared" si="138"/>
        <v/>
      </c>
      <c r="K134" s="739" t="str">
        <f t="shared" si="139"/>
        <v/>
      </c>
    </row>
    <row r="135" spans="1:11">
      <c r="A135" s="533" t="str">
        <f>IF(AND($A$99&lt;=$F$23,$F$23&lt;=$B$99),$F$23,"")</f>
        <v/>
      </c>
      <c r="B135" s="534" t="str">
        <f>IF(A135="","",$F$23+$G$23-1)</f>
        <v/>
      </c>
      <c r="C135" s="529" t="str">
        <f>IF(A135="","",IF(AND($B$99&lt;'IN RPS-2015'!$C$11,'IN RPS-2015'!$B$3&gt;0),VLOOKUP(A135,'IN RPS-2015'!$P$164:$W$202,8,TRUE),VLOOKUP(A135,'IN RPS-2015'!$P$164:$W$202,7,TRUE)))</f>
        <v/>
      </c>
      <c r="D135" s="535" t="str">
        <f>IF(C135="","",IF($G$23=15,ROUND(C135/2,0),C135))</f>
        <v/>
      </c>
      <c r="E135" s="531" t="str">
        <f>IF(A135="","",IF(C135=VLOOKUP(C135,'IN RPS-2015'!$I$2:$J$5,1),0,ROUND(D135*$C$99%,0)))</f>
        <v/>
      </c>
      <c r="F135" s="531" t="str">
        <f>IF(A135="","",IF(C135=VLOOKUP(C135,'IN RPS-2015'!$I$2:$J$5,1),0,ROUND(D135*$D$99%,0)))</f>
        <v/>
      </c>
      <c r="G135" s="536" t="str">
        <f t="shared" si="136"/>
        <v/>
      </c>
      <c r="H135" s="531" t="str">
        <f>IF(A135="","",IF(Main!$F$22=Main!$CA$24,ROUND(G135*10%,0),IF(B135&lt;=$H$101,G135,"")))</f>
        <v/>
      </c>
      <c r="I135" s="531" t="str">
        <f t="shared" si="137"/>
        <v/>
      </c>
      <c r="J135" s="735" t="str">
        <f t="shared" si="138"/>
        <v/>
      </c>
      <c r="K135" s="739" t="str">
        <f t="shared" si="139"/>
        <v/>
      </c>
    </row>
    <row r="136" spans="1:11">
      <c r="A136" s="533" t="str">
        <f>IF(AND($A$99&lt;=$F$24,$F$24&lt;=$B$99),$F$24,"")</f>
        <v/>
      </c>
      <c r="B136" s="534" t="str">
        <f>IF(A136="","",$F$24+$G$24-1)</f>
        <v/>
      </c>
      <c r="C136" s="529" t="str">
        <f>IF(A136="","",IF(AND($B$99&lt;'IN RPS-2015'!$C$11,'IN RPS-2015'!$B$3&gt;0),VLOOKUP(A136,'IN RPS-2015'!$P$164:$W$202,8,TRUE),VLOOKUP(A136,'IN RPS-2015'!$P$164:$W$202,7,TRUE)))</f>
        <v/>
      </c>
      <c r="D136" s="535" t="str">
        <f>IF(C136="","",IF($G$24=15,ROUND(C136/2,0),C136))</f>
        <v/>
      </c>
      <c r="E136" s="531" t="str">
        <f>IF(A136="","",IF(C136=VLOOKUP(C136,'IN RPS-2015'!$I$2:$J$5,1),0,ROUND(D136*$C$99%,0)))</f>
        <v/>
      </c>
      <c r="F136" s="531" t="str">
        <f>IF(A136="","",IF(C136=VLOOKUP(C136,'IN RPS-2015'!$I$2:$J$5,1),0,ROUND(D136*$D$99%,0)))</f>
        <v/>
      </c>
      <c r="G136" s="536" t="str">
        <f t="shared" si="136"/>
        <v/>
      </c>
      <c r="H136" s="531" t="str">
        <f>IF(A136="","",IF(Main!$F$22=Main!$CA$24,ROUND(G136*10%,0),IF(B136&lt;=$H$101,G136,"")))</f>
        <v/>
      </c>
      <c r="I136" s="531" t="str">
        <f t="shared" si="137"/>
        <v/>
      </c>
      <c r="J136" s="735" t="str">
        <f t="shared" si="138"/>
        <v/>
      </c>
      <c r="K136" s="739" t="str">
        <f t="shared" si="139"/>
        <v/>
      </c>
    </row>
    <row r="137" spans="1:11">
      <c r="A137" s="519"/>
      <c r="B137" s="519"/>
      <c r="C137" s="529" t="str">
        <f>IF(A137="","",IF(AND($B$99&lt;'IN RPS-2015'!$C$11,'IN RPS-2015'!$B$3&gt;0),VLOOKUP(A137,'IN RPS-2015'!$P$164:$R$202,3,TRUE),VLOOKUP(A137,'IN RPS-2015'!$P$164:$R$202,2,TRUE)))</f>
        <v/>
      </c>
      <c r="D137" s="519"/>
      <c r="E137" s="519"/>
      <c r="F137" s="519"/>
      <c r="G137" s="519"/>
      <c r="H137" s="531"/>
      <c r="I137" s="519"/>
    </row>
    <row r="142" spans="1:11">
      <c r="A142" s="457" t="s">
        <v>1894</v>
      </c>
      <c r="F142" s="457" t="s">
        <v>1895</v>
      </c>
    </row>
    <row r="143" spans="1:11">
      <c r="A143" s="457" t="s">
        <v>1434</v>
      </c>
      <c r="B143" s="457" t="s">
        <v>340</v>
      </c>
      <c r="C143" s="457" t="s">
        <v>1896</v>
      </c>
      <c r="D143" s="457" t="s">
        <v>1376</v>
      </c>
      <c r="E143" s="457" t="str">
        <f>E19</f>
        <v>Not-Applicable</v>
      </c>
      <c r="F143" s="457" t="s">
        <v>1434</v>
      </c>
      <c r="G143" s="457" t="s">
        <v>340</v>
      </c>
      <c r="H143" s="457" t="s">
        <v>1896</v>
      </c>
      <c r="I143" s="457" t="s">
        <v>1376</v>
      </c>
      <c r="J143" s="457" t="str">
        <f>E143</f>
        <v>Not-Applicable</v>
      </c>
    </row>
    <row r="144" spans="1:11">
      <c r="A144" s="457">
        <v>0</v>
      </c>
      <c r="B144" s="457">
        <v>200</v>
      </c>
      <c r="C144" s="457">
        <v>120</v>
      </c>
      <c r="D144" s="457">
        <v>100</v>
      </c>
      <c r="E144" s="457">
        <v>0</v>
      </c>
      <c r="F144" s="457">
        <v>0</v>
      </c>
      <c r="G144" s="457">
        <v>400</v>
      </c>
      <c r="H144" s="457">
        <v>250</v>
      </c>
      <c r="I144" s="457">
        <v>200</v>
      </c>
      <c r="J144" s="457">
        <v>0</v>
      </c>
    </row>
    <row r="145" spans="1:10">
      <c r="A145" s="457">
        <v>8201</v>
      </c>
      <c r="B145" s="457">
        <v>300</v>
      </c>
      <c r="C145" s="457">
        <v>160</v>
      </c>
      <c r="D145" s="457">
        <v>120</v>
      </c>
      <c r="E145" s="457">
        <v>0</v>
      </c>
      <c r="F145" s="457">
        <v>16401</v>
      </c>
      <c r="G145" s="457">
        <v>600</v>
      </c>
      <c r="H145" s="457">
        <v>350</v>
      </c>
      <c r="I145" s="457">
        <v>300</v>
      </c>
      <c r="J145" s="457">
        <v>0</v>
      </c>
    </row>
    <row r="146" spans="1:10">
      <c r="A146" s="457">
        <v>13271</v>
      </c>
      <c r="B146" s="457">
        <v>350</v>
      </c>
      <c r="C146" s="457">
        <v>220</v>
      </c>
      <c r="D146" s="457">
        <v>130</v>
      </c>
      <c r="E146" s="457">
        <v>0</v>
      </c>
      <c r="F146" s="457">
        <v>28941</v>
      </c>
      <c r="G146" s="457">
        <v>700</v>
      </c>
      <c r="H146" s="457">
        <v>450</v>
      </c>
      <c r="I146" s="457">
        <v>350</v>
      </c>
      <c r="J146" s="457">
        <v>0</v>
      </c>
    </row>
    <row r="147" spans="1:10">
      <c r="A147" s="457">
        <v>18031</v>
      </c>
      <c r="B147" s="457">
        <v>525</v>
      </c>
      <c r="C147" s="457">
        <v>350</v>
      </c>
      <c r="D147" s="457">
        <v>140</v>
      </c>
      <c r="E147" s="457">
        <v>0</v>
      </c>
      <c r="F147" s="457">
        <v>37101</v>
      </c>
      <c r="G147" s="457">
        <v>1000</v>
      </c>
      <c r="H147" s="457">
        <v>700</v>
      </c>
      <c r="I147" s="457">
        <v>500</v>
      </c>
      <c r="J147" s="457">
        <v>0</v>
      </c>
    </row>
    <row r="151" spans="1:10">
      <c r="A151" s="457" t="s">
        <v>291</v>
      </c>
      <c r="F151" s="1125" t="s">
        <v>291</v>
      </c>
      <c r="G151" s="1125"/>
      <c r="H151" s="1125"/>
      <c r="I151" s="1125"/>
      <c r="J151" s="38"/>
    </row>
    <row r="152" spans="1:10">
      <c r="A152" s="457" t="s">
        <v>305</v>
      </c>
      <c r="D152" s="457">
        <v>40269</v>
      </c>
      <c r="F152" s="38" t="s">
        <v>1898</v>
      </c>
      <c r="G152" s="38"/>
      <c r="H152" s="38"/>
      <c r="I152" s="458">
        <f>DATE(2015,12,1)</f>
        <v>42339</v>
      </c>
      <c r="J152" s="741">
        <f>MAX(DATE(2015,12,1),G7)</f>
        <v>42339</v>
      </c>
    </row>
    <row r="153" spans="1:10" ht="21">
      <c r="A153" s="457" t="s">
        <v>295</v>
      </c>
      <c r="B153" s="457" t="s">
        <v>1357</v>
      </c>
      <c r="C153" s="457" t="s">
        <v>1355</v>
      </c>
      <c r="D153" s="457" t="s">
        <v>1356</v>
      </c>
      <c r="E153" s="457" t="s">
        <v>1354</v>
      </c>
      <c r="F153" s="152" t="s">
        <v>295</v>
      </c>
      <c r="G153" s="91" t="s">
        <v>1357</v>
      </c>
      <c r="H153" s="91" t="s">
        <v>1355</v>
      </c>
      <c r="I153" s="91" t="s">
        <v>1356</v>
      </c>
      <c r="J153" s="92" t="str">
        <f>E153</f>
        <v>Not-Applicable</v>
      </c>
    </row>
    <row r="154" spans="1:10">
      <c r="A154" s="457">
        <v>1</v>
      </c>
      <c r="B154" s="457">
        <v>325</v>
      </c>
      <c r="C154" s="457">
        <v>400</v>
      </c>
      <c r="D154" s="457">
        <v>475</v>
      </c>
      <c r="E154" s="457">
        <v>0</v>
      </c>
      <c r="F154" s="457">
        <v>1</v>
      </c>
      <c r="G154" s="457">
        <v>485</v>
      </c>
      <c r="H154" s="457">
        <v>500</v>
      </c>
      <c r="I154" s="457">
        <v>710</v>
      </c>
      <c r="J154" s="457">
        <v>0</v>
      </c>
    </row>
    <row r="155" spans="1:10">
      <c r="A155" s="457">
        <v>10601</v>
      </c>
      <c r="B155" s="457">
        <v>400</v>
      </c>
      <c r="C155" s="457">
        <v>475</v>
      </c>
      <c r="D155" s="457">
        <v>550</v>
      </c>
      <c r="E155" s="457">
        <v>0</v>
      </c>
      <c r="F155" s="457">
        <v>20051</v>
      </c>
      <c r="G155" s="457">
        <v>600</v>
      </c>
      <c r="H155" s="457">
        <v>600</v>
      </c>
      <c r="I155" s="457">
        <v>825</v>
      </c>
      <c r="J155" s="457">
        <v>0</v>
      </c>
    </row>
    <row r="156" spans="1:10">
      <c r="A156" s="457">
        <v>13661</v>
      </c>
      <c r="B156" s="457">
        <v>475</v>
      </c>
      <c r="C156" s="457">
        <v>575</v>
      </c>
      <c r="D156" s="457">
        <v>625</v>
      </c>
      <c r="E156" s="457">
        <v>0</v>
      </c>
      <c r="F156" s="457">
        <v>26601</v>
      </c>
      <c r="G156" s="457">
        <v>710</v>
      </c>
      <c r="H156" s="457">
        <v>725</v>
      </c>
      <c r="I156" s="457">
        <v>935</v>
      </c>
      <c r="J156" s="457">
        <v>0</v>
      </c>
    </row>
    <row r="157" spans="1:10">
      <c r="A157" s="457">
        <v>17051</v>
      </c>
      <c r="B157" s="457">
        <v>575</v>
      </c>
      <c r="C157" s="457">
        <v>625</v>
      </c>
      <c r="D157" s="457">
        <v>700</v>
      </c>
      <c r="E157" s="457">
        <v>0</v>
      </c>
      <c r="F157" s="457">
        <v>34211</v>
      </c>
      <c r="G157" s="457">
        <v>860</v>
      </c>
      <c r="H157" s="457">
        <v>875</v>
      </c>
      <c r="I157" s="457">
        <v>1050</v>
      </c>
      <c r="J157" s="457">
        <v>0</v>
      </c>
    </row>
    <row r="158" spans="1:10">
      <c r="A158" s="457">
        <v>21251</v>
      </c>
      <c r="B158" s="457">
        <v>625</v>
      </c>
      <c r="C158" s="457">
        <v>675</v>
      </c>
      <c r="D158" s="457">
        <v>775</v>
      </c>
      <c r="E158" s="457">
        <v>0</v>
      </c>
      <c r="F158" s="457">
        <v>41381</v>
      </c>
      <c r="G158" s="457">
        <v>935</v>
      </c>
      <c r="H158" s="457">
        <v>950</v>
      </c>
      <c r="I158" s="457">
        <v>1125</v>
      </c>
      <c r="J158" s="457">
        <v>0</v>
      </c>
    </row>
    <row r="159" spans="1:10">
      <c r="A159" s="457">
        <v>28451</v>
      </c>
      <c r="B159" s="457">
        <v>675</v>
      </c>
      <c r="C159" s="457">
        <v>725</v>
      </c>
      <c r="D159" s="457">
        <v>850</v>
      </c>
      <c r="E159" s="457">
        <v>0</v>
      </c>
      <c r="F159" s="457">
        <v>55411</v>
      </c>
      <c r="G159" s="457">
        <v>1110</v>
      </c>
      <c r="H159" s="457">
        <v>975</v>
      </c>
      <c r="I159" s="457">
        <v>1275</v>
      </c>
      <c r="J159" s="457">
        <v>0</v>
      </c>
    </row>
    <row r="162" spans="1:1">
      <c r="A162" s="457" t="s">
        <v>1899</v>
      </c>
    </row>
    <row r="163" spans="1:1">
      <c r="A163" s="457" t="s">
        <v>1900</v>
      </c>
    </row>
    <row r="164" spans="1:1">
      <c r="A164" s="457" t="s">
        <v>1901</v>
      </c>
    </row>
    <row r="165" spans="1:1">
      <c r="A165" s="457" t="s">
        <v>1902</v>
      </c>
    </row>
    <row r="166" spans="1:1">
      <c r="A166" s="457" t="s">
        <v>1903</v>
      </c>
    </row>
    <row r="169" spans="1:1">
      <c r="A169" s="505" t="s">
        <v>1904</v>
      </c>
    </row>
    <row r="181" spans="8:9">
      <c r="H181" s="457" t="s">
        <v>1383</v>
      </c>
    </row>
    <row r="183" spans="8:9" ht="28.5">
      <c r="H183" s="10" t="s">
        <v>350</v>
      </c>
      <c r="I183" s="11" t="s">
        <v>351</v>
      </c>
    </row>
    <row r="184" spans="8:9" ht="14.25">
      <c r="H184" s="10">
        <v>1</v>
      </c>
      <c r="I184" s="11">
        <v>0</v>
      </c>
    </row>
    <row r="185" spans="8:9" ht="14.25">
      <c r="H185" s="9">
        <v>5001</v>
      </c>
      <c r="I185" s="11">
        <v>60</v>
      </c>
    </row>
    <row r="186" spans="8:9" ht="14.25">
      <c r="H186" s="10">
        <v>6001</v>
      </c>
      <c r="I186" s="11">
        <v>80</v>
      </c>
    </row>
    <row r="187" spans="8:9" ht="14.25">
      <c r="H187" s="10">
        <v>10001</v>
      </c>
      <c r="I187" s="11">
        <v>100</v>
      </c>
    </row>
    <row r="188" spans="8:9" ht="14.25">
      <c r="H188" s="10">
        <v>15001</v>
      </c>
      <c r="I188" s="11">
        <v>150</v>
      </c>
    </row>
    <row r="189" spans="8:9" ht="14.25">
      <c r="H189" s="10">
        <v>20001</v>
      </c>
      <c r="I189" s="11">
        <v>200</v>
      </c>
    </row>
    <row r="191" spans="8:9">
      <c r="H191" s="505" t="s">
        <v>1365</v>
      </c>
    </row>
    <row r="192" spans="8:9">
      <c r="H192" s="458">
        <f>DATE(2010,2,1)</f>
        <v>40210</v>
      </c>
      <c r="I192" s="457">
        <f>Main!J22</f>
        <v>1500</v>
      </c>
    </row>
    <row r="193" spans="8:9">
      <c r="H193" s="459">
        <f>IF(AND(Main!L22&gt;0,Main!K22&gt;0),Main!L22,'IN RPS-2015'!C9)</f>
        <v>42461</v>
      </c>
      <c r="I193" s="457">
        <f>Main!K22</f>
        <v>0</v>
      </c>
    </row>
    <row r="194" spans="8:9">
      <c r="H194" s="505" t="s">
        <v>5</v>
      </c>
    </row>
    <row r="195" spans="8:9">
      <c r="H195" s="459">
        <f>H192</f>
        <v>40210</v>
      </c>
      <c r="I195" s="457">
        <f>Main!J23</f>
        <v>750</v>
      </c>
    </row>
    <row r="196" spans="8:9">
      <c r="H196" s="459">
        <f>IF(AND(Main!L23&gt;0,Main!K23&gt;0),Main!L23,'IN RPS-2015'!C9)</f>
        <v>42461</v>
      </c>
      <c r="I196" s="457">
        <f>Main!K23</f>
        <v>0</v>
      </c>
    </row>
    <row r="197" spans="8:9">
      <c r="H197" s="505" t="s">
        <v>38</v>
      </c>
    </row>
    <row r="198" spans="8:9">
      <c r="H198" s="459">
        <f>H195</f>
        <v>40210</v>
      </c>
      <c r="I198" s="457">
        <f>Main!J24</f>
        <v>60</v>
      </c>
    </row>
    <row r="199" spans="8:9">
      <c r="H199" s="459">
        <f>IF(AND(Main!L24&gt;0,Main!K24&gt;0),Main!L24,'IN RPS-2015'!C9)</f>
        <v>42461</v>
      </c>
      <c r="I199" s="457">
        <f>Main!K24</f>
        <v>0</v>
      </c>
    </row>
    <row r="200" spans="8:9">
      <c r="H200" s="505" t="s">
        <v>1369</v>
      </c>
    </row>
    <row r="201" spans="8:9">
      <c r="H201" s="459">
        <f>H198</f>
        <v>40210</v>
      </c>
      <c r="I201" s="457">
        <f>Main!J25</f>
        <v>0</v>
      </c>
    </row>
    <row r="202" spans="8:9">
      <c r="H202" s="459">
        <f>IF(AND(Main!L25&gt;0,Main!K25&gt;0),Main!L25,'IN RPS-2015'!C9)</f>
        <v>42461</v>
      </c>
      <c r="I202" s="457">
        <f>Main!K25</f>
        <v>0</v>
      </c>
    </row>
    <row r="204" spans="8:9">
      <c r="H204" s="457" t="s">
        <v>40</v>
      </c>
    </row>
    <row r="205" spans="8:9">
      <c r="H205" s="458">
        <f>DATE(2014,1,1)</f>
        <v>41640</v>
      </c>
      <c r="I205" s="457">
        <v>27</v>
      </c>
    </row>
    <row r="206" spans="8:9">
      <c r="H206" s="458">
        <f>G7</f>
        <v>42186</v>
      </c>
      <c r="I206" s="457">
        <v>0</v>
      </c>
    </row>
    <row r="208" spans="8:9">
      <c r="H208" s="505" t="s">
        <v>1819</v>
      </c>
    </row>
    <row r="209" spans="8:9">
      <c r="H209" s="458">
        <f>H192</f>
        <v>40210</v>
      </c>
      <c r="I209" s="457">
        <v>0</v>
      </c>
    </row>
    <row r="210" spans="8:9">
      <c r="H210" s="459">
        <f>Main!H27</f>
        <v>42005</v>
      </c>
      <c r="I210" s="457">
        <f>Main!J27</f>
        <v>90</v>
      </c>
    </row>
    <row r="211" spans="8:9">
      <c r="H211" s="459">
        <f>IF(AND(Main!K27&gt;0,Main!L27&gt;0),Main!L27,Main!BK19)</f>
        <v>42491</v>
      </c>
      <c r="I211" s="457">
        <f>Main!K27</f>
        <v>0</v>
      </c>
    </row>
  </sheetData>
  <customSheetViews>
    <customSheetView guid="{AF8DD0C3-82AF-40F4-9518-B58C2E7D25DB}" state="hidden">
      <selection sqref="A1:XFD1048576"/>
      <pageMargins left="0.7" right="0.7" top="0.75" bottom="0.75" header="0.3" footer="0.3"/>
      <pageSetup paperSize="9" orientation="portrait" verticalDpi="0" r:id="rId1"/>
    </customSheetView>
    <customSheetView guid="{79BDAD5E-470D-413B-AE3A-BBB122EFD8E5}" state="hidden">
      <selection activeCell="H42" sqref="H42"/>
      <pageMargins left="0.7" right="0.7" top="0.75" bottom="0.75" header="0.3" footer="0.3"/>
      <pageSetup paperSize="9" orientation="portrait" verticalDpi="0" r:id="rId2"/>
    </customSheetView>
  </customSheetViews>
  <mergeCells count="12">
    <mergeCell ref="F151:I151"/>
    <mergeCell ref="K36:M36"/>
    <mergeCell ref="A8:D8"/>
    <mergeCell ref="AF2:AG2"/>
    <mergeCell ref="AF10:AG10"/>
    <mergeCell ref="A46:D46"/>
    <mergeCell ref="BZ2:CA2"/>
    <mergeCell ref="BZ10:CA10"/>
    <mergeCell ref="DT2:DU2"/>
    <mergeCell ref="DT10:DU10"/>
    <mergeCell ref="ER2:ES2"/>
    <mergeCell ref="ER10:ES10"/>
  </mergeCells>
  <conditionalFormatting sqref="L3:M27 AK3:AK52 B60:B91 B103:B134 M3:M28 BE3:BF50 AJ3:AK50">
    <cfRule type="cellIs" dxfId="41" priority="48" operator="equal">
      <formula>0</formula>
    </cfRule>
  </conditionalFormatting>
  <conditionalFormatting sqref="CE51:CE52 CY3:CZ50 CD3:CE50">
    <cfRule type="cellIs" dxfId="40" priority="4" operator="equal">
      <formula>0</formula>
    </cfRule>
  </conditionalFormatting>
  <conditionalFormatting sqref="CZ51:CZ52">
    <cfRule type="cellIs" dxfId="39" priority="3" operator="equal">
      <formula>0</formula>
    </cfRule>
  </conditionalFormatting>
  <conditionalFormatting sqref="DY51:DY52 DX3:DY50">
    <cfRule type="cellIs" dxfId="38" priority="2" operator="equal">
      <formula>0</formula>
    </cfRule>
  </conditionalFormatting>
  <conditionalFormatting sqref="EW51:EW52 EV3:EW50">
    <cfRule type="cellIs" dxfId="37" priority="1" operator="equal">
      <formula>0</formula>
    </cfRule>
  </conditionalFormatting>
  <dataValidations count="1">
    <dataValidation allowBlank="1" showInputMessage="1" showErrorMessage="1" promptTitle="DATE" prompt="IFany change Put date " sqref="B2:B6"/>
  </dataValidation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3"/>
  <sheetViews>
    <sheetView topLeftCell="A127" zoomScale="106" zoomScaleNormal="106" workbookViewId="0">
      <selection activeCell="B39" sqref="B39"/>
    </sheetView>
  </sheetViews>
  <sheetFormatPr defaultColWidth="15.7109375" defaultRowHeight="12.75"/>
  <cols>
    <col min="1" max="16384" width="15.7109375" style="34"/>
  </cols>
  <sheetData>
    <row r="1" spans="1:51" ht="22.5" customHeight="1">
      <c r="A1" s="1130"/>
      <c r="B1" s="1130"/>
      <c r="C1" s="1130"/>
      <c r="D1" s="1130"/>
      <c r="E1" s="1130"/>
      <c r="F1" s="1130"/>
      <c r="G1" s="1130"/>
      <c r="H1" s="1130"/>
      <c r="I1" s="1130"/>
      <c r="J1" s="1130"/>
      <c r="K1" s="1130"/>
      <c r="L1" s="1130"/>
      <c r="O1" s="1131" t="s">
        <v>1580</v>
      </c>
      <c r="P1" s="1131"/>
      <c r="Q1" s="1131"/>
      <c r="R1" s="1131"/>
      <c r="S1" s="1131"/>
      <c r="T1" s="1131"/>
      <c r="U1" s="1131"/>
      <c r="V1" s="1131"/>
      <c r="W1" s="1131"/>
      <c r="X1" s="1131"/>
      <c r="Y1" s="1131"/>
      <c r="Z1" s="1131"/>
      <c r="AA1" s="1131"/>
      <c r="AM1" s="1131"/>
      <c r="AN1" s="1130"/>
      <c r="AO1" s="1130"/>
      <c r="AP1" s="1130"/>
      <c r="AQ1" s="1130"/>
      <c r="AR1" s="1130"/>
      <c r="AS1" s="1130"/>
      <c r="AT1" s="1130"/>
      <c r="AU1" s="1130"/>
      <c r="AV1" s="1130"/>
      <c r="AW1" s="1130"/>
      <c r="AX1" s="1130"/>
    </row>
    <row r="2" spans="1:51" ht="21">
      <c r="A2" s="127" t="s">
        <v>1306</v>
      </c>
      <c r="B2" s="139">
        <f>DATE(Main!K141,Main!J143,Main!J144)</f>
        <v>28399</v>
      </c>
      <c r="C2" s="129" t="s">
        <v>1518</v>
      </c>
      <c r="D2" s="120">
        <f>IF(Main!L4=Main!BM16,0,MONTH(CONCATENATE(Main!L4)))</f>
        <v>9</v>
      </c>
      <c r="E2" s="123"/>
      <c r="F2" s="123"/>
      <c r="G2" s="123"/>
      <c r="H2" s="1"/>
      <c r="I2" s="120">
        <v>3600</v>
      </c>
      <c r="J2" s="120">
        <v>4500</v>
      </c>
      <c r="K2" s="121">
        <v>11530</v>
      </c>
      <c r="L2" s="123">
        <v>11860</v>
      </c>
      <c r="M2" s="123" t="s">
        <v>326</v>
      </c>
      <c r="O2" s="127" t="s">
        <v>1306</v>
      </c>
      <c r="P2" s="139">
        <f>B2</f>
        <v>28399</v>
      </c>
      <c r="Q2" s="129" t="s">
        <v>1581</v>
      </c>
      <c r="R2" s="205">
        <f>'IN RPS-2010'!B5</f>
        <v>0</v>
      </c>
      <c r="S2" s="123"/>
      <c r="T2" s="123"/>
      <c r="U2" s="123"/>
      <c r="V2" s="1"/>
      <c r="W2" s="120">
        <v>3600</v>
      </c>
      <c r="X2" s="120">
        <v>4500</v>
      </c>
      <c r="Y2" s="121">
        <v>11530</v>
      </c>
      <c r="Z2" s="123">
        <v>11860</v>
      </c>
      <c r="AA2" s="123" t="s">
        <v>326</v>
      </c>
      <c r="AM2" s="127"/>
      <c r="AN2" s="139"/>
      <c r="AO2" s="129"/>
      <c r="AP2" s="120"/>
      <c r="AQ2" s="123"/>
      <c r="AR2" s="123"/>
      <c r="AS2" s="123"/>
      <c r="AT2" s="1"/>
      <c r="AU2" s="120"/>
      <c r="AV2" s="120"/>
      <c r="AW2" s="121"/>
      <c r="AX2" s="123"/>
      <c r="AY2" s="123"/>
    </row>
    <row r="3" spans="1:51" ht="21.95" customHeight="1">
      <c r="A3" s="138" t="s">
        <v>1577</v>
      </c>
      <c r="B3" s="141">
        <f>IF(Main!H5=Main!AK4,Main!L5+Main!M5-1,0)</f>
        <v>0</v>
      </c>
      <c r="C3" s="128" t="s">
        <v>1523</v>
      </c>
      <c r="D3" s="120">
        <f>IF(B3=0,D2,IF(F3&gt;G3,MONTH(A20),D2))</f>
        <v>9</v>
      </c>
      <c r="E3" s="124" t="s">
        <v>1519</v>
      </c>
      <c r="F3" s="120">
        <f>IF(B3=0,0,Main!I6)</f>
        <v>0</v>
      </c>
      <c r="G3" s="140">
        <f>C19</f>
        <v>26300</v>
      </c>
      <c r="H3" s="1"/>
      <c r="I3" s="120">
        <v>4400</v>
      </c>
      <c r="J3" s="120">
        <v>5400</v>
      </c>
      <c r="K3" s="121">
        <v>15700</v>
      </c>
      <c r="L3" s="123">
        <v>16150</v>
      </c>
      <c r="M3" s="123" t="s">
        <v>328</v>
      </c>
      <c r="O3" s="138" t="s">
        <v>1582</v>
      </c>
      <c r="P3" s="141">
        <f>MAX(P6:P7)</f>
        <v>0</v>
      </c>
      <c r="Q3" s="128" t="s">
        <v>1583</v>
      </c>
      <c r="R3" s="205">
        <f>IF(AND(R2&gt;0,Main!L8&lt;Main!L9),Main!L9,R2)</f>
        <v>0</v>
      </c>
      <c r="S3" s="124" t="s">
        <v>1519</v>
      </c>
      <c r="T3" s="120">
        <f>F3</f>
        <v>0</v>
      </c>
      <c r="U3" s="140"/>
      <c r="V3" s="1"/>
      <c r="W3" s="120">
        <v>4400</v>
      </c>
      <c r="X3" s="120">
        <v>5400</v>
      </c>
      <c r="Y3" s="121">
        <v>15700</v>
      </c>
      <c r="Z3" s="123">
        <v>16150</v>
      </c>
      <c r="AA3" s="123" t="s">
        <v>328</v>
      </c>
      <c r="AM3" s="138"/>
      <c r="AN3" s="141"/>
      <c r="AO3" s="128"/>
      <c r="AP3" s="120"/>
      <c r="AQ3" s="124"/>
      <c r="AR3" s="120"/>
      <c r="AS3" s="140"/>
      <c r="AT3" s="1"/>
      <c r="AU3" s="120"/>
      <c r="AV3" s="120"/>
      <c r="AW3" s="121"/>
      <c r="AX3" s="123"/>
      <c r="AY3" s="123"/>
    </row>
    <row r="4" spans="1:51" ht="21.95" customHeight="1">
      <c r="A4" s="123"/>
      <c r="B4" s="145"/>
      <c r="C4" s="128"/>
      <c r="D4" s="120"/>
      <c r="E4" s="124"/>
      <c r="F4" s="124"/>
      <c r="G4" s="124"/>
      <c r="H4" s="121"/>
      <c r="I4" s="120">
        <v>4500</v>
      </c>
      <c r="J4" s="120">
        <v>11530</v>
      </c>
      <c r="K4" s="121">
        <v>11860</v>
      </c>
      <c r="L4" s="123">
        <v>12190</v>
      </c>
      <c r="M4" s="12" t="s">
        <v>326</v>
      </c>
      <c r="O4" s="123" t="s">
        <v>1584</v>
      </c>
      <c r="P4" s="145">
        <f>IF(Main!H7=0,0,IF(OR(Main!AN10=2,AND(Main!AN10=5,Main!H7&gt;0)),Main!H7+Main!I7-1,0))</f>
        <v>0</v>
      </c>
      <c r="Q4" s="124" t="s">
        <v>1585</v>
      </c>
      <c r="R4" s="205">
        <f>IF('IN RPS-2010'!B23=$Q$9,0,'IN RPS-2010'!B23)</f>
        <v>0</v>
      </c>
      <c r="S4" s="124" t="str">
        <f>S3</f>
        <v>Min Sc Pay fixed</v>
      </c>
      <c r="T4" s="124">
        <f>T3</f>
        <v>0</v>
      </c>
      <c r="U4" s="124"/>
      <c r="V4" s="121"/>
      <c r="W4" s="120">
        <v>4500</v>
      </c>
      <c r="X4" s="120">
        <v>11530</v>
      </c>
      <c r="Y4" s="121">
        <v>11860</v>
      </c>
      <c r="Z4" s="123">
        <v>12190</v>
      </c>
      <c r="AA4" s="12" t="s">
        <v>326</v>
      </c>
      <c r="AM4" s="123"/>
      <c r="AN4" s="145"/>
      <c r="AO4" s="128"/>
      <c r="AP4" s="120"/>
      <c r="AQ4" s="124"/>
      <c r="AR4" s="124"/>
      <c r="AS4" s="124"/>
      <c r="AT4" s="121"/>
      <c r="AU4" s="120"/>
      <c r="AV4" s="120"/>
      <c r="AW4" s="121"/>
      <c r="AX4" s="123"/>
      <c r="AY4" s="12"/>
    </row>
    <row r="5" spans="1:51" ht="21.95" customHeight="1">
      <c r="A5" s="138" t="s">
        <v>1428</v>
      </c>
      <c r="B5" s="141">
        <f>IF(Main!H7=Main!AK3,0,Main!L7+Main!M7-1)</f>
        <v>0</v>
      </c>
      <c r="C5" s="124" t="s">
        <v>1520</v>
      </c>
      <c r="D5" s="130">
        <f>B24</f>
        <v>42461</v>
      </c>
      <c r="E5" s="120" t="s">
        <v>1522</v>
      </c>
      <c r="F5" s="124">
        <f>IF(B5=0,0,Main!I8)</f>
        <v>0</v>
      </c>
      <c r="G5" s="124"/>
      <c r="H5" s="121"/>
      <c r="I5" s="120">
        <v>5400</v>
      </c>
      <c r="J5" s="137">
        <v>15700</v>
      </c>
      <c r="K5" s="121">
        <v>16150</v>
      </c>
      <c r="L5" s="123">
        <v>16600</v>
      </c>
      <c r="M5" s="12" t="s">
        <v>328</v>
      </c>
      <c r="O5" s="138" t="s">
        <v>1428</v>
      </c>
      <c r="P5" s="141">
        <f>R2</f>
        <v>0</v>
      </c>
      <c r="Q5" s="157" t="s">
        <v>1586</v>
      </c>
      <c r="R5" s="130">
        <f>IF('IN RPS-2010'!B24=$Q$9,0,'IN RPS-2010'!B24)</f>
        <v>0</v>
      </c>
      <c r="S5" s="120" t="s">
        <v>1522</v>
      </c>
      <c r="T5" s="124">
        <f>IF(OR(Main!AN2=1,Main!AN10=4,P5=0),0,Main!H9)</f>
        <v>0</v>
      </c>
      <c r="U5" s="124"/>
      <c r="V5" s="121"/>
      <c r="W5" s="120">
        <v>5400</v>
      </c>
      <c r="X5" s="137">
        <v>15700</v>
      </c>
      <c r="Y5" s="121">
        <v>16150</v>
      </c>
      <c r="Z5" s="123">
        <v>16600</v>
      </c>
      <c r="AA5" s="12" t="s">
        <v>328</v>
      </c>
      <c r="AM5" s="138"/>
      <c r="AN5" s="141"/>
      <c r="AO5" s="124"/>
      <c r="AP5" s="130"/>
      <c r="AQ5" s="120"/>
      <c r="AR5" s="124"/>
      <c r="AS5" s="124"/>
      <c r="AT5" s="121"/>
      <c r="AU5" s="120"/>
      <c r="AV5" s="137"/>
      <c r="AW5" s="121"/>
      <c r="AX5" s="123"/>
      <c r="AY5" s="12"/>
    </row>
    <row r="6" spans="1:51" ht="21.95" customHeight="1">
      <c r="A6" s="134" t="s">
        <v>1578</v>
      </c>
      <c r="B6" s="132">
        <f>IF(Main!AM2=3,D5,IF(OR(Main!AM2=1,Main!AN10=4),0,B5))</f>
        <v>0</v>
      </c>
      <c r="C6" s="124" t="s">
        <v>1521</v>
      </c>
      <c r="D6" s="133">
        <f>B23</f>
        <v>42461</v>
      </c>
      <c r="E6" s="120"/>
      <c r="F6" s="124"/>
      <c r="G6" s="124"/>
      <c r="H6" s="121"/>
      <c r="I6" s="120">
        <v>11530</v>
      </c>
      <c r="J6" s="137">
        <v>11860</v>
      </c>
      <c r="K6" s="121">
        <v>12190</v>
      </c>
      <c r="L6" s="123">
        <v>12550</v>
      </c>
      <c r="O6" s="134" t="s">
        <v>1587</v>
      </c>
      <c r="P6" s="132">
        <f>B3</f>
        <v>0</v>
      </c>
      <c r="Q6" s="124"/>
      <c r="R6" s="133"/>
      <c r="S6" s="120"/>
      <c r="T6" s="124"/>
      <c r="U6" s="124"/>
      <c r="V6" s="121"/>
      <c r="W6" s="120">
        <v>11530</v>
      </c>
      <c r="X6" s="137">
        <v>11860</v>
      </c>
      <c r="Y6" s="121">
        <v>12190</v>
      </c>
      <c r="Z6" s="123">
        <v>12550</v>
      </c>
      <c r="AM6" s="134"/>
      <c r="AN6" s="132"/>
      <c r="AO6" s="124"/>
      <c r="AP6" s="133"/>
      <c r="AQ6" s="120"/>
      <c r="AR6" s="124"/>
      <c r="AS6" s="124"/>
      <c r="AT6" s="121"/>
      <c r="AU6" s="120"/>
      <c r="AV6" s="137"/>
      <c r="AW6" s="121"/>
      <c r="AX6" s="123"/>
    </row>
    <row r="7" spans="1:51" ht="21.95" customHeight="1">
      <c r="A7" s="134"/>
      <c r="B7" s="132"/>
      <c r="C7" s="124"/>
      <c r="D7" s="131"/>
      <c r="E7" s="135"/>
      <c r="F7" s="121"/>
      <c r="G7" s="124"/>
      <c r="H7" s="121"/>
      <c r="I7" s="120">
        <v>15700</v>
      </c>
      <c r="J7" s="137">
        <v>16150</v>
      </c>
      <c r="K7" s="121">
        <v>16600</v>
      </c>
      <c r="L7" s="123">
        <v>17050</v>
      </c>
      <c r="O7" s="134" t="s">
        <v>1568</v>
      </c>
      <c r="P7" s="132">
        <f>P6</f>
        <v>0</v>
      </c>
      <c r="Q7" s="124"/>
      <c r="R7" s="131"/>
      <c r="S7" s="135"/>
      <c r="T7" s="121"/>
      <c r="U7" s="124"/>
      <c r="V7" s="121"/>
      <c r="W7" s="120">
        <v>15700</v>
      </c>
      <c r="X7" s="137">
        <v>16150</v>
      </c>
      <c r="Y7" s="121">
        <v>16600</v>
      </c>
      <c r="Z7" s="123">
        <v>17050</v>
      </c>
      <c r="AM7" s="134"/>
      <c r="AN7" s="132"/>
      <c r="AO7" s="124"/>
      <c r="AP7" s="131"/>
      <c r="AQ7" s="135"/>
      <c r="AR7" s="121"/>
      <c r="AS7" s="124"/>
      <c r="AT7" s="121"/>
      <c r="AU7" s="120"/>
      <c r="AV7" s="137"/>
      <c r="AW7" s="121"/>
      <c r="AX7" s="123"/>
    </row>
    <row r="8" spans="1:51" ht="21.95" customHeight="1">
      <c r="A8" s="121"/>
      <c r="B8" s="121"/>
      <c r="C8" s="124"/>
      <c r="D8" s="131"/>
      <c r="E8" s="135"/>
      <c r="F8" s="121"/>
      <c r="G8" s="142"/>
      <c r="H8" s="121"/>
      <c r="I8" s="3">
        <f>IF(Main!$C$26="UGC",Main!J4,'IN RPS-2010'!W8)</f>
        <v>6700</v>
      </c>
      <c r="J8" s="3">
        <f t="shared" ref="J8:L23" si="0">I9</f>
        <v>6900</v>
      </c>
      <c r="K8" s="3">
        <f t="shared" si="0"/>
        <v>7100</v>
      </c>
      <c r="L8" s="3">
        <f t="shared" si="0"/>
        <v>7300</v>
      </c>
      <c r="O8" s="121" t="s">
        <v>1588</v>
      </c>
      <c r="P8" s="132">
        <f>C11</f>
        <v>42462</v>
      </c>
      <c r="Q8" s="124"/>
      <c r="R8" s="131"/>
      <c r="S8" s="135"/>
      <c r="T8" s="121"/>
      <c r="U8" s="142"/>
      <c r="V8" s="121"/>
      <c r="W8" s="3">
        <v>6700</v>
      </c>
      <c r="X8" s="3">
        <v>6900</v>
      </c>
      <c r="Y8" s="3">
        <v>7100</v>
      </c>
      <c r="Z8" s="3">
        <v>7300</v>
      </c>
      <c r="AM8" s="121"/>
      <c r="AN8" s="121"/>
      <c r="AO8" s="124"/>
      <c r="AP8" s="131"/>
      <c r="AQ8" s="135"/>
      <c r="AR8" s="121"/>
      <c r="AS8" s="142"/>
      <c r="AT8" s="121"/>
      <c r="AU8" s="3"/>
      <c r="AV8" s="3"/>
      <c r="AW8" s="3"/>
      <c r="AX8" s="3"/>
    </row>
    <row r="9" spans="1:51" ht="21.95" customHeight="1">
      <c r="A9" s="6" t="s">
        <v>1507</v>
      </c>
      <c r="B9" s="126">
        <f>C9</f>
        <v>42461</v>
      </c>
      <c r="C9" s="150">
        <f>DATE(YEAR(Main!BL1),4,1)</f>
        <v>42461</v>
      </c>
      <c r="D9" s="124" t="s">
        <v>295</v>
      </c>
      <c r="E9" s="133">
        <f>Main!BL2</f>
        <v>42005</v>
      </c>
      <c r="F9" s="124">
        <f>Main!I4</f>
        <v>25600</v>
      </c>
      <c r="G9" s="124"/>
      <c r="H9" s="121"/>
      <c r="I9" s="3">
        <f>IF(Main!$C$26="UGC",SUM(I8,CEILING(I8*3%,10)),W9)</f>
        <v>6900</v>
      </c>
      <c r="J9" s="3">
        <f t="shared" si="0"/>
        <v>7100</v>
      </c>
      <c r="K9" s="3">
        <f t="shared" si="0"/>
        <v>7300</v>
      </c>
      <c r="L9" s="3">
        <f t="shared" si="0"/>
        <v>7520</v>
      </c>
      <c r="O9" s="6" t="s">
        <v>1507</v>
      </c>
      <c r="P9" s="126">
        <f>B9</f>
        <v>42461</v>
      </c>
      <c r="Q9" s="150">
        <f>C9</f>
        <v>42461</v>
      </c>
      <c r="R9" s="124" t="s">
        <v>295</v>
      </c>
      <c r="S9" s="133">
        <f>DATE(2015,1,1)</f>
        <v>42005</v>
      </c>
      <c r="T9" s="124">
        <f>Main!I4</f>
        <v>25600</v>
      </c>
      <c r="U9" s="124"/>
      <c r="V9" s="121"/>
      <c r="W9" s="3">
        <v>6900</v>
      </c>
      <c r="X9" s="3">
        <v>7100</v>
      </c>
      <c r="Y9" s="3">
        <v>7300</v>
      </c>
      <c r="Z9" s="3">
        <v>7520</v>
      </c>
      <c r="AM9" s="6"/>
      <c r="AN9" s="126"/>
      <c r="AO9" s="150"/>
      <c r="AP9" s="124"/>
      <c r="AQ9" s="133"/>
      <c r="AR9" s="124"/>
      <c r="AS9" s="124"/>
      <c r="AT9" s="121"/>
      <c r="AU9" s="3"/>
      <c r="AV9" s="3"/>
      <c r="AW9" s="3"/>
      <c r="AX9" s="3"/>
    </row>
    <row r="10" spans="1:51" ht="21.95" customHeight="1">
      <c r="A10" s="121"/>
      <c r="B10" s="125"/>
      <c r="C10" s="206"/>
      <c r="D10" s="133"/>
      <c r="E10" s="133"/>
      <c r="F10" s="124"/>
      <c r="G10" s="124"/>
      <c r="H10" s="121"/>
      <c r="I10" s="3">
        <f>IF(Main!$C$26="UGC",SUM(I9,CEILING(I9*3%,10)),W10)</f>
        <v>7100</v>
      </c>
      <c r="J10" s="3">
        <f t="shared" si="0"/>
        <v>7300</v>
      </c>
      <c r="K10" s="3">
        <f t="shared" si="0"/>
        <v>7520</v>
      </c>
      <c r="L10" s="3">
        <f t="shared" si="0"/>
        <v>7740</v>
      </c>
      <c r="O10" s="121" t="s">
        <v>1589</v>
      </c>
      <c r="P10" s="125">
        <f>IF(Main!AN10=5,DATE(2011,2,1),0)</f>
        <v>0</v>
      </c>
      <c r="Q10" s="121"/>
      <c r="R10" s="133">
        <f>DATE(2010,2,1)</f>
        <v>40210</v>
      </c>
      <c r="S10" s="133">
        <f>IF(OR(Main!AN10=2,AND(Main!AN10=5,Main!H6&gt;0)),DATE(2010,1,31),0)</f>
        <v>0</v>
      </c>
      <c r="T10" s="124">
        <f>IF(OR(Main!AN10=2,AND(Main!AN10=5,Main!H6&gt;0)),Main!L4,0)</f>
        <v>0</v>
      </c>
      <c r="U10" s="124"/>
      <c r="V10" s="121"/>
      <c r="W10" s="3">
        <v>7100</v>
      </c>
      <c r="X10" s="3">
        <v>7300</v>
      </c>
      <c r="Y10" s="3">
        <v>7520</v>
      </c>
      <c r="Z10" s="3">
        <v>7740</v>
      </c>
      <c r="AM10" s="121"/>
      <c r="AN10" s="125"/>
      <c r="AO10" s="206"/>
      <c r="AP10" s="133"/>
      <c r="AQ10" s="133"/>
      <c r="AR10" s="124"/>
      <c r="AS10" s="124"/>
      <c r="AT10" s="121"/>
      <c r="AU10" s="3"/>
      <c r="AV10" s="3"/>
      <c r="AW10" s="3"/>
      <c r="AX10" s="3"/>
    </row>
    <row r="11" spans="1:51" ht="21.95" customHeight="1">
      <c r="A11" s="121" t="s">
        <v>1525</v>
      </c>
      <c r="B11" s="193" t="s">
        <v>1429</v>
      </c>
      <c r="C11" s="194">
        <f>IF(B3=0,C9+1,Main!L6)</f>
        <v>42462</v>
      </c>
      <c r="D11" s="195" t="s">
        <v>1430</v>
      </c>
      <c r="E11" s="196">
        <f>IF(B5=0,C9+1,IF(OR(Main!AN10=4,Main!AM2=1),C9+1,IF(OR(Main!L8=0,Main!L7&gt;Main!L8),B5+1,Main!L8)))</f>
        <v>42462</v>
      </c>
      <c r="F11" s="197"/>
      <c r="G11" s="197"/>
      <c r="H11" s="122"/>
      <c r="I11" s="3">
        <f>IF(Main!$C$26="UGC",SUM(I10,CEILING(I10*3%,10)),W11)</f>
        <v>7300</v>
      </c>
      <c r="J11" s="3">
        <f t="shared" si="0"/>
        <v>7520</v>
      </c>
      <c r="K11" s="3">
        <f t="shared" si="0"/>
        <v>7740</v>
      </c>
      <c r="L11" s="3">
        <f t="shared" si="0"/>
        <v>7960</v>
      </c>
      <c r="O11" s="121" t="s">
        <v>1525</v>
      </c>
      <c r="P11" s="193" t="s">
        <v>1429</v>
      </c>
      <c r="Q11" s="194">
        <f>IF(P3=0,Q9+1,C11)</f>
        <v>42462</v>
      </c>
      <c r="R11" s="195" t="s">
        <v>1430</v>
      </c>
      <c r="S11" s="196">
        <f>E11</f>
        <v>42462</v>
      </c>
      <c r="T11" s="197"/>
      <c r="U11" s="197"/>
      <c r="V11" s="122"/>
      <c r="W11" s="3">
        <v>7300</v>
      </c>
      <c r="X11" s="3">
        <v>7520</v>
      </c>
      <c r="Y11" s="3">
        <v>7740</v>
      </c>
      <c r="Z11" s="3">
        <v>7960</v>
      </c>
      <c r="AM11" s="121"/>
      <c r="AN11" s="193"/>
      <c r="AO11" s="194"/>
      <c r="AP11" s="195"/>
      <c r="AQ11" s="196"/>
      <c r="AR11" s="197"/>
      <c r="AS11" s="197"/>
      <c r="AT11" s="122"/>
      <c r="AU11" s="3"/>
      <c r="AV11" s="3"/>
      <c r="AW11" s="3"/>
      <c r="AX11" s="3"/>
    </row>
    <row r="12" spans="1:51" ht="21.95" customHeight="1">
      <c r="A12" s="124"/>
      <c r="B12" s="193" t="s">
        <v>1526</v>
      </c>
      <c r="C12" s="194">
        <f>IF(AND(Main!AN10=4,Main!L6=Main!L4),Main!L4+Main!M4-1,IF(Main!AN10=4,Main!L6,C9+1))</f>
        <v>42462</v>
      </c>
      <c r="D12" s="198"/>
      <c r="E12" s="199"/>
      <c r="F12" s="197"/>
      <c r="G12" s="200"/>
      <c r="H12" s="122"/>
      <c r="I12" s="3">
        <f>IF(Main!$C$26="UGC",SUM(I11,CEILING(I11*3%,10)),W12)</f>
        <v>7520</v>
      </c>
      <c r="J12" s="3">
        <f t="shared" si="0"/>
        <v>7740</v>
      </c>
      <c r="K12" s="3">
        <f t="shared" si="0"/>
        <v>7960</v>
      </c>
      <c r="L12" s="3">
        <f t="shared" si="0"/>
        <v>8200</v>
      </c>
      <c r="O12" s="124"/>
      <c r="P12" s="193" t="s">
        <v>1526</v>
      </c>
      <c r="Q12" s="194">
        <f>C12</f>
        <v>42462</v>
      </c>
      <c r="R12" s="198" t="s">
        <v>1590</v>
      </c>
      <c r="S12" s="199">
        <f>IF(Main!AN10=5,Main!L10,Q9+1)</f>
        <v>42462</v>
      </c>
      <c r="T12" s="197"/>
      <c r="U12" s="200"/>
      <c r="V12" s="122"/>
      <c r="W12" s="3">
        <v>7520</v>
      </c>
      <c r="X12" s="3">
        <v>7740</v>
      </c>
      <c r="Y12" s="3">
        <v>7960</v>
      </c>
      <c r="Z12" s="3">
        <v>8200</v>
      </c>
      <c r="AM12" s="124"/>
      <c r="AN12" s="193"/>
      <c r="AO12" s="194"/>
      <c r="AP12" s="198"/>
      <c r="AQ12" s="199"/>
      <c r="AR12" s="197"/>
      <c r="AS12" s="200"/>
      <c r="AT12" s="122"/>
      <c r="AU12" s="3"/>
      <c r="AV12" s="3"/>
      <c r="AW12" s="3"/>
      <c r="AX12" s="3"/>
    </row>
    <row r="13" spans="1:51" ht="21.95" customHeight="1">
      <c r="A13" s="124"/>
      <c r="B13" s="193" t="s">
        <v>1556</v>
      </c>
      <c r="C13" s="201">
        <f>Main!H19</f>
        <v>42461</v>
      </c>
      <c r="D13" s="195" t="s">
        <v>1557</v>
      </c>
      <c r="E13" s="199">
        <f>Main!L19</f>
        <v>42461</v>
      </c>
      <c r="F13" s="197"/>
      <c r="G13" s="197"/>
      <c r="H13" s="122"/>
      <c r="I13" s="3">
        <f>IF(Main!$C$26="UGC",SUM(I12,CEILING(I12*3%,10)),W13)</f>
        <v>7740</v>
      </c>
      <c r="J13" s="3">
        <f t="shared" si="0"/>
        <v>7960</v>
      </c>
      <c r="K13" s="3">
        <f t="shared" si="0"/>
        <v>8200</v>
      </c>
      <c r="L13" s="3">
        <f t="shared" si="0"/>
        <v>8440</v>
      </c>
      <c r="O13" s="124"/>
      <c r="P13" s="193" t="s">
        <v>1556</v>
      </c>
      <c r="Q13" s="201">
        <f>C13</f>
        <v>42461</v>
      </c>
      <c r="R13" s="195" t="s">
        <v>1557</v>
      </c>
      <c r="S13" s="199">
        <f>E13</f>
        <v>42461</v>
      </c>
      <c r="T13" s="197"/>
      <c r="U13" s="197"/>
      <c r="V13" s="122"/>
      <c r="W13" s="3">
        <v>7740</v>
      </c>
      <c r="X13" s="3">
        <v>7960</v>
      </c>
      <c r="Y13" s="3">
        <v>8200</v>
      </c>
      <c r="Z13" s="3">
        <v>8440</v>
      </c>
      <c r="AM13" s="124"/>
      <c r="AN13" s="193"/>
      <c r="AO13" s="201"/>
      <c r="AP13" s="195"/>
      <c r="AQ13" s="199"/>
      <c r="AR13" s="197"/>
      <c r="AS13" s="197"/>
      <c r="AT13" s="122"/>
      <c r="AU13" s="3"/>
      <c r="AV13" s="3"/>
      <c r="AW13" s="3"/>
      <c r="AX13" s="3"/>
    </row>
    <row r="14" spans="1:51" ht="21.95" customHeight="1">
      <c r="A14" s="124" t="s">
        <v>1527</v>
      </c>
      <c r="B14" s="121"/>
      <c r="C14" s="124" t="s">
        <v>1567</v>
      </c>
      <c r="D14" s="202">
        <f>DATE(2010,1,31)</f>
        <v>40209</v>
      </c>
      <c r="E14" s="124" t="s">
        <v>1579</v>
      </c>
      <c r="F14" s="124"/>
      <c r="G14" s="203">
        <f>Main!BL2</f>
        <v>42005</v>
      </c>
      <c r="H14" s="122"/>
      <c r="I14" s="3">
        <f>IF(Main!$C$26="UGC",SUM(I13,CEILING(I13*3%,10)),W14)</f>
        <v>7960</v>
      </c>
      <c r="J14" s="3">
        <f t="shared" si="0"/>
        <v>8200</v>
      </c>
      <c r="K14" s="3">
        <f t="shared" si="0"/>
        <v>8440</v>
      </c>
      <c r="L14" s="3">
        <f t="shared" si="0"/>
        <v>8680</v>
      </c>
      <c r="O14" s="124" t="s">
        <v>1527</v>
      </c>
      <c r="P14" s="121"/>
      <c r="Q14" s="124" t="s">
        <v>1591</v>
      </c>
      <c r="R14" s="202">
        <f>DATE(2010,1,31)</f>
        <v>40209</v>
      </c>
      <c r="S14" s="124" t="s">
        <v>1592</v>
      </c>
      <c r="T14" s="124"/>
      <c r="U14" s="203">
        <f>G14</f>
        <v>42005</v>
      </c>
      <c r="V14" s="122"/>
      <c r="W14" s="3">
        <v>7960</v>
      </c>
      <c r="X14" s="3">
        <v>8200</v>
      </c>
      <c r="Y14" s="3">
        <v>8440</v>
      </c>
      <c r="Z14" s="3">
        <v>8680</v>
      </c>
      <c r="AM14" s="124"/>
      <c r="AN14" s="121"/>
      <c r="AO14" s="124"/>
      <c r="AP14" s="202"/>
      <c r="AQ14" s="124"/>
      <c r="AR14" s="124"/>
      <c r="AS14" s="203"/>
      <c r="AT14" s="122"/>
      <c r="AU14" s="3"/>
      <c r="AV14" s="3"/>
      <c r="AW14" s="3"/>
      <c r="AX14" s="3"/>
    </row>
    <row r="15" spans="1:51" ht="21.95" customHeight="1">
      <c r="A15" s="124" t="s">
        <v>295</v>
      </c>
      <c r="B15" s="125">
        <f>Main!BL2</f>
        <v>42005</v>
      </c>
      <c r="C15" s="128">
        <f>IF(Main!$C$26="UGC",Main!J4,Main!I4)</f>
        <v>25600</v>
      </c>
      <c r="D15" s="124"/>
      <c r="E15" s="124"/>
      <c r="F15" s="124"/>
      <c r="G15" s="124"/>
      <c r="H15" s="122"/>
      <c r="I15" s="3">
        <f>IF(Main!$C$26="UGC",SUM(I14,CEILING(I14*3%,10)),W15)</f>
        <v>8200</v>
      </c>
      <c r="J15" s="3">
        <f t="shared" si="0"/>
        <v>8440</v>
      </c>
      <c r="K15" s="3">
        <f t="shared" si="0"/>
        <v>8680</v>
      </c>
      <c r="L15" s="3">
        <f t="shared" si="0"/>
        <v>8940</v>
      </c>
      <c r="O15" s="124" t="s">
        <v>295</v>
      </c>
      <c r="P15" s="125">
        <f>IF(OR(Main!AN10=2,AND(Main!AN10=5,Main!H6&gt;0)),R14,U14)</f>
        <v>42005</v>
      </c>
      <c r="Q15" s="128">
        <f>C15</f>
        <v>25600</v>
      </c>
      <c r="R15" s="124"/>
      <c r="S15" s="124"/>
      <c r="T15" s="124"/>
      <c r="U15" s="124"/>
      <c r="V15" s="122"/>
      <c r="W15" s="3">
        <v>8200</v>
      </c>
      <c r="X15" s="3">
        <v>8440</v>
      </c>
      <c r="Y15" s="3">
        <v>8680</v>
      </c>
      <c r="Z15" s="3">
        <v>8940</v>
      </c>
      <c r="AM15" s="124"/>
      <c r="AN15" s="125"/>
      <c r="AO15" s="128"/>
      <c r="AP15" s="124"/>
      <c r="AQ15" s="124"/>
      <c r="AR15" s="124"/>
      <c r="AS15" s="124"/>
      <c r="AT15" s="122"/>
      <c r="AU15" s="3"/>
      <c r="AV15" s="3"/>
      <c r="AW15" s="3"/>
      <c r="AX15" s="3"/>
    </row>
    <row r="16" spans="1:51" ht="21.95" customHeight="1">
      <c r="A16" s="144">
        <f>IF(Main!L4=Main!BM16,C9,IF(B9=0,Main!L4,Main!L4+Main!M4-1))</f>
        <v>42248</v>
      </c>
      <c r="B16" s="136">
        <f>MIN(A16,B19,B22,C9)</f>
        <v>42248</v>
      </c>
      <c r="C16" s="128">
        <f>IF(Main!AN10=4,VLOOKUP(C15,$I$2:$L$7,D16),VLOOKUP(C15,$I$8:$L$92,D16))</f>
        <v>26300</v>
      </c>
      <c r="D16" s="124">
        <f>IF(OR(A16=$B$19,A16=$B$22),1,IF(A16=B16,2,1))</f>
        <v>2</v>
      </c>
      <c r="E16" s="124"/>
      <c r="F16" s="124"/>
      <c r="G16" s="124"/>
      <c r="H16" s="124"/>
      <c r="I16" s="3">
        <f>IF(Main!$C$26="UGC",SUM(I15,CEILING(I15*3%,10)),W16)</f>
        <v>8440</v>
      </c>
      <c r="J16" s="3">
        <f t="shared" si="0"/>
        <v>8680</v>
      </c>
      <c r="K16" s="3">
        <f t="shared" si="0"/>
        <v>8940</v>
      </c>
      <c r="L16" s="3">
        <f t="shared" si="0"/>
        <v>9200</v>
      </c>
      <c r="O16" s="144">
        <f>A16</f>
        <v>42248</v>
      </c>
      <c r="P16" s="136">
        <f>MIN(O16,P19,P22,Q9)</f>
        <v>42248</v>
      </c>
      <c r="Q16" s="128">
        <f>IF(Main!AN10=4,VLOOKUP(Q15,$W$2:$Z$7,R16),VLOOKUP(Q15,$W$8:$Z$92,R16))</f>
        <v>26300</v>
      </c>
      <c r="R16" s="124">
        <f>IF(OR(O16=$P$19,O16=$P$22),1,IF(O16=P16,2,1))</f>
        <v>2</v>
      </c>
      <c r="S16" s="124"/>
      <c r="T16" s="124"/>
      <c r="U16" s="124"/>
      <c r="V16" s="124"/>
      <c r="W16" s="3">
        <v>8440</v>
      </c>
      <c r="X16" s="3">
        <v>8680</v>
      </c>
      <c r="Y16" s="3">
        <v>8940</v>
      </c>
      <c r="Z16" s="3">
        <v>9200</v>
      </c>
      <c r="AM16" s="144"/>
      <c r="AN16" s="136"/>
      <c r="AO16" s="128"/>
      <c r="AP16" s="124"/>
      <c r="AQ16" s="124"/>
      <c r="AR16" s="124"/>
      <c r="AS16" s="124"/>
      <c r="AT16" s="124"/>
      <c r="AU16" s="3"/>
      <c r="AV16" s="3"/>
      <c r="AW16" s="3"/>
      <c r="AX16" s="3"/>
    </row>
    <row r="17" spans="1:50" ht="21.95" customHeight="1">
      <c r="A17" s="143">
        <f>IF(C15&lt;I8,DATE(YEAR(A16)+1,MONTH(A16),IF(OR(C15=3600,C15=4400),DAY(A16),1)),DATE(YEAR(A16)+1,MONTH(A16),1))</f>
        <v>42614</v>
      </c>
      <c r="B17" s="136">
        <f>MIN(A17,B19,B22,C9)</f>
        <v>42461</v>
      </c>
      <c r="C17" s="128">
        <f>IF(Main!AN10=4,VLOOKUP(C16,$I$2:$L$7,D17),VLOOKUP(C16,$I$8:$L$92,D17))</f>
        <v>26300</v>
      </c>
      <c r="D17" s="124">
        <f>IF(OR(A17=$B$19,A17=$B$22),1,IF(A17=B17,2,1))</f>
        <v>1</v>
      </c>
      <c r="E17" s="124"/>
      <c r="F17" s="124"/>
      <c r="G17" s="124"/>
      <c r="H17" s="124"/>
      <c r="I17" s="3">
        <f>IF(Main!$C$26="UGC",SUM(I16,CEILING(I16*3%,10)),W17)</f>
        <v>8680</v>
      </c>
      <c r="J17" s="3">
        <f t="shared" si="0"/>
        <v>8940</v>
      </c>
      <c r="K17" s="3">
        <f t="shared" si="0"/>
        <v>9200</v>
      </c>
      <c r="L17" s="3">
        <f t="shared" si="0"/>
        <v>9460</v>
      </c>
      <c r="O17" s="143">
        <f>IF(Main!$AN$10=4,DATE(YEAR(O16)+1,MONTH(O16),IF(OR(Q15=3600,Q15=4400),DAY(O16),1)),DATE(YEAR(O16)+1,MONTH(O16),1))</f>
        <v>42614</v>
      </c>
      <c r="P17" s="136">
        <f>MIN(O17,P19,P22,Q9)</f>
        <v>42461</v>
      </c>
      <c r="Q17" s="128">
        <f>IF(Main!AN10=4,VLOOKUP(Q16,$W$2:$Z$7,R17),VLOOKUP(Q16,$W$8:$Z$92,R17))</f>
        <v>26300</v>
      </c>
      <c r="R17" s="124">
        <f>IF(OR(O17=$P$19,O17=$P$22),1,IF(O17=P17,2,1))</f>
        <v>1</v>
      </c>
      <c r="S17" s="124"/>
      <c r="T17" s="124"/>
      <c r="U17" s="124"/>
      <c r="V17" s="124"/>
      <c r="W17" s="3">
        <v>8680</v>
      </c>
      <c r="X17" s="3">
        <v>8940</v>
      </c>
      <c r="Y17" s="3">
        <v>9200</v>
      </c>
      <c r="Z17" s="3">
        <v>9460</v>
      </c>
      <c r="AM17" s="143"/>
      <c r="AN17" s="136"/>
      <c r="AO17" s="128"/>
      <c r="AP17" s="124"/>
      <c r="AQ17" s="124"/>
      <c r="AR17" s="124"/>
      <c r="AS17" s="124"/>
      <c r="AT17" s="124"/>
      <c r="AU17" s="3"/>
      <c r="AV17" s="3"/>
      <c r="AW17" s="3"/>
      <c r="AX17" s="3"/>
    </row>
    <row r="18" spans="1:50" ht="21.95" customHeight="1">
      <c r="A18" s="143">
        <f>DATE(YEAR(A17)+1,MONTH(A17),1)</f>
        <v>42979</v>
      </c>
      <c r="B18" s="136">
        <f>MIN(A18,B19,B22,C9)</f>
        <v>42461</v>
      </c>
      <c r="C18" s="128">
        <f>IF(Main!AN10=4,VLOOKUP(C17,$I$2:$L$7,D18),VLOOKUP(C17,$I$8:$L$92,D18))</f>
        <v>26300</v>
      </c>
      <c r="D18" s="124">
        <f>IF(OR(A18=$B$19,A18=$B$22),1,IF(A18=B18,2,1))</f>
        <v>1</v>
      </c>
      <c r="E18" s="121"/>
      <c r="F18" s="121"/>
      <c r="G18" s="124"/>
      <c r="H18" s="124"/>
      <c r="I18" s="3">
        <f>IF(Main!$C$26="UGC",SUM(I17,CEILING(I17*3%,10)),W18)</f>
        <v>8940</v>
      </c>
      <c r="J18" s="3">
        <f t="shared" si="0"/>
        <v>9200</v>
      </c>
      <c r="K18" s="3">
        <f t="shared" si="0"/>
        <v>9460</v>
      </c>
      <c r="L18" s="3">
        <f t="shared" si="0"/>
        <v>9740</v>
      </c>
      <c r="O18" s="143">
        <f>DATE(YEAR(O17)+1,MONTH(O17),1)</f>
        <v>42979</v>
      </c>
      <c r="P18" s="136">
        <f>MIN(O18,P19,P22,Q9)</f>
        <v>42461</v>
      </c>
      <c r="Q18" s="128">
        <f>IF(Main!AN10=4,VLOOKUP(Q17,$W$2:$Z$7,R18),VLOOKUP(Q17,$W$8:$Z$92,R18))</f>
        <v>26300</v>
      </c>
      <c r="R18" s="124">
        <f>IF(OR(O18=$P$19,O18=$P$22),1,IF(O18=P18,2,1))</f>
        <v>1</v>
      </c>
      <c r="S18" s="121"/>
      <c r="T18" s="121"/>
      <c r="U18" s="124"/>
      <c r="V18" s="124"/>
      <c r="W18" s="3">
        <v>8940</v>
      </c>
      <c r="X18" s="3">
        <v>9200</v>
      </c>
      <c r="Y18" s="3">
        <v>9460</v>
      </c>
      <c r="Z18" s="3">
        <v>9740</v>
      </c>
      <c r="AM18" s="143"/>
      <c r="AN18" s="136"/>
      <c r="AO18" s="128"/>
      <c r="AP18" s="124"/>
      <c r="AQ18" s="121"/>
      <c r="AR18" s="121"/>
      <c r="AS18" s="124"/>
      <c r="AT18" s="124"/>
      <c r="AU18" s="3"/>
      <c r="AV18" s="3"/>
      <c r="AW18" s="3"/>
      <c r="AX18" s="3"/>
    </row>
    <row r="19" spans="1:50" ht="21.95" customHeight="1">
      <c r="A19" s="124" t="s">
        <v>1429</v>
      </c>
      <c r="B19" s="136">
        <f>IF(B3=0,C9,B3)</f>
        <v>42461</v>
      </c>
      <c r="C19" s="128">
        <f>MAX(E19,G19)</f>
        <v>26300</v>
      </c>
      <c r="D19" s="121">
        <f>IF(B3=0,1,IF(AND(MONTH(A18)=MONTH(B19),DAY(B19)=1),3,2))</f>
        <v>1</v>
      </c>
      <c r="E19" s="121">
        <f>IF(Main!AN10=4,VLOOKUP(C18,$I$2:$L$7,D19),VLOOKUP(C18,$I$8:$L$92,D19))</f>
        <v>26300</v>
      </c>
      <c r="F19" s="124" t="s">
        <v>1524</v>
      </c>
      <c r="G19" s="124">
        <f>F3</f>
        <v>0</v>
      </c>
      <c r="H19" s="124"/>
      <c r="I19" s="3">
        <f>IF(Main!$C$26="UGC",SUM(I18,CEILING(I18*3%,10)),W19)</f>
        <v>9200</v>
      </c>
      <c r="J19" s="3">
        <f t="shared" si="0"/>
        <v>9460</v>
      </c>
      <c r="K19" s="3">
        <f t="shared" si="0"/>
        <v>9740</v>
      </c>
      <c r="L19" s="3">
        <f t="shared" si="0"/>
        <v>10020</v>
      </c>
      <c r="O19" s="124" t="s">
        <v>1429</v>
      </c>
      <c r="P19" s="136">
        <f>IF(P3=0,Q9,P3)</f>
        <v>42461</v>
      </c>
      <c r="Q19" s="128">
        <f>MAX(S19,U19)</f>
        <v>26300</v>
      </c>
      <c r="R19" s="121">
        <f>IF(P3=0,1,IF(AND(MONTH(O18)=MONTH(P19),DAY(P19)=1),3,2))</f>
        <v>1</v>
      </c>
      <c r="S19" s="121">
        <f>IF(Main!AN10=4,VLOOKUP(Q18,$W$2:$Z$7,R19),VLOOKUP(Q18,$W$8:$Z$92,R19))</f>
        <v>26300</v>
      </c>
      <c r="T19" s="124" t="s">
        <v>1524</v>
      </c>
      <c r="U19" s="124">
        <f>T3</f>
        <v>0</v>
      </c>
      <c r="V19" s="124"/>
      <c r="W19" s="3">
        <v>9200</v>
      </c>
      <c r="X19" s="3">
        <v>9460</v>
      </c>
      <c r="Y19" s="3">
        <v>9740</v>
      </c>
      <c r="Z19" s="3">
        <v>10020</v>
      </c>
      <c r="AM19" s="124"/>
      <c r="AN19" s="136"/>
      <c r="AO19" s="128"/>
      <c r="AP19" s="121"/>
      <c r="AQ19" s="121"/>
      <c r="AR19" s="124"/>
      <c r="AS19" s="124"/>
      <c r="AT19" s="124"/>
      <c r="AU19" s="3"/>
      <c r="AV19" s="3"/>
      <c r="AW19" s="3"/>
      <c r="AX19" s="3"/>
    </row>
    <row r="20" spans="1:50" ht="21.95" customHeight="1">
      <c r="A20" s="136">
        <f>IF(E19&lt;G19,DATE(YEAR(B19)+1,MONTH(B19),1),DATE(IF(MONTH(A16)&lt;=MONTH(B19),YEAR(B19)+1,YEAR(B19)),MONTH(A16),1))</f>
        <v>42614</v>
      </c>
      <c r="B20" s="136">
        <f>MIN(A20,B22)</f>
        <v>42461</v>
      </c>
      <c r="C20" s="128">
        <f>IF(Main!AN10=4,VLOOKUP(C19,$I$2:$L$7,D20),VLOOKUP(C19,$I$8:$L$92,D20))</f>
        <v>26300</v>
      </c>
      <c r="D20" s="124">
        <f>IF(A20=$B$22,1,IF(A20=B20,2,1))</f>
        <v>1</v>
      </c>
      <c r="E20" s="124"/>
      <c r="F20" s="124"/>
      <c r="G20" s="124"/>
      <c r="H20" s="124"/>
      <c r="I20" s="3">
        <f>IF(Main!$C$26="UGC",SUM(I19,CEILING(I19*3%,10)),W20)</f>
        <v>9460</v>
      </c>
      <c r="J20" s="3">
        <f t="shared" si="0"/>
        <v>9740</v>
      </c>
      <c r="K20" s="3">
        <f t="shared" si="0"/>
        <v>10020</v>
      </c>
      <c r="L20" s="3">
        <f t="shared" si="0"/>
        <v>10300</v>
      </c>
      <c r="O20" s="136">
        <f>IF(S19&lt;U19,DATE(YEAR(P19)+1,MONTH(P19),1),DATE(IF(MONTH(O16)&lt;=MONTH(P19),YEAR(P19)+1,YEAR(P19)),MONTH(O16),1))</f>
        <v>42614</v>
      </c>
      <c r="P20" s="136">
        <f>MIN(O20,P22)</f>
        <v>42461</v>
      </c>
      <c r="Q20" s="128">
        <f>IF(Main!AN10=4,VLOOKUP(Q19,$W$2:$Z$7,R20),VLOOKUP(Q19,$W$8:$Z$92,R20))</f>
        <v>26300</v>
      </c>
      <c r="R20" s="124">
        <f>IF(O20=$P$22,1,IF(O20=P20,2,1))</f>
        <v>1</v>
      </c>
      <c r="S20" s="124"/>
      <c r="T20" s="124"/>
      <c r="U20" s="124"/>
      <c r="V20" s="124"/>
      <c r="W20" s="3">
        <v>9460</v>
      </c>
      <c r="X20" s="3">
        <v>9740</v>
      </c>
      <c r="Y20" s="3">
        <v>10020</v>
      </c>
      <c r="Z20" s="3">
        <v>10300</v>
      </c>
      <c r="AM20" s="136"/>
      <c r="AN20" s="136"/>
      <c r="AO20" s="128"/>
      <c r="AP20" s="124"/>
      <c r="AQ20" s="124"/>
      <c r="AR20" s="124"/>
      <c r="AS20" s="124"/>
      <c r="AT20" s="124"/>
      <c r="AU20" s="3"/>
      <c r="AV20" s="3"/>
      <c r="AW20" s="3"/>
      <c r="AX20" s="3"/>
    </row>
    <row r="21" spans="1:50" ht="21.95" customHeight="1">
      <c r="A21" s="143">
        <f>DATE(YEAR(A20)+1,MONTH(A20),1)</f>
        <v>42979</v>
      </c>
      <c r="B21" s="136">
        <f>MIN(A21,B22)</f>
        <v>42461</v>
      </c>
      <c r="C21" s="128">
        <f>IF(Main!AN10=4,VLOOKUP(C20,$I$2:$L$7,D21),VLOOKUP(C20,$I$8:$L$92,D21))</f>
        <v>26300</v>
      </c>
      <c r="D21" s="124">
        <f>IF(A21=$B$22,1,IF(A21=B21,2,1))</f>
        <v>1</v>
      </c>
      <c r="E21" s="124"/>
      <c r="F21" s="124"/>
      <c r="G21" s="124"/>
      <c r="H21" s="124"/>
      <c r="I21" s="3">
        <f>IF(Main!$C$26="UGC",SUM(I20,CEILING(I20*3%,10)),W21)</f>
        <v>9740</v>
      </c>
      <c r="J21" s="3">
        <f t="shared" si="0"/>
        <v>10020</v>
      </c>
      <c r="K21" s="3">
        <f t="shared" si="0"/>
        <v>10300</v>
      </c>
      <c r="L21" s="3">
        <f t="shared" si="0"/>
        <v>10600</v>
      </c>
      <c r="O21" s="143">
        <f>DATE(YEAR(O20)+1,MONTH(O20),1)</f>
        <v>42979</v>
      </c>
      <c r="P21" s="136">
        <f>MIN(O21,P22)</f>
        <v>42461</v>
      </c>
      <c r="Q21" s="128">
        <f>IF(Main!AN10=4,VLOOKUP(Q20,$W$2:$Z$7,R21),VLOOKUP(Q20,$W$8:$Z$92,R21))</f>
        <v>26300</v>
      </c>
      <c r="R21" s="124">
        <f>IF(O21=$P$22,1,IF(O21=P21,2,1))</f>
        <v>1</v>
      </c>
      <c r="S21" s="124"/>
      <c r="T21" s="124"/>
      <c r="U21" s="124"/>
      <c r="V21" s="124"/>
      <c r="W21" s="3">
        <v>9740</v>
      </c>
      <c r="X21" s="3">
        <v>10020</v>
      </c>
      <c r="Y21" s="3">
        <v>10300</v>
      </c>
      <c r="Z21" s="3">
        <v>10600</v>
      </c>
      <c r="AM21" s="143"/>
      <c r="AN21" s="136"/>
      <c r="AO21" s="128"/>
      <c r="AP21" s="124"/>
      <c r="AQ21" s="124"/>
      <c r="AR21" s="124"/>
      <c r="AS21" s="124"/>
      <c r="AT21" s="124"/>
      <c r="AU21" s="3"/>
      <c r="AV21" s="3"/>
      <c r="AW21" s="3"/>
      <c r="AX21" s="3"/>
    </row>
    <row r="22" spans="1:50" ht="21.95" customHeight="1">
      <c r="A22" s="124" t="s">
        <v>1495</v>
      </c>
      <c r="B22" s="136">
        <f>IF(B5=0,C9,B5)</f>
        <v>42461</v>
      </c>
      <c r="C22" s="128">
        <f>C21</f>
        <v>26300</v>
      </c>
      <c r="D22" s="124"/>
      <c r="E22" s="121"/>
      <c r="F22" s="124" t="s">
        <v>1524</v>
      </c>
      <c r="G22" s="124">
        <f>F5</f>
        <v>0</v>
      </c>
      <c r="H22" s="124"/>
      <c r="I22" s="3">
        <f>IF(Main!$C$26="UGC",SUM(I21,CEILING(I21*3%,10)),W22)</f>
        <v>10020</v>
      </c>
      <c r="J22" s="3">
        <f t="shared" si="0"/>
        <v>10300</v>
      </c>
      <c r="K22" s="3">
        <f t="shared" si="0"/>
        <v>10600</v>
      </c>
      <c r="L22" s="3">
        <f t="shared" si="0"/>
        <v>10900</v>
      </c>
      <c r="O22" s="124" t="s">
        <v>1495</v>
      </c>
      <c r="P22" s="136">
        <f>IF(P5=0,Q9,P5)</f>
        <v>42461</v>
      </c>
      <c r="Q22" s="128">
        <f>Q21</f>
        <v>26300</v>
      </c>
      <c r="R22" s="124"/>
      <c r="S22" s="121"/>
      <c r="T22" s="124" t="s">
        <v>1524</v>
      </c>
      <c r="U22" s="124">
        <f>T5</f>
        <v>0</v>
      </c>
      <c r="V22" s="124"/>
      <c r="W22" s="3">
        <v>10020</v>
      </c>
      <c r="X22" s="3">
        <v>10300</v>
      </c>
      <c r="Y22" s="3">
        <v>10600</v>
      </c>
      <c r="Z22" s="3">
        <v>10900</v>
      </c>
      <c r="AM22" s="124"/>
      <c r="AN22" s="136"/>
      <c r="AO22" s="128"/>
      <c r="AP22" s="124"/>
      <c r="AQ22" s="121"/>
      <c r="AR22" s="124"/>
      <c r="AS22" s="124"/>
      <c r="AT22" s="124"/>
      <c r="AU22" s="3"/>
      <c r="AV22" s="3"/>
      <c r="AW22" s="3"/>
      <c r="AX22" s="3"/>
    </row>
    <row r="23" spans="1:50" ht="21.95" customHeight="1">
      <c r="A23" s="124" t="s">
        <v>1528</v>
      </c>
      <c r="B23" s="136">
        <f>IF(OR(Main!AM2=4,AND(OR(Main!AM2=2,Main!AM2=3,Main!AM2=4),F23&lt;G22)),C9,B22)</f>
        <v>42461</v>
      </c>
      <c r="C23" s="33">
        <f>MAX(E23,G22)</f>
        <v>26300</v>
      </c>
      <c r="D23" s="124">
        <f>IF($C$9=B23,1,IF(AND(MONTH(B23)=MONTH(A21),DAY(B23)=1),3,2))</f>
        <v>1</v>
      </c>
      <c r="E23" s="128">
        <f>IF(Main!AN10=4,VLOOKUP(C22,$I$2:$L$7,D23),VLOOKUP(C22,$I$8:$L$92,D23))</f>
        <v>26300</v>
      </c>
      <c r="F23" s="124">
        <f>IF(Main!AN10=4,VLOOKUP(C22,$I$2:$L$7,4),VLOOKUP(C22,$I$8:$L$92,4))</f>
        <v>28450</v>
      </c>
      <c r="G23" s="124"/>
      <c r="H23" s="124"/>
      <c r="I23" s="3">
        <f>IF(Main!$C$26="UGC",SUM(I22,CEILING(I22*3%,10)),W23)</f>
        <v>10300</v>
      </c>
      <c r="J23" s="3">
        <f t="shared" si="0"/>
        <v>10600</v>
      </c>
      <c r="K23" s="3">
        <f t="shared" si="0"/>
        <v>10900</v>
      </c>
      <c r="L23" s="3">
        <f t="shared" si="0"/>
        <v>11200</v>
      </c>
      <c r="O23" s="124" t="s">
        <v>1528</v>
      </c>
      <c r="P23" s="136">
        <f>IF(OR(Main!AN2=4,AND(OR(Main!AN2=2,Main!AN2=3,Main!AN2=4),T23&lt;U22)),Q9,P22)</f>
        <v>42461</v>
      </c>
      <c r="Q23" s="33">
        <f>MAX(S23,U22)</f>
        <v>26300</v>
      </c>
      <c r="R23" s="124">
        <f>IF($Q$9=P23,1,IF(AND(MONTH(P23)=MONTH(O21),DAY(P23)=1),3,2))</f>
        <v>1</v>
      </c>
      <c r="S23" s="128">
        <f>IF(Main!AN10=4,VLOOKUP(Q22,$W$2:$Z$7,R23),VLOOKUP(Q22,$W$8:$Z$92,R23))</f>
        <v>26300</v>
      </c>
      <c r="T23" s="124">
        <f>IF(Main!AN10=4,VLOOKUP(Q22,$W$2:$Z$7,4),VLOOKUP(Q22,$W$8:$Z$92,4))</f>
        <v>28450</v>
      </c>
      <c r="U23" s="124"/>
      <c r="V23" s="124"/>
      <c r="W23" s="3">
        <v>10300</v>
      </c>
      <c r="X23" s="3">
        <v>10600</v>
      </c>
      <c r="Y23" s="3">
        <v>10900</v>
      </c>
      <c r="Z23" s="3">
        <v>11200</v>
      </c>
      <c r="AM23" s="124"/>
      <c r="AN23" s="136"/>
      <c r="AO23" s="33"/>
      <c r="AP23" s="124"/>
      <c r="AQ23" s="128"/>
      <c r="AR23" s="124"/>
      <c r="AS23" s="124"/>
      <c r="AT23" s="124"/>
      <c r="AU23" s="3"/>
      <c r="AV23" s="3"/>
      <c r="AW23" s="3"/>
      <c r="AX23" s="3"/>
    </row>
    <row r="24" spans="1:50" ht="21.95" customHeight="1">
      <c r="A24" s="124" t="s">
        <v>1529</v>
      </c>
      <c r="B24" s="136">
        <f>IF(B22=C9,C9,IF(OR(Main!AM2=4,AND(OR(Main!AM2=2,Main!AM2=3,Main!AM2=4),F23&lt;G22)),B22,IF(Main!AM2=2,C9,DATE(IF(MONTH(A21)&lt;=MONTH(B22),YEAR(B22)+1,YEAR(B22)),MONTH(A21),1))))</f>
        <v>42461</v>
      </c>
      <c r="C24" s="33">
        <f>MAX(E24,G22)</f>
        <v>26300</v>
      </c>
      <c r="D24" s="124">
        <f>IF($C$9=B24,1,IF(AND(IF(Main!AM2=3,MONTH(B24)=MONTH(B23),MONTH(B24)=MONTH(A21)),DAY(B24)=1),4,3))</f>
        <v>1</v>
      </c>
      <c r="E24" s="128">
        <f>IF(Main!AN10=4,VLOOKUP(E23,$I$2:$L$7,D24),VLOOKUP(E23,$I$8:$L$92,D24))</f>
        <v>26300</v>
      </c>
      <c r="F24" s="124"/>
      <c r="G24" s="124"/>
      <c r="H24" s="124"/>
      <c r="I24" s="3">
        <f>IF(Main!$C$26="UGC",SUM(I23,CEILING(I23*3%,10)),W24)</f>
        <v>10600</v>
      </c>
      <c r="J24" s="3">
        <f t="shared" ref="J24:L55" si="1">I25</f>
        <v>10900</v>
      </c>
      <c r="K24" s="3">
        <f t="shared" si="1"/>
        <v>11200</v>
      </c>
      <c r="L24" s="3">
        <f t="shared" si="1"/>
        <v>11530</v>
      </c>
      <c r="O24" s="124" t="s">
        <v>1529</v>
      </c>
      <c r="P24" s="136">
        <f>IF(P22=Q9,Q9,IF(OR(Main!AN2=4,AND(OR(Main!AN2=2,Main!AN2=3,Main!AN2=4),T23&lt;U22)),P22,IF(Main!AN2=2,Q9,DATE(IF(MONTH(O21)&lt;=MONTH(P22),YEAR(P22)+1,YEAR(P22)),MONTH(O21),1))))</f>
        <v>42461</v>
      </c>
      <c r="Q24" s="33">
        <f>MAX(S24,U22)</f>
        <v>26300</v>
      </c>
      <c r="R24" s="124">
        <f>IF($Q$9=P24,1,IF(AND(IF(Main!AN2=3,MONTH(P24)=MONTH(P23),MONTH(P24)=MONTH(O21)),DAY(P24)=1),4,3))</f>
        <v>1</v>
      </c>
      <c r="S24" s="128">
        <f>IF(Main!AN10=4,VLOOKUP(S23,$W$2:$Z$7,R24),VLOOKUP(S23,$W$8:$Z$92,R24))</f>
        <v>26300</v>
      </c>
      <c r="T24" s="124"/>
      <c r="U24" s="124"/>
      <c r="V24" s="124"/>
      <c r="W24" s="3">
        <v>10600</v>
      </c>
      <c r="X24" s="3">
        <v>10900</v>
      </c>
      <c r="Y24" s="3">
        <v>11200</v>
      </c>
      <c r="Z24" s="3">
        <v>11530</v>
      </c>
      <c r="AM24" s="124"/>
      <c r="AN24" s="136"/>
      <c r="AO24" s="33"/>
      <c r="AP24" s="124"/>
      <c r="AQ24" s="128"/>
      <c r="AR24" s="124"/>
      <c r="AS24" s="124"/>
      <c r="AT24" s="124"/>
      <c r="AU24" s="3"/>
      <c r="AV24" s="3"/>
      <c r="AW24" s="3"/>
      <c r="AX24" s="3"/>
    </row>
    <row r="25" spans="1:50" ht="21.95" customHeight="1">
      <c r="A25" s="136">
        <f>IF(Main!AM2=2,DATE(IF(MONTH(A21)&lt;=MONTH(B22),YEAR(B22)+1,YEAR(B22)),MONTH(A21),1),DATE(YEAR(B24)+1,MONTH(B24),1))</f>
        <v>42826</v>
      </c>
      <c r="B25" s="136">
        <f>MIN(A25,$C$9)</f>
        <v>42461</v>
      </c>
      <c r="C25" s="128">
        <f>IF(Main!AN10=4,VLOOKUP(C24,$I$2:$L$7,D25),VLOOKUP(C24,$I$8:$L$92,D25))</f>
        <v>26300</v>
      </c>
      <c r="D25" s="124">
        <f>IF(A25=B25,2,1)</f>
        <v>1</v>
      </c>
      <c r="E25" s="124"/>
      <c r="F25" s="124"/>
      <c r="G25" s="124"/>
      <c r="H25" s="124"/>
      <c r="I25" s="3">
        <f>IF(Main!$C$26="UGC",SUM(I24,CEILING(I24*3%,10)),W25)</f>
        <v>10900</v>
      </c>
      <c r="J25" s="3">
        <f t="shared" si="1"/>
        <v>11200</v>
      </c>
      <c r="K25" s="3">
        <f t="shared" si="1"/>
        <v>11530</v>
      </c>
      <c r="L25" s="3">
        <f t="shared" si="1"/>
        <v>11860</v>
      </c>
      <c r="O25" s="136">
        <f>IF(Main!AN2=2,DATE(IF(MONTH(O21)&lt;=MONTH(P22),YEAR(P22)+1,YEAR(P22)),MONTH(O21),1),DATE(YEAR(P24)+1,MONTH(P24),1))</f>
        <v>42826</v>
      </c>
      <c r="P25" s="136">
        <f>MIN(O25,$Q$9)</f>
        <v>42461</v>
      </c>
      <c r="Q25" s="128">
        <f>IF(Main!AN10=4,VLOOKUP(Q24,$W$2:$Z$7,R25),VLOOKUP(Q24,$W$8:$Z$92,R25))</f>
        <v>26300</v>
      </c>
      <c r="R25" s="124">
        <f>IF(O25=P25,2,1)</f>
        <v>1</v>
      </c>
      <c r="S25" s="124"/>
      <c r="T25" s="124"/>
      <c r="U25" s="124"/>
      <c r="V25" s="124"/>
      <c r="W25" s="3">
        <v>10900</v>
      </c>
      <c r="X25" s="3">
        <v>11200</v>
      </c>
      <c r="Y25" s="3">
        <v>11530</v>
      </c>
      <c r="Z25" s="3">
        <v>11860</v>
      </c>
      <c r="AM25" s="136"/>
      <c r="AN25" s="136"/>
      <c r="AO25" s="128"/>
      <c r="AP25" s="124"/>
      <c r="AQ25" s="124"/>
      <c r="AR25" s="124"/>
      <c r="AS25" s="124"/>
      <c r="AT25" s="124"/>
      <c r="AU25" s="3"/>
      <c r="AV25" s="3"/>
      <c r="AW25" s="3"/>
      <c r="AX25" s="3"/>
    </row>
    <row r="26" spans="1:50" ht="21.95" customHeight="1">
      <c r="A26" s="143">
        <f>DATE(YEAR(A25)+1,MONTH(A25),1)</f>
        <v>43191</v>
      </c>
      <c r="B26" s="136">
        <f>MIN(A26,$C$9)</f>
        <v>42461</v>
      </c>
      <c r="C26" s="128">
        <f>IF(Main!AN10=4,VLOOKUP(C25,$I$2:$L$7,D26),VLOOKUP(C25,$I$8:$L$92,D26))</f>
        <v>26300</v>
      </c>
      <c r="D26" s="124">
        <f>IF(A26=B26,2,1)</f>
        <v>1</v>
      </c>
      <c r="E26" s="124"/>
      <c r="F26" s="124"/>
      <c r="G26" s="124"/>
      <c r="H26" s="124"/>
      <c r="I26" s="3">
        <f>IF(Main!$C$26="UGC",SUM(I25,CEILING(I25*3%,10)),W26)</f>
        <v>11200</v>
      </c>
      <c r="J26" s="3">
        <f t="shared" si="1"/>
        <v>11530</v>
      </c>
      <c r="K26" s="3">
        <f t="shared" si="1"/>
        <v>11860</v>
      </c>
      <c r="L26" s="3">
        <f t="shared" si="1"/>
        <v>12190</v>
      </c>
      <c r="O26" s="143">
        <f>DATE(YEAR(O25)+1,MONTH(O25),1)</f>
        <v>43191</v>
      </c>
      <c r="P26" s="136">
        <f>MIN(O26,$Q$9)</f>
        <v>42461</v>
      </c>
      <c r="Q26" s="128">
        <f>IF(Main!AN10=4,VLOOKUP(Q25,$W$2:$Z$7,R26),VLOOKUP(Q25,$W$8:$Z$92,R26))</f>
        <v>26300</v>
      </c>
      <c r="R26" s="124">
        <f>IF(O26=P26,2,1)</f>
        <v>1</v>
      </c>
      <c r="S26" s="124"/>
      <c r="T26" s="124"/>
      <c r="U26" s="124"/>
      <c r="V26" s="124"/>
      <c r="W26" s="3">
        <v>11200</v>
      </c>
      <c r="X26" s="3">
        <v>11530</v>
      </c>
      <c r="Y26" s="3">
        <v>11860</v>
      </c>
      <c r="Z26" s="3">
        <v>12190</v>
      </c>
      <c r="AM26" s="143"/>
      <c r="AN26" s="136"/>
      <c r="AO26" s="128"/>
      <c r="AP26" s="124"/>
      <c r="AQ26" s="124"/>
      <c r="AR26" s="124"/>
      <c r="AS26" s="124"/>
      <c r="AT26" s="124"/>
      <c r="AU26" s="3"/>
      <c r="AV26" s="3"/>
      <c r="AW26" s="3"/>
      <c r="AX26" s="3"/>
    </row>
    <row r="27" spans="1:50" ht="21.95" customHeight="1">
      <c r="A27" s="124"/>
      <c r="B27" s="124"/>
      <c r="C27" s="124"/>
      <c r="D27" s="124"/>
      <c r="E27" s="124"/>
      <c r="F27" s="124"/>
      <c r="G27" s="124"/>
      <c r="H27" s="124"/>
      <c r="I27" s="3">
        <f>IF(Main!$C$26="UGC",SUM(I26,CEILING(I26*3%,10)),W27)</f>
        <v>11530</v>
      </c>
      <c r="J27" s="3">
        <f t="shared" si="1"/>
        <v>11860</v>
      </c>
      <c r="K27" s="3">
        <f t="shared" si="1"/>
        <v>12190</v>
      </c>
      <c r="L27" s="3">
        <f t="shared" si="1"/>
        <v>12550</v>
      </c>
      <c r="O27" s="124"/>
      <c r="P27" s="124"/>
      <c r="Q27" s="124"/>
      <c r="R27" s="124"/>
      <c r="S27" s="124"/>
      <c r="T27" s="124"/>
      <c r="U27" s="124"/>
      <c r="V27" s="124"/>
      <c r="W27" s="3">
        <v>11530</v>
      </c>
      <c r="X27" s="3">
        <v>11860</v>
      </c>
      <c r="Y27" s="3">
        <v>12190</v>
      </c>
      <c r="Z27" s="3">
        <v>12550</v>
      </c>
      <c r="AM27" s="124"/>
      <c r="AN27" s="124"/>
      <c r="AO27" s="124"/>
      <c r="AP27" s="124"/>
      <c r="AQ27" s="124"/>
      <c r="AR27" s="124"/>
      <c r="AS27" s="124"/>
      <c r="AT27" s="124"/>
      <c r="AU27" s="3"/>
      <c r="AV27" s="3"/>
      <c r="AW27" s="3"/>
      <c r="AX27" s="3"/>
    </row>
    <row r="28" spans="1:50" ht="21.95" customHeight="1">
      <c r="A28" s="124"/>
      <c r="B28" s="128" t="s">
        <v>1531</v>
      </c>
      <c r="C28" s="124"/>
      <c r="D28" s="124"/>
      <c r="E28" s="124"/>
      <c r="F28" s="124"/>
      <c r="G28" s="124"/>
      <c r="H28" s="124"/>
      <c r="I28" s="3">
        <f>IF(Main!$C$26="UGC",SUM(I27,CEILING(I27*3%,10)),W28)</f>
        <v>11860</v>
      </c>
      <c r="J28" s="3">
        <f t="shared" si="1"/>
        <v>12190</v>
      </c>
      <c r="K28" s="3">
        <f t="shared" si="1"/>
        <v>12550</v>
      </c>
      <c r="L28" s="3">
        <f t="shared" si="1"/>
        <v>12910</v>
      </c>
      <c r="O28" s="124"/>
      <c r="P28" s="128" t="s">
        <v>1531</v>
      </c>
      <c r="Q28" s="124"/>
      <c r="R28" s="124"/>
      <c r="S28" s="124"/>
      <c r="T28" s="124"/>
      <c r="U28" s="124"/>
      <c r="V28" s="124"/>
      <c r="W28" s="3">
        <v>11860</v>
      </c>
      <c r="X28" s="3">
        <v>12190</v>
      </c>
      <c r="Y28" s="3">
        <v>12550</v>
      </c>
      <c r="Z28" s="3">
        <v>12910</v>
      </c>
      <c r="AM28" s="124"/>
      <c r="AN28" s="128"/>
      <c r="AO28" s="124"/>
      <c r="AP28" s="124"/>
      <c r="AQ28" s="124"/>
      <c r="AR28" s="124"/>
      <c r="AS28" s="124"/>
      <c r="AT28" s="124"/>
      <c r="AU28" s="3"/>
      <c r="AV28" s="3"/>
      <c r="AW28" s="3"/>
      <c r="AX28" s="3"/>
    </row>
    <row r="29" spans="1:50" ht="21.95" customHeight="1">
      <c r="B29" s="128" t="s">
        <v>1530</v>
      </c>
      <c r="C29" s="124"/>
      <c r="D29" s="124"/>
      <c r="E29" s="124"/>
      <c r="F29" s="124"/>
      <c r="G29" s="124"/>
      <c r="H29" s="124"/>
      <c r="I29" s="3">
        <f>IF(Main!$C$26="UGC",SUM(I28,CEILING(I28*3%,10)),W29)</f>
        <v>12190</v>
      </c>
      <c r="J29" s="3">
        <f t="shared" si="1"/>
        <v>12550</v>
      </c>
      <c r="K29" s="3">
        <f t="shared" si="1"/>
        <v>12910</v>
      </c>
      <c r="L29" s="3">
        <f t="shared" si="1"/>
        <v>13270</v>
      </c>
      <c r="P29" s="128" t="s">
        <v>1530</v>
      </c>
      <c r="Q29" s="124"/>
      <c r="R29" s="124"/>
      <c r="S29" s="124"/>
      <c r="T29" s="124"/>
      <c r="U29" s="124"/>
      <c r="V29" s="124"/>
      <c r="W29" s="3">
        <v>12190</v>
      </c>
      <c r="X29" s="3">
        <v>12550</v>
      </c>
      <c r="Y29" s="3">
        <v>12910</v>
      </c>
      <c r="Z29" s="3">
        <v>13270</v>
      </c>
      <c r="AN29" s="128"/>
      <c r="AO29" s="124"/>
      <c r="AP29" s="124"/>
      <c r="AQ29" s="124"/>
      <c r="AR29" s="124"/>
      <c r="AS29" s="124"/>
      <c r="AT29" s="124"/>
      <c r="AU29" s="3"/>
      <c r="AV29" s="3"/>
      <c r="AW29" s="3"/>
      <c r="AX29" s="3"/>
    </row>
    <row r="30" spans="1:50" ht="21.95" customHeight="1">
      <c r="A30" s="157"/>
      <c r="B30" s="133">
        <f>B15</f>
        <v>42005</v>
      </c>
      <c r="C30" s="156">
        <f>C15</f>
        <v>25600</v>
      </c>
      <c r="D30" s="124"/>
      <c r="E30" s="192">
        <f>C15</f>
        <v>25600</v>
      </c>
      <c r="F30" s="124">
        <f>IF(B30&gt;=$B$22,$G$22,IF(B30&gt;=$B$19,$G$19,0))</f>
        <v>0</v>
      </c>
      <c r="G30" s="124"/>
      <c r="H30" s="124" t="b">
        <f>EXACT(C30,E30)</f>
        <v>1</v>
      </c>
      <c r="I30" s="3">
        <f>IF(Main!$C$26="UGC",SUM(I29,CEILING(I29*3%,10)),W30)</f>
        <v>12550</v>
      </c>
      <c r="J30" s="3">
        <f t="shared" si="1"/>
        <v>12910</v>
      </c>
      <c r="K30" s="3">
        <f t="shared" si="1"/>
        <v>13270</v>
      </c>
      <c r="L30" s="3">
        <f t="shared" si="1"/>
        <v>13660</v>
      </c>
      <c r="O30" s="157"/>
      <c r="P30" s="133">
        <f>P15</f>
        <v>42005</v>
      </c>
      <c r="Q30" s="156">
        <f>Q15</f>
        <v>25600</v>
      </c>
      <c r="R30" s="124"/>
      <c r="S30" s="192">
        <f>Q15</f>
        <v>25600</v>
      </c>
      <c r="T30" s="124">
        <f t="shared" ref="T30:T41" si="2">IF(P30&gt;=$P$22,$U$22,IF(P30&gt;=$P$19,$U$19,0))</f>
        <v>0</v>
      </c>
      <c r="U30" s="124"/>
      <c r="V30" s="124" t="b">
        <f t="shared" ref="V30:V41" si="3">EXACT(Q30,S30)</f>
        <v>1</v>
      </c>
      <c r="W30" s="3">
        <v>12550</v>
      </c>
      <c r="X30" s="3">
        <v>12910</v>
      </c>
      <c r="Y30" s="3">
        <v>13270</v>
      </c>
      <c r="Z30" s="3">
        <v>13660</v>
      </c>
      <c r="AM30" s="157"/>
      <c r="AN30" s="133"/>
      <c r="AO30" s="156"/>
      <c r="AP30" s="124"/>
      <c r="AQ30" s="192"/>
      <c r="AR30" s="124"/>
      <c r="AS30" s="124"/>
      <c r="AT30" s="124"/>
      <c r="AU30" s="3"/>
      <c r="AV30" s="3"/>
      <c r="AW30" s="3"/>
      <c r="AX30" s="3"/>
    </row>
    <row r="31" spans="1:50" ht="21.95" customHeight="1">
      <c r="A31" s="173">
        <f>B30</f>
        <v>42005</v>
      </c>
      <c r="B31" s="130">
        <f>MIN(IF(AND($B$16&gt;B30,$D$16=2),$B$16,$C$9),IF(AND($B$17&gt;B30,$D$17=2),$B$17,$C$9),IF(AND($B$18&gt;B30,$D$18=2),$B$18,$C$9),IF(AND($B$20&gt;B30,$D$20=2),$B$20,$C$9),IF(AND($B$21&gt;B30,$D$21=2),$B$21,$C$9),IF(AND($B$25&gt;B30,$D$25=2),$B$25,$C$9),IF(AND($B$26&gt;B30,$D$26=2),$B$26,$C$9),IF($B$19&gt;B30,$B$19,$C$9),IF($B$23&gt;B30,$B$23,$C$9),IF($B$24&gt;B30,$B$24,$C$9),IF(AND(Main!$AN$10=5,$G$12&gt;B30),$G$12,$C$9),IF($C$13&gt;B30,$C$13,$C$9),IF($E$13&gt;B30,$E$13,$C$9))</f>
        <v>42248</v>
      </c>
      <c r="C31" s="128">
        <f>IF(B31=$G$12,$F$12,IF(B31=$B$26,$C$26,IF(B31=$B$25,$C$25,IF(B31=$B$24,$C$24,IF(B31=$B$23,$C$23,IF(B31=$B$21,$C$21,IF(B31=$B$20,$C$20,IF(B31=$B$19,$C$19,IF(B31=$B$18,$C$18,IF(B31=$B$17,$C$17,IF(B31=$B$16,$C$16,C30)))))))))))</f>
        <v>26300</v>
      </c>
      <c r="D31" s="128">
        <f>IF(B31=$B$24,$D$24,IF(B31=$B$23,$D$23,IF(B31=$B$19,$D$19,IF(B31=$G$12,1,IF(ISNA(VLOOKUP(B31,$A$44:$B$49,2,FALSE)),1,LOOKUP(B31,$A$44:$B$49))))))</f>
        <v>2</v>
      </c>
      <c r="E31" s="192">
        <f>IF(AND(Main!$AN$10=5,B31=$G$12),$F$12,MAX(IF(Main!$AN$10=4,VLOOKUP(E30,$I$2:$L$7,D31),VLOOKUP(E30,$I$8:$L$92,D31)),F31))</f>
        <v>26300</v>
      </c>
      <c r="F31" s="124">
        <f t="shared" ref="F31:F41" si="4">IF(B31&gt;=$B$22,$G$22,IF(B31&gt;=$B$19,$G$19,0))</f>
        <v>0</v>
      </c>
      <c r="G31" s="124"/>
      <c r="H31" s="124" t="b">
        <f t="shared" ref="H31:H41" si="5">EXACT(C31,E31)</f>
        <v>1</v>
      </c>
      <c r="I31" s="3">
        <f>IF(Main!$C$26="UGC",SUM(I30,CEILING(I30*3%,10)),W31)</f>
        <v>12910</v>
      </c>
      <c r="J31" s="3">
        <f t="shared" si="1"/>
        <v>13270</v>
      </c>
      <c r="K31" s="3">
        <f t="shared" si="1"/>
        <v>13660</v>
      </c>
      <c r="L31" s="3">
        <f t="shared" si="1"/>
        <v>14050</v>
      </c>
      <c r="O31" s="173">
        <f t="shared" ref="O31:O41" si="6">P30</f>
        <v>42005</v>
      </c>
      <c r="P31" s="130">
        <f>MIN(IF(AND($P$16&gt;P30,$R$16=2),$P$16,$Q$9),IF(AND($P$17&gt;P30,$R$17=2),$P$17,$Q$9),IF(AND($P$18&gt;P30,$R$18=2),$P$18,$Q$9),IF(AND($P$20&gt;P30,$R$20=2),$P$20,$Q$9),IF(AND($P$21&gt;P30,$R$21=2),$P$21,$Q$9),IF(AND($P$25&gt;P30,$R$25=2),$P$25,$Q$9),IF(AND($P$26&gt;P30,$R$26=2),$P$26,$Q$9),IF($P$19&gt;P30,$P$19,$Q$9),IF($P$23&gt;P30,$P$23,$Q$9),IF($P$24&gt;P30,$P$24,$Q$9),IF(AND(Main!$AN$10=5,$U$12&gt;P30),$U$12,$Q$9),IF($Q$13&gt;P30,$Q$13,$Q$9),IF($S$13&gt;P30,$S$13,$Q$9))</f>
        <v>42248</v>
      </c>
      <c r="Q31" s="128">
        <f>IF(P31=$U$12,$T$12,IF(P31=$P$26,$Q$26,IF(P31=$P$25,$Q$25,IF(P31=$P$24,$Q$24,IF(P31=$P$23,$Q$23,IF(P31=$P$21,$Q$21,IF(P31=$P$20,$Q$20,IF(P31=$P$19,$Q$19,IF(P31=$P$18,$Q$18,IF(P31=$P$17,$Q$17,IF(P31=$P$16,$Q$16,Q30)))))))))))</f>
        <v>26300</v>
      </c>
      <c r="R31" s="128">
        <f t="shared" ref="R31:R41" si="7">IF(P31=$P$24,$R$24,IF(P31=$P$23,$R$23,IF(P31=$P$19,$R$19,IF(P31=$U$12,1,IF(ISNA(VLOOKUP(P31,$O$44:$P$49,2,FALSE)),1,LOOKUP(P31,$O$44:$P$49))))))</f>
        <v>2</v>
      </c>
      <c r="S31" s="192">
        <f>IF(AND(Main!$AN$10=5,P31=$U$12),$T$12,MAX(IF(Main!$AN$10=4,VLOOKUP(S30,$W$2:$Z$7,R31),VLOOKUP(S30,$W$8:$Z$92,R31)),T31))</f>
        <v>26300</v>
      </c>
      <c r="T31" s="124">
        <f t="shared" si="2"/>
        <v>0</v>
      </c>
      <c r="U31" s="124"/>
      <c r="V31" s="124" t="b">
        <f t="shared" si="3"/>
        <v>1</v>
      </c>
      <c r="W31" s="3">
        <v>12910</v>
      </c>
      <c r="X31" s="3">
        <v>13270</v>
      </c>
      <c r="Y31" s="3">
        <v>13660</v>
      </c>
      <c r="Z31" s="3">
        <v>14050</v>
      </c>
      <c r="AM31" s="173"/>
      <c r="AN31" s="130"/>
      <c r="AO31" s="128"/>
      <c r="AP31" s="128"/>
      <c r="AQ31" s="192"/>
      <c r="AR31" s="124"/>
      <c r="AS31" s="124"/>
      <c r="AT31" s="124"/>
      <c r="AU31" s="3"/>
      <c r="AV31" s="3"/>
      <c r="AW31" s="3"/>
      <c r="AX31" s="3"/>
    </row>
    <row r="32" spans="1:50" ht="21.95" customHeight="1">
      <c r="A32" s="173">
        <f t="shared" ref="A32:A41" si="8">B31</f>
        <v>42248</v>
      </c>
      <c r="B32" s="130">
        <f>MIN(IF(AND($B$16&gt;B31,$D$16=2),$B$16,$C$9),IF(AND($B$17&gt;B31,$D$17=2),$B$17,$C$9),IF(AND($B$18&gt;B31,$D$18=2),$B$18,$C$9),IF(AND($B$20&gt;B31,$D$20=2),$B$20,$C$9),IF(AND($B$21&gt;B31,$D$21=2),$B$21,$C$9),IF(AND($B$25&gt;B31,$D$25=2),$B$25,$C$9),IF(AND($B$26&gt;B31,$D$26=2),$B$26,$C$9),IF($B$19&gt;B31,$B$19,$C$9),IF($B$23&gt;B31,$B$23,$C$9),IF($B$24&gt;B31,$B$24,$C$9),IF(AND(Main!$AN$10=5,$G$12&gt;B31),$G$12,$C$9),IF($C$13&gt;B31,$C$13,$C$9),IF($E$13&gt;B31,$E$13,$C$9))</f>
        <v>42461</v>
      </c>
      <c r="C32" s="128">
        <f t="shared" ref="C32:C41" si="9">IF(B32=$G$12,$F$12,IF(B32=$B$26,$C$26,IF(B32=$B$25,$C$25,IF(B32=$B$24,$C$24,IF(B32=$B$23,$C$23,IF(B32=$B$21,$C$21,IF(B32=$B$20,$C$20,IF(B32=$B$19,$C$19,IF(B32=$B$18,$C$18,IF(B32=$B$17,$C$17,IF(B32=$B$16,$C$16,C31)))))))))))</f>
        <v>26300</v>
      </c>
      <c r="D32" s="128">
        <f>IF(B32=$B$24,$D$24,IF(B32=$B$23,$D$23,IF(B32=$B$19,$D$19,IF(B32=$G$12,1,IF(ISNA(VLOOKUP(B32,$A$44:$B$49,2,FALSE)),1,LOOKUP(B32,$A$44:$B$49))))))</f>
        <v>1</v>
      </c>
      <c r="E32" s="192">
        <f>IF(AND(Main!$AN$10=5,B32=$G$12),$F$12,MAX(IF(Main!$AN$10=4,VLOOKUP(E31,$I$2:$L$7,D32),VLOOKUP(E31,$I$8:$L$92,D32)),F32))</f>
        <v>26300</v>
      </c>
      <c r="F32" s="124">
        <f t="shared" si="4"/>
        <v>0</v>
      </c>
      <c r="G32" s="124"/>
      <c r="H32" s="124" t="b">
        <f t="shared" si="5"/>
        <v>1</v>
      </c>
      <c r="I32" s="3">
        <f>IF(Main!$C$26="UGC",SUM(I31,CEILING(I31*3%,10)),W32)</f>
        <v>13270</v>
      </c>
      <c r="J32" s="3">
        <f t="shared" si="1"/>
        <v>13660</v>
      </c>
      <c r="K32" s="3">
        <f t="shared" si="1"/>
        <v>14050</v>
      </c>
      <c r="L32" s="3">
        <f t="shared" si="1"/>
        <v>14440</v>
      </c>
      <c r="O32" s="173">
        <f t="shared" si="6"/>
        <v>42248</v>
      </c>
      <c r="P32" s="130">
        <f>MIN(IF(AND($P$16&gt;P31,$R$16=2),$P$16,$Q$9),IF(AND($P$17&gt;P31,$R$17=2),$P$17,$Q$9),IF(AND($P$18&gt;P31,$R$18=2),$P$18,$Q$9),IF(AND($P$20&gt;P31,$R$20=2),$P$20,$Q$9),IF(AND($P$21&gt;P31,$R$21=2),$P$21,$Q$9),IF(AND($P$25&gt;P31,$R$25=2),$P$25,$Q$9),IF(AND($P$26&gt;P31,$R$26=2),$P$26,$Q$9),IF($P$19&gt;P31,$P$19,$Q$9),IF($P$23&gt;P31,$P$23,$Q$9),IF($P$24&gt;P31,$P$24,$Q$9),IF(AND(Main!$AN$10=5,$U$12&gt;P31),$U$12,$Q$9),IF($Q$13&gt;P31,$Q$13,$Q$9),IF($S$13&gt;P31,$S$13,$Q$9))</f>
        <v>42461</v>
      </c>
      <c r="Q32" s="128">
        <f>IF(P32=$U$12,$T$12,IF(P32=$P$26,$Q$26,IF(P32=$P$25,$Q$25,IF(P32=$P$24,$Q$24,IF(P32=$P$23,$Q$23,IF(P32=$P$21,$Q$21,IF(P32=$P$20,$Q$20,IF(P32=$P$19,$Q$19,IF(P32=$P$18,$Q$18,IF(P32=$P$17,$Q$17,IF(P32=$P$16,$Q$16,Q31)))))))))))</f>
        <v>26300</v>
      </c>
      <c r="R32" s="128">
        <f t="shared" si="7"/>
        <v>1</v>
      </c>
      <c r="S32" s="192">
        <f>IF(AND(Main!$AN$10=5,P32=$U$12),$T$12,MAX(IF(Main!$AN$10=4,VLOOKUP(S31,$W$2:$Z$7,R32),VLOOKUP(S31,$W$8:$Z$92,R32)),T32))</f>
        <v>26300</v>
      </c>
      <c r="T32" s="124">
        <f t="shared" si="2"/>
        <v>0</v>
      </c>
      <c r="U32" s="124"/>
      <c r="V32" s="124" t="b">
        <f t="shared" si="3"/>
        <v>1</v>
      </c>
      <c r="W32" s="3">
        <v>13270</v>
      </c>
      <c r="X32" s="3">
        <v>13660</v>
      </c>
      <c r="Y32" s="3">
        <v>14050</v>
      </c>
      <c r="Z32" s="3">
        <v>14440</v>
      </c>
      <c r="AM32" s="173"/>
      <c r="AN32" s="130"/>
      <c r="AO32" s="128"/>
      <c r="AP32" s="128"/>
      <c r="AQ32" s="192"/>
      <c r="AR32" s="124"/>
      <c r="AS32" s="124"/>
      <c r="AT32" s="124"/>
      <c r="AU32" s="3"/>
      <c r="AV32" s="3"/>
      <c r="AW32" s="3"/>
      <c r="AX32" s="3"/>
    </row>
    <row r="33" spans="1:50" ht="21.95" customHeight="1">
      <c r="A33" s="173">
        <f t="shared" si="8"/>
        <v>42461</v>
      </c>
      <c r="B33" s="130">
        <f>MIN(IF(AND($B$16&gt;B32,$D$16=2),$B$16,$C$9),IF(AND($B$17&gt;B32,$D$17=2),$B$17,$C$9),IF(AND($B$18&gt;B32,$D$18=2),$B$18,$C$9),IF(AND($B$20&gt;B32,$D$20=2),$B$20,$C$9),IF(AND($B$21&gt;B32,$D$21=2),$B$21,$C$9),IF(AND($B$25&gt;B32,$D$25=2),$B$25,$C$9),IF(AND($B$26&gt;B32,$D$26=2),$B$26,$C$9),IF($B$19&gt;B32,$B$19,$C$9),IF($B$23&gt;B32,$B$23,$C$9),IF($B$24&gt;B32,$B$24,$C$9),IF(AND(Main!$AN$10=5,$G$12&gt;B32),$G$12,$C$9),IF($C$13&gt;B32,$C$13,$C$9),IF($E$13&gt;B32,$E$13,$C$9))</f>
        <v>42461</v>
      </c>
      <c r="C33" s="128">
        <f t="shared" si="9"/>
        <v>26300</v>
      </c>
      <c r="D33" s="128">
        <f t="shared" ref="D33:D41" si="10">IF(B33=$B$24,$D$24,IF(B33=$B$23,$D$23,IF(B33=$B$19,$D$19,IF(B33=$G$12,1,IF(ISNA(VLOOKUP(B33,$A$44:$B$49,2,FALSE)),1,LOOKUP(B33,$A$44:$B$49))))))</f>
        <v>1</v>
      </c>
      <c r="E33" s="192">
        <f>IF(AND(Main!$AN$10=5,B33=$G$12),$F$12,MAX(IF(Main!$AN$10=4,VLOOKUP(E32,$I$2:$L$7,D33),VLOOKUP(E32,$I$8:$L$92,D33)),F33))</f>
        <v>26300</v>
      </c>
      <c r="F33" s="124">
        <f>IF(B33&gt;=$B$22,$G$22,IF(B33&gt;=$B$19,$G$19,0))</f>
        <v>0</v>
      </c>
      <c r="G33" s="124"/>
      <c r="H33" s="124" t="b">
        <f t="shared" si="5"/>
        <v>1</v>
      </c>
      <c r="I33" s="3">
        <f>IF(Main!$C$26="UGC",SUM(I32,CEILING(I32*3%,10)),W33)</f>
        <v>13660</v>
      </c>
      <c r="J33" s="3">
        <f t="shared" si="1"/>
        <v>14050</v>
      </c>
      <c r="K33" s="3">
        <f t="shared" si="1"/>
        <v>14440</v>
      </c>
      <c r="L33" s="3">
        <f t="shared" si="1"/>
        <v>14860</v>
      </c>
      <c r="O33" s="173">
        <f t="shared" si="6"/>
        <v>42461</v>
      </c>
      <c r="P33" s="130">
        <f>MIN(IF(AND($P$16&gt;P32,$R$16=2),$P$16,$Q$9),IF(AND($P$17&gt;P32,$R$17=2),$P$17,$Q$9),IF(AND($P$18&gt;P32,$R$18=2),$P$18,$Q$9),IF(AND($P$20&gt;P32,$R$20=2),$P$20,$Q$9),IF(AND($P$21&gt;P32,$R$21=2),$P$21,$Q$9),IF(AND($P$25&gt;P32,$R$25=2),$P$25,$Q$9),IF(AND($P$26&gt;P32,$R$26=2),$P$26,$Q$9),IF($P$19&gt;P32,$P$19,$Q$9),IF($P$23&gt;P32,$P$23,$Q$9),IF($P$24&gt;P32,$P$24,$Q$9),IF(AND(Main!$AN$10=5,$U$12&gt;P32),$U$12,$Q$9),IF($Q$13&gt;P32,$Q$13,$Q$9),IF($S$13&gt;P32,$S$13,$Q$9))</f>
        <v>42461</v>
      </c>
      <c r="Q33" s="128">
        <f t="shared" ref="Q33:Q40" si="11">IF(P33=$U$12,$T$12,IF(P33=$P$26,$Q$26,IF(P33=$P$25,$Q$25,IF(P33=$P$24,$Q$24,IF(P33=$P$23,$Q$23,IF(P33=$P$21,$Q$21,IF(P33=$P$20,$Q$20,IF(P33=$P$19,$Q$19,IF(P33=$P$18,$Q$18,IF(P33=$P$17,$Q$17,IF(P33=$P$16,$Q$16,Q32)))))))))))</f>
        <v>26300</v>
      </c>
      <c r="R33" s="128">
        <f t="shared" si="7"/>
        <v>1</v>
      </c>
      <c r="S33" s="192">
        <f>IF(AND(Main!$AN$10=5,P33=$U$12),$T$12,MAX(IF(Main!$AN$10=4,VLOOKUP(S32,$W$2:$Z$7,R33),VLOOKUP(S32,$W$8:$Z$92,R33)),T33))</f>
        <v>26300</v>
      </c>
      <c r="T33" s="124">
        <f t="shared" si="2"/>
        <v>0</v>
      </c>
      <c r="U33" s="124"/>
      <c r="V33" s="124" t="b">
        <f t="shared" si="3"/>
        <v>1</v>
      </c>
      <c r="W33" s="3">
        <v>13660</v>
      </c>
      <c r="X33" s="3">
        <v>14050</v>
      </c>
      <c r="Y33" s="3">
        <v>14440</v>
      </c>
      <c r="Z33" s="3">
        <v>14860</v>
      </c>
      <c r="AM33" s="173"/>
      <c r="AN33" s="130"/>
      <c r="AO33" s="128"/>
      <c r="AP33" s="128"/>
      <c r="AQ33" s="192"/>
      <c r="AR33" s="124"/>
      <c r="AS33" s="124"/>
      <c r="AT33" s="124"/>
      <c r="AU33" s="3"/>
      <c r="AV33" s="3"/>
      <c r="AW33" s="3"/>
      <c r="AX33" s="3"/>
    </row>
    <row r="34" spans="1:50" ht="21.95" customHeight="1">
      <c r="A34" s="173">
        <f t="shared" si="8"/>
        <v>42461</v>
      </c>
      <c r="B34" s="130">
        <f>MIN(IF(AND($B$16&gt;B33,$D$16=2),$B$16,$C$9),IF(AND($B$17&gt;B33,$D$17=2),$B$17,$C$9),IF(AND($B$18&gt;B33,$D$18=2),$B$18,$C$9),IF(AND($B$20&gt;B33,$D$20=2),$B$20,$C$9),IF(AND($B$21&gt;B33,$D$21=2),$B$21,$C$9),IF(AND($B$25&gt;B33,$D$25=2),$B$25,$C$9),IF(AND($B$26&gt;B33,$D$26=2),$B$26,$C$9),IF($B$19&gt;B33,$B$19,$C$9),IF($B$23&gt;B33,$B$23,$C$9),IF($B$24&gt;B33,$B$24,$C$9),IF(AND(Main!$AN$10=5,$G$12&gt;B33),$G$12,$C$9),IF($C$13&gt;B33,$C$13,$C$9),IF($E$13&gt;B33,$E$13,$C$9))</f>
        <v>42461</v>
      </c>
      <c r="C34" s="128">
        <f t="shared" si="9"/>
        <v>26300</v>
      </c>
      <c r="D34" s="128">
        <f t="shared" si="10"/>
        <v>1</v>
      </c>
      <c r="E34" s="192">
        <f>IF(AND(Main!$AN$10=5,B34=$G$12),$F$12,MAX(IF(Main!$AN$10=4,VLOOKUP(E33,$I$2:$L$7,D34),VLOOKUP(E33,$I$8:$L$92,D34)),F34))</f>
        <v>26300</v>
      </c>
      <c r="F34" s="124">
        <f t="shared" si="4"/>
        <v>0</v>
      </c>
      <c r="G34" s="124"/>
      <c r="H34" s="124" t="b">
        <f t="shared" si="5"/>
        <v>1</v>
      </c>
      <c r="I34" s="3">
        <f>IF(Main!$C$26="UGC",SUM(I33,CEILING(I33*3%,10)),W34)</f>
        <v>14050</v>
      </c>
      <c r="J34" s="3">
        <f t="shared" si="1"/>
        <v>14440</v>
      </c>
      <c r="K34" s="3">
        <f t="shared" si="1"/>
        <v>14860</v>
      </c>
      <c r="L34" s="3">
        <f t="shared" si="1"/>
        <v>15280</v>
      </c>
      <c r="O34" s="173">
        <f t="shared" si="6"/>
        <v>42461</v>
      </c>
      <c r="P34" s="130">
        <f>MIN(IF(AND($P$16&gt;P33,$R$16=2),$P$16,$Q$9),IF(AND($P$17&gt;P33,$R$17=2),$P$17,$Q$9),IF(AND($P$18&gt;P33,$R$18=2),$P$18,$Q$9),IF(AND($P$20&gt;P33,$R$20=2),$P$20,$Q$9),IF(AND($P$21&gt;P33,$R$21=2),$P$21,$Q$9),IF(AND($P$25&gt;P33,$R$25=2),$P$25,$Q$9),IF(AND($P$26&gt;P33,$R$26=2),$P$26,$Q$9),IF($P$19&gt;P33,$P$19,$Q$9),IF($P$23&gt;P33,$P$23,$Q$9),IF($P$24&gt;P33,$P$24,$Q$9),IF(AND(Main!$AN$10=5,$U$12&gt;P33),$U$12,$Q$9),IF($Q$13&gt;P33,$Q$13,$Q$9),IF($S$13&gt;P33,$S$13,$Q$9))</f>
        <v>42461</v>
      </c>
      <c r="Q34" s="128">
        <f t="shared" si="11"/>
        <v>26300</v>
      </c>
      <c r="R34" s="128">
        <f t="shared" si="7"/>
        <v>1</v>
      </c>
      <c r="S34" s="192">
        <f>IF(AND(Main!$AN$10=5,P34=$U$12),$T$12,MAX(IF(Main!$AN$10=4,VLOOKUP(S33,$W$2:$Z$7,R34),VLOOKUP(S33,$W$8:$Z$92,R34)),T34))</f>
        <v>26300</v>
      </c>
      <c r="T34" s="124">
        <f t="shared" si="2"/>
        <v>0</v>
      </c>
      <c r="U34" s="124"/>
      <c r="V34" s="124" t="b">
        <f t="shared" si="3"/>
        <v>1</v>
      </c>
      <c r="W34" s="3">
        <v>14050</v>
      </c>
      <c r="X34" s="3">
        <v>14440</v>
      </c>
      <c r="Y34" s="3">
        <v>14860</v>
      </c>
      <c r="Z34" s="3">
        <v>15280</v>
      </c>
      <c r="AM34" s="173"/>
      <c r="AN34" s="130"/>
      <c r="AO34" s="128"/>
      <c r="AP34" s="128"/>
      <c r="AQ34" s="192"/>
      <c r="AR34" s="124"/>
      <c r="AS34" s="124"/>
      <c r="AT34" s="124"/>
      <c r="AU34" s="3"/>
      <c r="AV34" s="3"/>
      <c r="AW34" s="3"/>
      <c r="AX34" s="3"/>
    </row>
    <row r="35" spans="1:50" ht="21.95" customHeight="1">
      <c r="A35" s="173">
        <f t="shared" si="8"/>
        <v>42461</v>
      </c>
      <c r="B35" s="130">
        <f>MIN(IF(AND($B$16&gt;B34,$D$16=2),$B$16,$C$9),IF(AND($B$17&gt;B34,$D$17=2),$B$17,$C$9),IF(AND($B$18&gt;B34,$D$18=2),$B$18,$C$9),IF(AND($B$20&gt;B34,$D$20=2),$B$20,$C$9),IF(AND($B$21&gt;B34,$D$21=2),$B$21,$C$9),IF(AND($B$25&gt;B34,$D$25=2),$B$25,$C$9),IF(AND($B$26&gt;B34,$D$26=2),$B$26,$C$9),IF($B$19&gt;B34,$B$19,$C$9),IF($B$23&gt;B34,$B$23,$C$9),IF($B$24&gt;B34,$B$24,$C$9),IF(AND(Main!$AN$10=5,$G$12&gt;B34),$G$12,$C$9),IF($C$13&gt;B34,$C$13,$C$9),IF($E$13&gt;B34,$E$13,$C$9))</f>
        <v>42461</v>
      </c>
      <c r="C35" s="128">
        <f t="shared" si="9"/>
        <v>26300</v>
      </c>
      <c r="D35" s="128">
        <f t="shared" si="10"/>
        <v>1</v>
      </c>
      <c r="E35" s="192">
        <f>IF(AND(Main!$AN$10=5,B35=$G$12),$F$12,MAX(IF(Main!$AN$10=4,VLOOKUP(E34,$I$2:$L$7,D35),VLOOKUP(E34,$I$8:$L$92,D35)),F35))</f>
        <v>26300</v>
      </c>
      <c r="F35" s="124">
        <f t="shared" si="4"/>
        <v>0</v>
      </c>
      <c r="G35" s="124"/>
      <c r="H35" s="124" t="b">
        <f t="shared" si="5"/>
        <v>1</v>
      </c>
      <c r="I35" s="3">
        <f>IF(Main!$C$26="UGC",SUM(I34,CEILING(I34*3%,10)),W35)</f>
        <v>14440</v>
      </c>
      <c r="J35" s="3">
        <f t="shared" si="1"/>
        <v>14860</v>
      </c>
      <c r="K35" s="3">
        <f t="shared" si="1"/>
        <v>15280</v>
      </c>
      <c r="L35" s="3">
        <f t="shared" si="1"/>
        <v>15700</v>
      </c>
      <c r="O35" s="173">
        <f t="shared" si="6"/>
        <v>42461</v>
      </c>
      <c r="P35" s="130">
        <f>MIN(IF(AND($P$16&gt;P34,$R$16=2),$P$16,$Q$9),IF(AND($P$17&gt;P34,$R$17=2),$P$17,$Q$9),IF(AND($P$18&gt;P34,$R$18=2),$P$18,$Q$9),IF(AND($P$20&gt;P34,$R$20=2),$P$20,$Q$9),IF(AND($P$21&gt;P34,$R$21=2),$P$21,$Q$9),IF(AND($P$25&gt;P34,$R$25=2),$P$25,$Q$9),IF(AND($P$26&gt;P34,$R$26=2),$P$26,$Q$9),IF($P$19&gt;P34,$P$19,$Q$9),IF($P$23&gt;P34,$P$23,$Q$9),IF($P$24&gt;P34,$P$24,$Q$9),IF(AND(Main!$AN$10=5,$U$12&gt;P34),$U$12,$Q$9),IF($Q$13&gt;P34,$Q$13,$Q$9),IF($S$13&gt;P34,$S$13,$Q$9))</f>
        <v>42461</v>
      </c>
      <c r="Q35" s="128">
        <f t="shared" si="11"/>
        <v>26300</v>
      </c>
      <c r="R35" s="128">
        <f t="shared" si="7"/>
        <v>1</v>
      </c>
      <c r="S35" s="192">
        <f>IF(AND(Main!$AN$10=5,P35=$U$12),$T$12,MAX(IF(Main!$AN$10=4,VLOOKUP(S34,$W$2:$Z$7,R35),VLOOKUP(S34,$W$8:$Z$92,R35)),T35))</f>
        <v>26300</v>
      </c>
      <c r="T35" s="124">
        <f t="shared" si="2"/>
        <v>0</v>
      </c>
      <c r="U35" s="124"/>
      <c r="V35" s="124" t="b">
        <f t="shared" si="3"/>
        <v>1</v>
      </c>
      <c r="W35" s="3">
        <v>14440</v>
      </c>
      <c r="X35" s="3">
        <v>14860</v>
      </c>
      <c r="Y35" s="3">
        <v>15280</v>
      </c>
      <c r="Z35" s="3">
        <v>15700</v>
      </c>
      <c r="AM35" s="173"/>
      <c r="AN35" s="130"/>
      <c r="AO35" s="128"/>
      <c r="AP35" s="128"/>
      <c r="AQ35" s="192"/>
      <c r="AR35" s="124"/>
      <c r="AS35" s="124"/>
      <c r="AT35" s="124"/>
      <c r="AU35" s="3"/>
      <c r="AV35" s="3"/>
      <c r="AW35" s="3"/>
      <c r="AX35" s="3"/>
    </row>
    <row r="36" spans="1:50" ht="21.95" customHeight="1">
      <c r="A36" s="173">
        <f t="shared" si="8"/>
        <v>42461</v>
      </c>
      <c r="B36" s="130">
        <f>MIN(IF(AND($B$16&gt;B35,$D$16=2),$B$16,$C$9),IF(AND($B$17&gt;B35,$D$17=2),$B$17,$C$9),IF(AND($B$18&gt;B35,$D$18=2),$B$18,$C$9),IF(AND($B$20&gt;B35,$D$20=2),$B$20,$C$9),IF(AND($B$21&gt;B35,$D$21=2),$B$21,$C$9),IF(AND($B$25&gt;B35,$D$25=2),$B$25,$C$9),IF(AND($B$26&gt;B35,$D$26=2),$B$26,$C$9),IF($B$19&gt;B35,$B$19,$C$9),IF($B$23&gt;B35,$B$23,$C$9),IF($B$24&gt;B35,$B$24,$C$9),IF(AND(Main!$AN$10=5,$G$12&gt;B35),$G$12,$C$9),IF($C$13&gt;B35,$C$13,$C$9),IF($E$13&gt;B35,$E$13,$C$9))</f>
        <v>42461</v>
      </c>
      <c r="C36" s="128">
        <f t="shared" si="9"/>
        <v>26300</v>
      </c>
      <c r="D36" s="128">
        <f t="shared" si="10"/>
        <v>1</v>
      </c>
      <c r="E36" s="192">
        <f>IF(AND(Main!$AN$10=5,B36=$G$12),$F$12,MAX(IF(Main!$AN$10=4,VLOOKUP(E35,$I$2:$L$7,D36),VLOOKUP(E35,$I$8:$L$92,D36)),F36))</f>
        <v>26300</v>
      </c>
      <c r="F36" s="124">
        <f t="shared" si="4"/>
        <v>0</v>
      </c>
      <c r="G36" s="124"/>
      <c r="H36" s="124" t="b">
        <f t="shared" si="5"/>
        <v>1</v>
      </c>
      <c r="I36" s="3">
        <f>IF(Main!$C$26="UGC",SUM(I35,CEILING(I35*3%,10)),W36)</f>
        <v>14860</v>
      </c>
      <c r="J36" s="3">
        <f t="shared" si="1"/>
        <v>15280</v>
      </c>
      <c r="K36" s="3">
        <f t="shared" si="1"/>
        <v>15700</v>
      </c>
      <c r="L36" s="3">
        <f t="shared" si="1"/>
        <v>16150</v>
      </c>
      <c r="O36" s="173">
        <f t="shared" si="6"/>
        <v>42461</v>
      </c>
      <c r="P36" s="130">
        <f>MIN(IF(AND($P$16&gt;P35,$R$16=2),$P$16,$Q$9),IF(AND($P$17&gt;P35,$R$17=2),$P$17,$Q$9),IF(AND($P$18&gt;P35,$R$18=2),$P$18,$Q$9),IF(AND($P$20&gt;P35,$R$20=2),$P$20,$Q$9),IF(AND($P$21&gt;P35,$R$21=2),$P$21,$Q$9),IF(AND($P$25&gt;P35,$R$25=2),$P$25,$Q$9),IF(AND($P$26&gt;P35,$R$26=2),$P$26,$Q$9),IF($P$19&gt;P35,$P$19,$Q$9),IF($P$23&gt;P35,$P$23,$Q$9),IF($P$24&gt;P35,$P$24,$Q$9),IF(AND(Main!$AN$10=5,$U$12&gt;P35),$U$12,$Q$9),IF($Q$13&gt;P35,$Q$13,$Q$9),IF($S$13&gt;P35,$S$13,$Q$9))</f>
        <v>42461</v>
      </c>
      <c r="Q36" s="128">
        <f t="shared" si="11"/>
        <v>26300</v>
      </c>
      <c r="R36" s="128">
        <f t="shared" si="7"/>
        <v>1</v>
      </c>
      <c r="S36" s="192">
        <f>IF(AND(Main!$AN$10=5,P36=$U$12),$T$12,MAX(IF(Main!$AN$10=4,VLOOKUP(S35,$W$2:$Z$7,R36),VLOOKUP(S35,$W$8:$Z$92,R36)),T36))</f>
        <v>26300</v>
      </c>
      <c r="T36" s="124">
        <f t="shared" si="2"/>
        <v>0</v>
      </c>
      <c r="U36" s="124"/>
      <c r="V36" s="124" t="b">
        <f t="shared" si="3"/>
        <v>1</v>
      </c>
      <c r="W36" s="3">
        <v>14860</v>
      </c>
      <c r="X36" s="3">
        <v>15280</v>
      </c>
      <c r="Y36" s="3">
        <v>15700</v>
      </c>
      <c r="Z36" s="3">
        <v>16150</v>
      </c>
      <c r="AM36" s="173"/>
      <c r="AN36" s="130"/>
      <c r="AO36" s="128"/>
      <c r="AP36" s="128"/>
      <c r="AQ36" s="192"/>
      <c r="AR36" s="124"/>
      <c r="AS36" s="124"/>
      <c r="AT36" s="124"/>
      <c r="AU36" s="3"/>
      <c r="AV36" s="3"/>
      <c r="AW36" s="3"/>
      <c r="AX36" s="3"/>
    </row>
    <row r="37" spans="1:50" ht="21.95" customHeight="1">
      <c r="A37" s="173">
        <f t="shared" si="8"/>
        <v>42461</v>
      </c>
      <c r="B37" s="130">
        <f>MIN(IF(AND($B$16&gt;B36,$D$16=2),$B$16,$C$9),IF(AND($B$17&gt;B36,$D$17=2),$B$17,$C$9),IF(AND($B$18&gt;B36,$D$18=2),$B$18,$C$9),IF(AND($B$20&gt;B36,$D$20=2),$B$20,$C$9),IF(AND($B$21&gt;B36,$D$21=2),$B$21,$C$9),IF(AND($B$25&gt;B36,$D$25=2),$B$25,$C$9),IF(AND($B$26&gt;B36,$D$26=2),$B$26,$C$9),IF($B$19&gt;B36,$B$19,$C$9),IF($B$23&gt;B36,$B$23,$C$9),IF($B$24&gt;B36,$B$24,$C$9),IF(AND(Main!$AN$10=5,$G$12&gt;B36),$G$12,$C$9),IF($C$13&gt;B36,$C$13,$C$9),IF($E$13&gt;B36,$E$13,$C$9))</f>
        <v>42461</v>
      </c>
      <c r="C37" s="128">
        <f t="shared" si="9"/>
        <v>26300</v>
      </c>
      <c r="D37" s="128">
        <f t="shared" si="10"/>
        <v>1</v>
      </c>
      <c r="E37" s="192">
        <f>IF(AND(Main!$AN$10=5,B37=$G$12),$F$12,MAX(IF(Main!$AN$10=4,VLOOKUP(E36,$I$2:$L$7,D37),VLOOKUP(E36,$I$8:$L$92,D37)),F37))</f>
        <v>26300</v>
      </c>
      <c r="F37" s="124">
        <f t="shared" si="4"/>
        <v>0</v>
      </c>
      <c r="G37" s="124"/>
      <c r="H37" s="124" t="b">
        <f t="shared" si="5"/>
        <v>1</v>
      </c>
      <c r="I37" s="3">
        <f>IF(Main!$C$26="UGC",SUM(I36,CEILING(I36*3%,10)),W37)</f>
        <v>15280</v>
      </c>
      <c r="J37" s="3">
        <f t="shared" si="1"/>
        <v>15700</v>
      </c>
      <c r="K37" s="3">
        <f t="shared" si="1"/>
        <v>16150</v>
      </c>
      <c r="L37" s="3">
        <f t="shared" si="1"/>
        <v>16600</v>
      </c>
      <c r="O37" s="173">
        <f t="shared" si="6"/>
        <v>42461</v>
      </c>
      <c r="P37" s="130">
        <f>MIN(IF(AND($P$16&gt;P36,$R$16=2),$P$16,$Q$9),IF(AND($P$17&gt;P36,$R$17=2),$P$17,$Q$9),IF(AND($P$18&gt;P36,$R$18=2),$P$18,$Q$9),IF(AND($P$20&gt;P36,$R$20=2),$P$20,$Q$9),IF(AND($P$21&gt;P36,$R$21=2),$P$21,$Q$9),IF(AND($P$25&gt;P36,$R$25=2),$P$25,$Q$9),IF(AND($P$26&gt;P36,$R$26=2),$P$26,$Q$9),IF($P$19&gt;P36,$P$19,$Q$9),IF($P$23&gt;P36,$P$23,$Q$9),IF($P$24&gt;P36,$P$24,$Q$9),IF(AND(Main!$AN$10=5,$U$12&gt;P36),$U$12,$Q$9),IF($Q$13&gt;P36,$Q$13,$Q$9),IF($S$13&gt;P36,$S$13,$Q$9))</f>
        <v>42461</v>
      </c>
      <c r="Q37" s="128">
        <f t="shared" si="11"/>
        <v>26300</v>
      </c>
      <c r="R37" s="128">
        <f t="shared" si="7"/>
        <v>1</v>
      </c>
      <c r="S37" s="192">
        <f>IF(AND(Main!$AN$10=5,P37=$U$12),$T$12,MAX(IF(Main!$AN$10=4,VLOOKUP(S36,$W$2:$Z$7,R37),VLOOKUP(S36,$W$8:$Z$92,R37)),T37))</f>
        <v>26300</v>
      </c>
      <c r="T37" s="124">
        <f t="shared" si="2"/>
        <v>0</v>
      </c>
      <c r="U37" s="124"/>
      <c r="V37" s="124" t="b">
        <f t="shared" si="3"/>
        <v>1</v>
      </c>
      <c r="W37" s="3">
        <v>15280</v>
      </c>
      <c r="X37" s="3">
        <v>15700</v>
      </c>
      <c r="Y37" s="3">
        <v>16150</v>
      </c>
      <c r="Z37" s="3">
        <v>16600</v>
      </c>
      <c r="AM37" s="173"/>
      <c r="AN37" s="130"/>
      <c r="AO37" s="128"/>
      <c r="AP37" s="128"/>
      <c r="AQ37" s="192"/>
      <c r="AR37" s="124"/>
      <c r="AS37" s="124"/>
      <c r="AT37" s="124"/>
      <c r="AU37" s="3"/>
      <c r="AV37" s="3"/>
      <c r="AW37" s="3"/>
      <c r="AX37" s="3"/>
    </row>
    <row r="38" spans="1:50" ht="21.95" customHeight="1">
      <c r="A38" s="173">
        <f t="shared" si="8"/>
        <v>42461</v>
      </c>
      <c r="B38" s="130">
        <f>MIN(IF(AND($B$16&gt;B37,$D$16=2),$B$16,$C$9),IF(AND($B$17&gt;B37,$D$17=2),$B$17,$C$9),IF(AND($B$18&gt;B37,$D$18=2),$B$18,$C$9),IF(AND($B$20&gt;B37,$D$20=2),$B$20,$C$9),IF(AND($B$21&gt;B37,$D$21=2),$B$21,$C$9),IF(AND($B$25&gt;B37,$D$25=2),$B$25,$C$9),IF(AND($B$26&gt;B37,$D$26=2),$B$26,$C$9),IF($B$19&gt;B37,$B$19,$C$9),IF($B$23&gt;B37,$B$23,$C$9),IF($B$24&gt;B37,$B$24,$C$9),IF(AND(Main!$AN$10=5,$G$12&gt;B37),$G$12,$C$9),IF($C$13&gt;B37,$C$13,$C$9),IF($E$13&gt;B37,$E$13,$C$9))</f>
        <v>42461</v>
      </c>
      <c r="C38" s="128">
        <f t="shared" si="9"/>
        <v>26300</v>
      </c>
      <c r="D38" s="128">
        <f t="shared" si="10"/>
        <v>1</v>
      </c>
      <c r="E38" s="192">
        <f>IF(AND(Main!$AN$10=5,B38=$G$12),$F$12,MAX(IF(Main!$AN$10=4,VLOOKUP(E37,$I$2:$L$7,D38),VLOOKUP(E37,$I$8:$L$92,D38)),F38))</f>
        <v>26300</v>
      </c>
      <c r="F38" s="124">
        <f t="shared" si="4"/>
        <v>0</v>
      </c>
      <c r="G38" s="124"/>
      <c r="H38" s="124" t="b">
        <f t="shared" si="5"/>
        <v>1</v>
      </c>
      <c r="I38" s="3">
        <f>IF(Main!$C$26="UGC",SUM(I37,CEILING(I37*3%,10)),W38)</f>
        <v>15700</v>
      </c>
      <c r="J38" s="3">
        <f t="shared" si="1"/>
        <v>16150</v>
      </c>
      <c r="K38" s="3">
        <f t="shared" si="1"/>
        <v>16600</v>
      </c>
      <c r="L38" s="3">
        <f t="shared" si="1"/>
        <v>17050</v>
      </c>
      <c r="O38" s="173">
        <f t="shared" si="6"/>
        <v>42461</v>
      </c>
      <c r="P38" s="130">
        <f>MIN(IF(AND($P$16&gt;P37,$R$16=2),$P$16,$Q$9),IF(AND($P$17&gt;P37,$R$17=2),$P$17,$Q$9),IF(AND($P$18&gt;P37,$R$18=2),$P$18,$Q$9),IF(AND($P$20&gt;P37,$R$20=2),$P$20,$Q$9),IF(AND($P$21&gt;P37,$R$21=2),$P$21,$Q$9),IF(AND($P$25&gt;P37,$R$25=2),$P$25,$Q$9),IF(AND($P$26&gt;P37,$R$26=2),$P$26,$Q$9),IF($P$19&gt;P37,$P$19,$Q$9),IF($P$23&gt;P37,$P$23,$Q$9),IF($P$24&gt;P37,$P$24,$Q$9),IF(AND(Main!$AN$10=5,$U$12&gt;P37),$U$12,$Q$9),IF($Q$13&gt;P37,$Q$13,$Q$9),IF($S$13&gt;P37,$S$13,$Q$9))</f>
        <v>42461</v>
      </c>
      <c r="Q38" s="128">
        <f t="shared" si="11"/>
        <v>26300</v>
      </c>
      <c r="R38" s="128">
        <f t="shared" si="7"/>
        <v>1</v>
      </c>
      <c r="S38" s="192">
        <f>IF(AND(Main!$AN$10=5,P38=$U$12),$T$12,MAX(IF(Main!$AN$10=4,VLOOKUP(S37,$W$2:$Z$7,R38),VLOOKUP(S37,$W$8:$Z$92,R38)),T38))</f>
        <v>26300</v>
      </c>
      <c r="T38" s="124">
        <f t="shared" si="2"/>
        <v>0</v>
      </c>
      <c r="U38" s="124"/>
      <c r="V38" s="124" t="b">
        <f t="shared" si="3"/>
        <v>1</v>
      </c>
      <c r="W38" s="3">
        <v>15700</v>
      </c>
      <c r="X38" s="3">
        <v>16150</v>
      </c>
      <c r="Y38" s="3">
        <v>16600</v>
      </c>
      <c r="Z38" s="3">
        <v>17050</v>
      </c>
      <c r="AM38" s="173"/>
      <c r="AN38" s="130"/>
      <c r="AO38" s="128"/>
      <c r="AP38" s="128"/>
      <c r="AQ38" s="192"/>
      <c r="AR38" s="124"/>
      <c r="AS38" s="124"/>
      <c r="AT38" s="124"/>
      <c r="AU38" s="3"/>
      <c r="AV38" s="3"/>
      <c r="AW38" s="3"/>
      <c r="AX38" s="3"/>
    </row>
    <row r="39" spans="1:50" ht="21.95" customHeight="1">
      <c r="A39" s="173">
        <f t="shared" si="8"/>
        <v>42461</v>
      </c>
      <c r="B39" s="130">
        <f>MIN(IF(AND($B$16&gt;B38,$D$16=2),$B$16,$C$9),IF(AND($B$17&gt;B38,$D$17=2),$B$17,$C$9),IF(AND($B$18&gt;B38,$D$18=2),$B$18,$C$9),IF(AND($B$20&gt;B38,$D$20=2),$B$20,$C$9),IF(AND($B$21&gt;B38,$D$21=2),$B$21,$C$9),IF(AND($B$25&gt;B38,$D$25=2),$B$25,$C$9),IF(AND($B$26&gt;B38,$D$26=2),$B$26,$C$9),IF($B$19&gt;B38,$B$19,$C$9),IF($B$23&gt;B38,$B$23,$C$9),IF($B$24&gt;B38,$B$24,$C$9),IF(AND(Main!$AN$10=5,$G$12&gt;B38),$G$12,$C$9),IF($C$13&gt;B38,$C$13,$C$9),IF($E$13&gt;B38,$E$13,$C$9))</f>
        <v>42461</v>
      </c>
      <c r="C39" s="128">
        <f t="shared" si="9"/>
        <v>26300</v>
      </c>
      <c r="D39" s="128">
        <f t="shared" si="10"/>
        <v>1</v>
      </c>
      <c r="E39" s="192">
        <f>IF(AND(Main!$AN$10=5,B39=$G$12),$F$12,MAX(IF(Main!$AN$10=4,VLOOKUP(E38,$I$2:$L$7,D39),VLOOKUP(E38,$I$8:$L$92,D39)),F39))</f>
        <v>26300</v>
      </c>
      <c r="F39" s="124">
        <f t="shared" si="4"/>
        <v>0</v>
      </c>
      <c r="G39" s="124"/>
      <c r="H39" s="124" t="b">
        <f t="shared" si="5"/>
        <v>1</v>
      </c>
      <c r="I39" s="3">
        <f>IF(Main!$C$26="UGC",SUM(I38,CEILING(I38*3%,10)),W39)</f>
        <v>16150</v>
      </c>
      <c r="J39" s="3">
        <f t="shared" si="1"/>
        <v>16600</v>
      </c>
      <c r="K39" s="3">
        <f t="shared" si="1"/>
        <v>17050</v>
      </c>
      <c r="L39" s="3">
        <f t="shared" si="1"/>
        <v>17540</v>
      </c>
      <c r="O39" s="173">
        <f t="shared" si="6"/>
        <v>42461</v>
      </c>
      <c r="P39" s="130">
        <f>MIN(IF(AND($P$16&gt;P38,$R$16=2),$P$16,$Q$9),IF(AND($P$17&gt;P38,$R$17=2),$P$17,$Q$9),IF(AND($P$18&gt;P38,$R$18=2),$P$18,$Q$9),IF(AND($P$20&gt;P38,$R$20=2),$P$20,$Q$9),IF(AND($P$21&gt;P38,$R$21=2),$P$21,$Q$9),IF(AND($P$25&gt;P38,$R$25=2),$P$25,$Q$9),IF(AND($P$26&gt;P38,$R$26=2),$P$26,$Q$9),IF($P$19&gt;P38,$P$19,$Q$9),IF($P$23&gt;P38,$P$23,$Q$9),IF($P$24&gt;P38,$P$24,$Q$9),IF(AND(Main!$AN$10=5,$U$12&gt;P38),$U$12,$Q$9),IF($Q$13&gt;P38,$Q$13,$Q$9),IF($S$13&gt;P38,$S$13,$Q$9))</f>
        <v>42461</v>
      </c>
      <c r="Q39" s="128">
        <f t="shared" si="11"/>
        <v>26300</v>
      </c>
      <c r="R39" s="128">
        <f t="shared" si="7"/>
        <v>1</v>
      </c>
      <c r="S39" s="192">
        <f>IF(AND(Main!$AN$10=5,P39=$U$12),$T$12,MAX(IF(Main!$AN$10=4,VLOOKUP(S38,$W$2:$Z$7,R39),VLOOKUP(S38,$W$8:$Z$92,R39)),T39))</f>
        <v>26300</v>
      </c>
      <c r="T39" s="124">
        <f t="shared" si="2"/>
        <v>0</v>
      </c>
      <c r="U39" s="124"/>
      <c r="V39" s="124" t="b">
        <f t="shared" si="3"/>
        <v>1</v>
      </c>
      <c r="W39" s="3">
        <v>16150</v>
      </c>
      <c r="X39" s="3">
        <v>16600</v>
      </c>
      <c r="Y39" s="3">
        <v>17050</v>
      </c>
      <c r="Z39" s="3">
        <v>17540</v>
      </c>
      <c r="AM39" s="173"/>
      <c r="AN39" s="130"/>
      <c r="AO39" s="128"/>
      <c r="AP39" s="128"/>
      <c r="AQ39" s="192"/>
      <c r="AR39" s="124"/>
      <c r="AS39" s="124"/>
      <c r="AT39" s="124"/>
      <c r="AU39" s="3"/>
      <c r="AV39" s="3"/>
      <c r="AW39" s="3"/>
      <c r="AX39" s="3"/>
    </row>
    <row r="40" spans="1:50" ht="21.95" customHeight="1">
      <c r="A40" s="173">
        <f t="shared" si="8"/>
        <v>42461</v>
      </c>
      <c r="B40" s="130">
        <f>MIN(IF(AND($B$16&gt;B39,$D$16=2),$B$16,$C$9),IF(AND($B$17&gt;B39,$D$17=2),$B$17,$C$9),IF(AND($B$18&gt;B39,$D$18=2),$B$18,$C$9),IF(AND($B$20&gt;B39,$D$20=2),$B$20,$C$9),IF(AND($B$21&gt;B39,$D$21=2),$B$21,$C$9),IF(AND($B$25&gt;B39,$D$25=2),$B$25,$C$9),IF(AND($B$26&gt;B39,$D$26=2),$B$26,$C$9),IF($B$19&gt;B39,$B$19,$C$9),IF($B$23&gt;B39,$B$23,$C$9),IF($B$24&gt;B39,$B$24,$C$9),IF(AND(Main!$AN$10=5,$G$12&gt;B39),$G$12,$C$9),IF($C$13&gt;B39,$C$13,$C$9),IF($E$13&gt;B39,$E$13,$C$9))</f>
        <v>42461</v>
      </c>
      <c r="C40" s="128">
        <f t="shared" si="9"/>
        <v>26300</v>
      </c>
      <c r="D40" s="128">
        <f t="shared" si="10"/>
        <v>1</v>
      </c>
      <c r="E40" s="192">
        <f>IF(AND(Main!$AN$10=5,B40=$G$12),$F$12,MAX(IF(Main!$AN$10=4,VLOOKUP(E39,$I$2:$L$7,D40),VLOOKUP(E39,$I$8:$L$92,D40)),F40))</f>
        <v>26300</v>
      </c>
      <c r="F40" s="124">
        <f t="shared" si="4"/>
        <v>0</v>
      </c>
      <c r="G40" s="124"/>
      <c r="H40" s="124" t="b">
        <f t="shared" si="5"/>
        <v>1</v>
      </c>
      <c r="I40" s="3">
        <f>IF(Main!$C$26="UGC",SUM(I39,CEILING(I39*3%,10)),W40)</f>
        <v>16600</v>
      </c>
      <c r="J40" s="3">
        <f t="shared" si="1"/>
        <v>17050</v>
      </c>
      <c r="K40" s="3">
        <f t="shared" si="1"/>
        <v>17540</v>
      </c>
      <c r="L40" s="3">
        <f t="shared" si="1"/>
        <v>18030</v>
      </c>
      <c r="O40" s="173">
        <f t="shared" si="6"/>
        <v>42461</v>
      </c>
      <c r="P40" s="130">
        <f>MIN(IF(AND($P$16&gt;P39,$R$16=2),$P$16,$Q$9),IF(AND($P$17&gt;P39,$R$17=2),$P$17,$Q$9),IF(AND($P$18&gt;P39,$R$18=2),$P$18,$Q$9),IF(AND($P$20&gt;P39,$R$20=2),$P$20,$Q$9),IF(AND($P$21&gt;P39,$R$21=2),$P$21,$Q$9),IF(AND($P$25&gt;P39,$R$25=2),$P$25,$Q$9),IF(AND($P$26&gt;P39,$R$26=2),$P$26,$Q$9),IF($P$19&gt;P39,$P$19,$Q$9),IF($P$23&gt;P39,$P$23,$Q$9),IF($P$24&gt;P39,$P$24,$Q$9),IF(AND(Main!$AN$10=5,$U$12&gt;P39),$U$12,$Q$9),IF($Q$13&gt;P39,$Q$13,$Q$9),IF($S$13&gt;P39,$S$13,$Q$9))</f>
        <v>42461</v>
      </c>
      <c r="Q40" s="128">
        <f t="shared" si="11"/>
        <v>26300</v>
      </c>
      <c r="R40" s="128">
        <f t="shared" si="7"/>
        <v>1</v>
      </c>
      <c r="S40" s="192">
        <f>IF(AND(Main!$AN$10=5,P40=$U$12),$T$12,MAX(IF(Main!$AN$10=4,VLOOKUP(S39,$W$2:$Z$7,R40),VLOOKUP(S39,$W$8:$Z$92,R40)),T40))</f>
        <v>26300</v>
      </c>
      <c r="T40" s="124">
        <f t="shared" si="2"/>
        <v>0</v>
      </c>
      <c r="U40" s="124"/>
      <c r="V40" s="124" t="b">
        <f t="shared" si="3"/>
        <v>1</v>
      </c>
      <c r="W40" s="3">
        <v>16600</v>
      </c>
      <c r="X40" s="3">
        <v>17050</v>
      </c>
      <c r="Y40" s="3">
        <v>17540</v>
      </c>
      <c r="Z40" s="3">
        <v>18030</v>
      </c>
      <c r="AM40" s="173"/>
      <c r="AN40" s="130"/>
      <c r="AO40" s="128"/>
      <c r="AP40" s="128"/>
      <c r="AQ40" s="192"/>
      <c r="AR40" s="124"/>
      <c r="AS40" s="124"/>
      <c r="AT40" s="124"/>
      <c r="AU40" s="3"/>
      <c r="AV40" s="3"/>
      <c r="AW40" s="3"/>
      <c r="AX40" s="3"/>
    </row>
    <row r="41" spans="1:50" ht="21.95" customHeight="1">
      <c r="A41" s="173">
        <f t="shared" si="8"/>
        <v>42461</v>
      </c>
      <c r="B41" s="130">
        <f>MIN(IF(AND($B$16&gt;B40,$D$16=2),$B$16,$C$9),IF(AND($B$17&gt;B40,$D$17=2),$B$17,$C$9),IF(AND($B$18&gt;B40,$D$18=2),$B$18,$C$9),IF(AND($B$20&gt;B40,$D$20=2),$B$20,$C$9),IF(AND($B$21&gt;B40,$D$21=2),$B$21,$C$9),IF(AND($B$25&gt;B40,$D$25=2),$B$25,$C$9),IF(AND($B$26&gt;B40,$D$26=2),$B$26,$C$9),IF($B$19&gt;B40,$B$19,$C$9),IF($B$23&gt;B40,$B$23,$C$9),IF($B$24&gt;B40,$B$24,$C$9),IF(AND(Main!$AN$10=5,$G$12&gt;B40),$G$12,$C$9),IF($C$13&gt;B40,$C$13,$C$9),IF($E$13&gt;B40,$E$13,$C$9))</f>
        <v>42461</v>
      </c>
      <c r="C41" s="128">
        <f t="shared" si="9"/>
        <v>26300</v>
      </c>
      <c r="D41" s="128">
        <f t="shared" si="10"/>
        <v>1</v>
      </c>
      <c r="E41" s="192">
        <f>IF(AND(Main!$AN$10=5,B41=$G$12),$F$12,MAX(IF(Main!$AN$10=4,VLOOKUP(E40,$I$2:$L$7,D41),VLOOKUP(E40,$I$8:$L$92,D41)),F41))</f>
        <v>26300</v>
      </c>
      <c r="F41" s="124">
        <f t="shared" si="4"/>
        <v>0</v>
      </c>
      <c r="G41" s="124"/>
      <c r="H41" s="124" t="b">
        <f t="shared" si="5"/>
        <v>1</v>
      </c>
      <c r="I41" s="3">
        <f>IF(Main!$C$26="UGC",SUM(I40,CEILING(I40*3%,10)),W41)</f>
        <v>17050</v>
      </c>
      <c r="J41" s="3">
        <f t="shared" si="1"/>
        <v>17540</v>
      </c>
      <c r="K41" s="3">
        <f t="shared" si="1"/>
        <v>18030</v>
      </c>
      <c r="L41" s="3">
        <f t="shared" si="1"/>
        <v>18520</v>
      </c>
      <c r="O41" s="173">
        <f t="shared" si="6"/>
        <v>42461</v>
      </c>
      <c r="P41" s="130">
        <f>MIN(IF(AND($P$16&gt;P40,$R$16=2),$P$16,$Q$9),IF(AND($P$17&gt;P40,$R$17=2),$P$17,$Q$9),IF(AND($P$18&gt;P40,$R$18=2),$P$18,$Q$9),IF(AND($P$20&gt;P40,$R$20=2),$P$20,$Q$9),IF(AND($P$21&gt;P40,$R$21=2),$P$21,$Q$9),IF(AND($P$25&gt;P40,$R$25=2),$P$25,$Q$9),IF(AND($P$26&gt;P40,$R$26=2),$P$26,$Q$9),IF($P$19&gt;P40,$P$19,$Q$9),IF($P$23&gt;P40,$P$23,$Q$9),IF($P$24&gt;P40,$P$24,$Q$9),IF(AND(Main!$AN$10=5,$U$12&gt;P40),$U$12,$Q$9),IF($Q$13&gt;P40,$Q$13,$Q$9),IF($S$13&gt;P40,$S$13,$Q$9))</f>
        <v>42461</v>
      </c>
      <c r="Q41" s="128">
        <f>IF(P41=$U$12,$T$12,IF(P41=$P$26,$Q$26,IF(P41=$P$25,$Q$25,IF(P41=$P$24,$Q$24,IF(P41=$P$23,$Q$23,IF(P41=$P$21,$Q$21,IF(P41=$P$20,$Q$20,IF(P41=$P$19,$Q$19,IF(P41=$P$18,$Q$18,IF(P41=$P$17,$Q$17,IF(P41=$P$16,$Q$16,Q40)))))))))))</f>
        <v>26300</v>
      </c>
      <c r="R41" s="128">
        <f t="shared" si="7"/>
        <v>1</v>
      </c>
      <c r="S41" s="192">
        <f>IF(AND(Main!$AN$10=5,P41=$U$12),$T$12,MAX(IF(Main!$AN$10=4,VLOOKUP(S40,$W$2:$Z$7,R41),VLOOKUP(S40,$W$8:$Z$92,R41)),T41))</f>
        <v>26300</v>
      </c>
      <c r="T41" s="124">
        <f t="shared" si="2"/>
        <v>0</v>
      </c>
      <c r="U41" s="124"/>
      <c r="V41" s="124" t="b">
        <f t="shared" si="3"/>
        <v>1</v>
      </c>
      <c r="W41" s="3">
        <v>17050</v>
      </c>
      <c r="X41" s="3">
        <v>17540</v>
      </c>
      <c r="Y41" s="3">
        <v>18030</v>
      </c>
      <c r="Z41" s="3">
        <v>18520</v>
      </c>
      <c r="AM41" s="173"/>
      <c r="AN41" s="130"/>
      <c r="AO41" s="128"/>
      <c r="AP41" s="128"/>
      <c r="AQ41" s="192"/>
      <c r="AR41" s="124"/>
      <c r="AS41" s="124"/>
      <c r="AT41" s="124"/>
      <c r="AU41" s="3"/>
      <c r="AV41" s="3"/>
      <c r="AW41" s="3"/>
      <c r="AX41" s="3"/>
    </row>
    <row r="42" spans="1:50" ht="21.95" customHeight="1">
      <c r="A42" s="124"/>
      <c r="B42" s="124"/>
      <c r="C42" s="124"/>
      <c r="D42" s="124"/>
      <c r="E42" s="124"/>
      <c r="F42" s="124"/>
      <c r="G42" s="124"/>
      <c r="H42" s="124"/>
      <c r="I42" s="3">
        <f>IF(Main!$C$26="UGC",SUM(I41,CEILING(I41*3%,10)),W42)</f>
        <v>17540</v>
      </c>
      <c r="J42" s="3">
        <f t="shared" si="1"/>
        <v>18030</v>
      </c>
      <c r="K42" s="3">
        <f t="shared" si="1"/>
        <v>18520</v>
      </c>
      <c r="L42" s="3">
        <f t="shared" si="1"/>
        <v>19050</v>
      </c>
      <c r="O42" s="124"/>
      <c r="P42" s="124"/>
      <c r="Q42" s="124"/>
      <c r="R42" s="124"/>
      <c r="S42" s="124"/>
      <c r="T42" s="124"/>
      <c r="U42" s="124"/>
      <c r="V42" s="124"/>
      <c r="W42" s="3">
        <v>17540</v>
      </c>
      <c r="X42" s="3">
        <v>18030</v>
      </c>
      <c r="Y42" s="3">
        <v>18520</v>
      </c>
      <c r="Z42" s="3">
        <v>19050</v>
      </c>
      <c r="AM42" s="124"/>
      <c r="AN42" s="124"/>
      <c r="AO42" s="124"/>
      <c r="AP42" s="124"/>
      <c r="AQ42" s="124"/>
      <c r="AR42" s="124"/>
      <c r="AS42" s="124"/>
      <c r="AT42" s="124"/>
      <c r="AU42" s="3"/>
      <c r="AV42" s="3"/>
      <c r="AW42" s="3"/>
      <c r="AX42" s="3"/>
    </row>
    <row r="43" spans="1:50" ht="21.95" customHeight="1">
      <c r="A43" s="124" t="s">
        <v>1527</v>
      </c>
      <c r="B43" s="124"/>
      <c r="C43" s="124"/>
      <c r="D43" s="124"/>
      <c r="E43" s="124"/>
      <c r="F43" s="124"/>
      <c r="G43" s="124"/>
      <c r="H43" s="124"/>
      <c r="I43" s="3">
        <f>IF(Main!$C$26="UGC",SUM(I42,CEILING(I42*3%,10)),W43)</f>
        <v>18030</v>
      </c>
      <c r="J43" s="3">
        <f t="shared" si="1"/>
        <v>18520</v>
      </c>
      <c r="K43" s="3">
        <f t="shared" si="1"/>
        <v>19050</v>
      </c>
      <c r="L43" s="3">
        <f t="shared" si="1"/>
        <v>19580</v>
      </c>
      <c r="O43" s="124" t="s">
        <v>1527</v>
      </c>
      <c r="P43" s="124"/>
      <c r="Q43" s="124"/>
      <c r="R43" s="124"/>
      <c r="S43" s="124"/>
      <c r="T43" s="124"/>
      <c r="U43" s="124"/>
      <c r="V43" s="124"/>
      <c r="W43" s="3">
        <v>18030</v>
      </c>
      <c r="X43" s="3">
        <v>18520</v>
      </c>
      <c r="Y43" s="3">
        <v>19050</v>
      </c>
      <c r="Z43" s="3">
        <v>19580</v>
      </c>
      <c r="AM43" s="124"/>
      <c r="AN43" s="124"/>
      <c r="AO43" s="124"/>
      <c r="AP43" s="124"/>
      <c r="AQ43" s="124"/>
      <c r="AR43" s="124"/>
      <c r="AS43" s="124"/>
      <c r="AT43" s="124"/>
      <c r="AU43" s="3"/>
      <c r="AV43" s="3"/>
      <c r="AW43" s="3"/>
      <c r="AX43" s="3"/>
    </row>
    <row r="44" spans="1:50" ht="21.95" customHeight="1">
      <c r="A44" s="147">
        <f>MIN(B16,B17,B18,B20,B21,B25,B26)</f>
        <v>42248</v>
      </c>
      <c r="B44" s="128">
        <f t="shared" ref="B44:B49" si="12">IF(A44=$C$9,1,2)</f>
        <v>2</v>
      </c>
      <c r="C44" s="124"/>
      <c r="D44" s="124"/>
      <c r="E44" s="124"/>
      <c r="F44" s="124"/>
      <c r="G44" s="124"/>
      <c r="H44" s="124"/>
      <c r="I44" s="3">
        <f>IF(Main!$C$26="UGC",SUM(I43,CEILING(I43*3%,10)),W44)</f>
        <v>18520</v>
      </c>
      <c r="J44" s="3">
        <f t="shared" si="1"/>
        <v>19050</v>
      </c>
      <c r="K44" s="3">
        <f t="shared" si="1"/>
        <v>19580</v>
      </c>
      <c r="L44" s="3">
        <f t="shared" si="1"/>
        <v>20110</v>
      </c>
      <c r="O44" s="147">
        <f>MIN(P16,P17,P18,P20,P21,P25,P26)</f>
        <v>42248</v>
      </c>
      <c r="P44" s="128">
        <f t="shared" ref="P44:P49" si="13">IF(O44=$Q$9,1,2)</f>
        <v>2</v>
      </c>
      <c r="Q44" s="124"/>
      <c r="R44" s="124"/>
      <c r="S44" s="124"/>
      <c r="T44" s="124"/>
      <c r="U44" s="124"/>
      <c r="V44" s="124"/>
      <c r="W44" s="3">
        <v>18520</v>
      </c>
      <c r="X44" s="3">
        <v>19050</v>
      </c>
      <c r="Y44" s="3">
        <v>19580</v>
      </c>
      <c r="Z44" s="3">
        <v>20110</v>
      </c>
      <c r="AM44" s="147"/>
      <c r="AN44" s="128"/>
      <c r="AO44" s="124"/>
      <c r="AP44" s="124"/>
      <c r="AQ44" s="124"/>
      <c r="AR44" s="124"/>
      <c r="AS44" s="124"/>
      <c r="AT44" s="124"/>
      <c r="AU44" s="3"/>
      <c r="AV44" s="3"/>
      <c r="AW44" s="3"/>
      <c r="AX44" s="3"/>
    </row>
    <row r="45" spans="1:50" ht="21.95" customHeight="1">
      <c r="A45" s="147">
        <f>MIN(IF(AND($B$16&gt;A44,$D$16=2),$B$16,$C$9),IF(AND($B$17&gt;A44,$D$17=2),$B$17,$C$9),IF(AND($B$18&gt;A44,$D$18=2),$B$18,$C$9),IF(AND($B$20&gt;A44,$D$20=2),$B$20,$C$9),IF(AND($B$21&gt;A44,$D$21=2),$B$21,$C$9),IF(AND($B$25&gt;A44,$D$25=2),$B$25,$C$9),IF(AND($B$26&gt;A44,$D$26=2),$B$26,$C$9))</f>
        <v>42461</v>
      </c>
      <c r="B45" s="128">
        <f t="shared" si="12"/>
        <v>1</v>
      </c>
      <c r="C45" s="124"/>
      <c r="D45" s="124"/>
      <c r="E45" s="124"/>
      <c r="F45" s="124"/>
      <c r="G45" s="124"/>
      <c r="H45" s="124"/>
      <c r="I45" s="3">
        <f>IF(Main!$C$26="UGC",SUM(I44,CEILING(I44*3%,10)),W45)</f>
        <v>19050</v>
      </c>
      <c r="J45" s="3">
        <f t="shared" si="1"/>
        <v>19580</v>
      </c>
      <c r="K45" s="3">
        <f t="shared" si="1"/>
        <v>20110</v>
      </c>
      <c r="L45" s="3">
        <f t="shared" si="1"/>
        <v>20680</v>
      </c>
      <c r="O45" s="147">
        <f>MIN(IF(AND($P$16&gt;O44,$R$16=2),$P$16,$Q$9),IF(AND($P$17&gt;O44,$R$17=2),$P$17,$Q$9),IF(AND($P$18&gt;O44,$R$18=2),$P$18,$Q$9),IF(AND($P$20&gt;O44,$R$20=2),$P$20,$Q$9),IF(AND($P$21&gt;O44,$R$21=2),$P$21,$Q$9),IF(AND($P$25&gt;O44,$R$25=2),$P$25,$Q$9),IF(AND($P$26&gt;O44,$R$26=2),$P$26,$Q$9))</f>
        <v>42461</v>
      </c>
      <c r="P45" s="128">
        <f t="shared" si="13"/>
        <v>1</v>
      </c>
      <c r="Q45" s="124"/>
      <c r="R45" s="124"/>
      <c r="S45" s="124"/>
      <c r="T45" s="124"/>
      <c r="U45" s="124"/>
      <c r="V45" s="124"/>
      <c r="W45" s="3">
        <v>19050</v>
      </c>
      <c r="X45" s="3">
        <v>19580</v>
      </c>
      <c r="Y45" s="3">
        <v>20110</v>
      </c>
      <c r="Z45" s="3">
        <v>20680</v>
      </c>
      <c r="AM45" s="147"/>
      <c r="AN45" s="128"/>
      <c r="AO45" s="124"/>
      <c r="AP45" s="124"/>
      <c r="AQ45" s="124"/>
      <c r="AR45" s="124"/>
      <c r="AS45" s="124"/>
      <c r="AT45" s="124"/>
      <c r="AU45" s="3"/>
      <c r="AV45" s="3"/>
      <c r="AW45" s="3"/>
      <c r="AX45" s="3"/>
    </row>
    <row r="46" spans="1:50" ht="21.95" customHeight="1">
      <c r="A46" s="147">
        <f>MIN(IF(AND($B$16&gt;A45,$D$16=2),$B$16,$C$9),IF(AND($B$17&gt;A45,$D$17=2),$B$17,$C$9),IF(AND($B$18&gt;A45,$D$18=2),$B$18,$C$9),IF(AND($B$20&gt;A45,$D$20=2),$B$20,$C$9),IF(AND($B$21&gt;A45,$D$21=2),$B$21,$C$9),IF(AND($B$25&gt;A45,$D$25=2),$B$25,$C$9),IF(AND($B$26&gt;A45,$D$26=2),$B$26,$C$9))</f>
        <v>42461</v>
      </c>
      <c r="B46" s="128">
        <f t="shared" si="12"/>
        <v>1</v>
      </c>
      <c r="C46" s="124"/>
      <c r="D46" s="124"/>
      <c r="E46" s="124"/>
      <c r="F46" s="124"/>
      <c r="G46" s="124"/>
      <c r="H46" s="124"/>
      <c r="I46" s="3">
        <f>IF(Main!$C$26="UGC",SUM(I45,CEILING(I45*3%,10)),W46)</f>
        <v>19580</v>
      </c>
      <c r="J46" s="3">
        <f t="shared" si="1"/>
        <v>20110</v>
      </c>
      <c r="K46" s="3">
        <f t="shared" si="1"/>
        <v>20680</v>
      </c>
      <c r="L46" s="3">
        <f t="shared" si="1"/>
        <v>21250</v>
      </c>
      <c r="O46" s="147">
        <f>MIN(IF(AND($P$16&gt;O45,$R$16=2),$P$16,$Q$9),IF(AND($P$17&gt;O45,$R$17=2),$P$17,$Q$9),IF(AND($P$18&gt;O45,$R$18=2),$P$18,$Q$9),IF(AND($P$20&gt;O45,$R$20=2),$P$20,$Q$9),IF(AND($P$21&gt;O45,$R$21=2),$P$21,$Q$9),IF(AND($P$25&gt;O45,$R$25=2),$P$25,$Q$9),IF(AND($P$26&gt;O45,$R$26=2),$P$26,$Q$9))</f>
        <v>42461</v>
      </c>
      <c r="P46" s="128">
        <f t="shared" si="13"/>
        <v>1</v>
      </c>
      <c r="Q46" s="124"/>
      <c r="R46" s="124"/>
      <c r="S46" s="124"/>
      <c r="T46" s="124"/>
      <c r="U46" s="124"/>
      <c r="V46" s="124"/>
      <c r="W46" s="3">
        <v>19580</v>
      </c>
      <c r="X46" s="3">
        <v>20110</v>
      </c>
      <c r="Y46" s="3">
        <v>20680</v>
      </c>
      <c r="Z46" s="3">
        <v>21250</v>
      </c>
      <c r="AM46" s="147"/>
      <c r="AN46" s="128"/>
      <c r="AO46" s="124"/>
      <c r="AP46" s="124"/>
      <c r="AQ46" s="124"/>
      <c r="AR46" s="124"/>
      <c r="AS46" s="124"/>
      <c r="AT46" s="124"/>
      <c r="AU46" s="3"/>
      <c r="AV46" s="3"/>
      <c r="AW46" s="3"/>
      <c r="AX46" s="3"/>
    </row>
    <row r="47" spans="1:50" ht="21.95" customHeight="1">
      <c r="A47" s="147">
        <f>MIN(IF(AND($B$16&gt;A46,$D$16=2),$B$16,$C$9),IF(AND($B$17&gt;A46,$D$17=2),$B$17,$C$9),IF(AND($B$18&gt;A46,$D$18=2),$B$18,$C$9),IF(AND($B$20&gt;A46,$D$20=2),$B$20,$C$9),IF(AND($B$21&gt;A46,$D$21=2),$B$21,$C$9),IF(AND($B$25&gt;A46,$D$25=2),$B$25,$C$9),IF(AND($B$26&gt;A46,$D$26=2),$B$26,$C$9))</f>
        <v>42461</v>
      </c>
      <c r="B47" s="128">
        <f t="shared" si="12"/>
        <v>1</v>
      </c>
      <c r="C47" s="123"/>
      <c r="D47" s="123"/>
      <c r="E47" s="123"/>
      <c r="F47" s="123"/>
      <c r="G47" s="123"/>
      <c r="H47" s="123"/>
      <c r="I47" s="3">
        <f>IF(Main!$C$26="UGC",SUM(I46,CEILING(I46*3%,10)),W47)</f>
        <v>20110</v>
      </c>
      <c r="J47" s="3">
        <f t="shared" si="1"/>
        <v>20680</v>
      </c>
      <c r="K47" s="3">
        <f t="shared" si="1"/>
        <v>21250</v>
      </c>
      <c r="L47" s="3">
        <f t="shared" si="1"/>
        <v>21820</v>
      </c>
      <c r="O47" s="147">
        <f>MIN(IF(AND($P$16&gt;O46,$R$16=2),$P$16,$Q$9),IF(AND($P$17&gt;O46,$R$17=2),$P$17,$Q$9),IF(AND($P$18&gt;O46,$R$18=2),$P$18,$Q$9),IF(AND($P$20&gt;O46,$R$20=2),$P$20,$Q$9),IF(AND($P$21&gt;O46,$R$21=2),$P$21,$Q$9),IF(AND($P$25&gt;O46,$R$25=2),$P$25,$Q$9),IF(AND($P$26&gt;O46,$R$26=2),$P$26,$Q$9))</f>
        <v>42461</v>
      </c>
      <c r="P47" s="128">
        <f t="shared" si="13"/>
        <v>1</v>
      </c>
      <c r="Q47" s="123"/>
      <c r="R47" s="123"/>
      <c r="S47" s="123"/>
      <c r="T47" s="123"/>
      <c r="U47" s="123"/>
      <c r="V47" s="123"/>
      <c r="W47" s="3">
        <v>20110</v>
      </c>
      <c r="X47" s="3">
        <v>20680</v>
      </c>
      <c r="Y47" s="3">
        <v>21250</v>
      </c>
      <c r="Z47" s="3">
        <v>21820</v>
      </c>
      <c r="AM47" s="147"/>
      <c r="AN47" s="128"/>
      <c r="AO47" s="123"/>
      <c r="AP47" s="123"/>
      <c r="AQ47" s="123"/>
      <c r="AR47" s="123"/>
      <c r="AS47" s="123"/>
      <c r="AT47" s="123"/>
      <c r="AU47" s="3"/>
      <c r="AV47" s="3"/>
      <c r="AW47" s="3"/>
      <c r="AX47" s="3"/>
    </row>
    <row r="48" spans="1:50" ht="21.95" customHeight="1">
      <c r="A48" s="147">
        <f>MIN(IF(AND($B$16&gt;A47,$D$16=2),$B$16,$C$9),IF(AND($B$17&gt;A47,$D$17=2),$B$17,$C$9),IF(AND($B$18&gt;A47,$D$18=2),$B$18,$C$9),IF(AND($B$20&gt;A47,$D$20=2),$B$20,$C$9),IF(AND($B$21&gt;A47,$D$21=2),$B$21,$C$9),IF(AND($B$25&gt;A47,$D$25=2),$B$25,$C$9),IF(AND($B$26&gt;A47,$D$26=2),$B$26,$C$9))</f>
        <v>42461</v>
      </c>
      <c r="B48" s="128">
        <f t="shared" si="12"/>
        <v>1</v>
      </c>
      <c r="C48" s="123"/>
      <c r="D48" s="123"/>
      <c r="E48" s="123"/>
      <c r="F48" s="123"/>
      <c r="G48" s="123"/>
      <c r="H48" s="123"/>
      <c r="I48" s="3">
        <f>IF(Main!$C$26="UGC",SUM(I47,CEILING(I47*3%,10)),W48)</f>
        <v>20680</v>
      </c>
      <c r="J48" s="3">
        <f t="shared" si="1"/>
        <v>21250</v>
      </c>
      <c r="K48" s="3">
        <f t="shared" si="1"/>
        <v>21820</v>
      </c>
      <c r="L48" s="3">
        <f t="shared" si="1"/>
        <v>22430</v>
      </c>
      <c r="O48" s="147">
        <f>MIN(IF(AND($P$16&gt;O47,$R$16=2),$P$16,$Q$9),IF(AND($P$17&gt;O47,$R$17=2),$P$17,$Q$9),IF(AND($P$18&gt;O47,$R$18=2),$P$18,$Q$9),IF(AND($P$20&gt;O47,$R$20=2),$P$20,$Q$9),IF(AND($P$21&gt;O47,$R$21=2),$P$21,$Q$9),IF(AND($P$25&gt;O47,$R$25=2),$P$25,$Q$9),IF(AND($P$26&gt;O47,$R$26=2),$P$26,$Q$9))</f>
        <v>42461</v>
      </c>
      <c r="P48" s="128">
        <f t="shared" si="13"/>
        <v>1</v>
      </c>
      <c r="Q48" s="123"/>
      <c r="R48" s="123"/>
      <c r="S48" s="123"/>
      <c r="T48" s="123"/>
      <c r="U48" s="123"/>
      <c r="V48" s="123"/>
      <c r="W48" s="3">
        <v>20680</v>
      </c>
      <c r="X48" s="3">
        <v>21250</v>
      </c>
      <c r="Y48" s="3">
        <v>21820</v>
      </c>
      <c r="Z48" s="3">
        <v>22430</v>
      </c>
      <c r="AM48" s="147"/>
      <c r="AN48" s="128"/>
      <c r="AO48" s="123"/>
      <c r="AP48" s="123"/>
      <c r="AQ48" s="123"/>
      <c r="AR48" s="123"/>
      <c r="AS48" s="123"/>
      <c r="AT48" s="123"/>
      <c r="AU48" s="3"/>
      <c r="AV48" s="3"/>
      <c r="AW48" s="3"/>
      <c r="AX48" s="3"/>
    </row>
    <row r="49" spans="1:50" ht="21.95" customHeight="1">
      <c r="A49" s="147">
        <f>MIN(IF(AND($B$16&gt;A48,$D$16=2),$B$16,$C$9),IF(AND($B$17&gt;A48,$D$17=2),$B$17,$C$9),IF(AND($B$18&gt;A48,$D$18=2),$B$18,$C$9),IF(AND($B$20&gt;A48,$D$20=2),$B$20,$C$9),IF(AND($B$21&gt;A48,$D$21=2),$B$21,$C$9),IF(AND($B$25&gt;A48,$D$25=2),$B$25,$C$9),IF(AND($B$26&gt;A48,$D$26=2),$B$26,$C$9))</f>
        <v>42461</v>
      </c>
      <c r="B49" s="128">
        <f t="shared" si="12"/>
        <v>1</v>
      </c>
      <c r="C49" s="123"/>
      <c r="D49" s="123"/>
      <c r="E49" s="123"/>
      <c r="F49" s="123"/>
      <c r="G49" s="123"/>
      <c r="H49" s="123"/>
      <c r="I49" s="3">
        <f>IF(Main!$C$26="UGC",SUM(I48,CEILING(I48*3%,10)),W49)</f>
        <v>21250</v>
      </c>
      <c r="J49" s="3">
        <f t="shared" si="1"/>
        <v>21820</v>
      </c>
      <c r="K49" s="3">
        <f t="shared" si="1"/>
        <v>22430</v>
      </c>
      <c r="L49" s="3">
        <f t="shared" si="1"/>
        <v>23040</v>
      </c>
      <c r="O49" s="147">
        <f>MIN(IF(AND($P$16&gt;O48,$R$16=2),$P$16,$Q$9),IF(AND($P$17&gt;O48,$R$17=2),$P$17,$Q$9),IF(AND($P$18&gt;O48,$R$18=2),$P$18,$Q$9),IF(AND($P$20&gt;O48,$R$20=2),$P$20,$Q$9),IF(AND($P$21&gt;O48,$R$21=2),$P$21,$Q$9),IF(AND($P$25&gt;O48,$R$25=2),$P$25,$Q$9),IF(AND($P$26&gt;O48,$R$26=2),$P$26,$Q$9))</f>
        <v>42461</v>
      </c>
      <c r="P49" s="128">
        <f t="shared" si="13"/>
        <v>1</v>
      </c>
      <c r="Q49" s="123"/>
      <c r="R49" s="123"/>
      <c r="S49" s="123"/>
      <c r="T49" s="123"/>
      <c r="U49" s="123"/>
      <c r="V49" s="123"/>
      <c r="W49" s="3">
        <v>21250</v>
      </c>
      <c r="X49" s="3">
        <v>21820</v>
      </c>
      <c r="Y49" s="3">
        <v>22430</v>
      </c>
      <c r="Z49" s="3">
        <v>23040</v>
      </c>
      <c r="AM49" s="147"/>
      <c r="AN49" s="128"/>
      <c r="AO49" s="123"/>
      <c r="AP49" s="123"/>
      <c r="AQ49" s="123"/>
      <c r="AR49" s="123"/>
      <c r="AS49" s="123"/>
      <c r="AT49" s="123"/>
      <c r="AU49" s="3"/>
      <c r="AV49" s="3"/>
      <c r="AW49" s="3"/>
      <c r="AX49" s="3"/>
    </row>
    <row r="50" spans="1:50" ht="21.95" customHeight="1">
      <c r="A50" s="148">
        <f>MIN(B19,B23,B24)</f>
        <v>42461</v>
      </c>
      <c r="B50" s="146">
        <f>IF(A50=B24,D24,IF(A50=B23,D23,D19))</f>
        <v>1</v>
      </c>
      <c r="C50" s="123"/>
      <c r="D50" s="123"/>
      <c r="E50" s="123"/>
      <c r="F50" s="123"/>
      <c r="G50" s="123"/>
      <c r="H50" s="123"/>
      <c r="I50" s="3">
        <f>IF(Main!$C$26="UGC",SUM(I49,CEILING(I49*3%,10)),W50)</f>
        <v>21820</v>
      </c>
      <c r="J50" s="3">
        <f t="shared" si="1"/>
        <v>22430</v>
      </c>
      <c r="K50" s="3">
        <f t="shared" si="1"/>
        <v>23040</v>
      </c>
      <c r="L50" s="3">
        <f t="shared" si="1"/>
        <v>23650</v>
      </c>
      <c r="O50" s="148">
        <f>MIN(P19,P23,P24)</f>
        <v>42461</v>
      </c>
      <c r="P50" s="146">
        <f>IF(O50=P24,R24,IF(O50=P23,R23,R19))</f>
        <v>1</v>
      </c>
      <c r="Q50" s="123"/>
      <c r="R50" s="123"/>
      <c r="S50" s="123"/>
      <c r="T50" s="123"/>
      <c r="U50" s="123"/>
      <c r="V50" s="123"/>
      <c r="W50" s="3">
        <v>21820</v>
      </c>
      <c r="X50" s="3">
        <v>22430</v>
      </c>
      <c r="Y50" s="3">
        <v>23040</v>
      </c>
      <c r="Z50" s="3">
        <v>23650</v>
      </c>
      <c r="AM50" s="148"/>
      <c r="AN50" s="146"/>
      <c r="AO50" s="123"/>
      <c r="AP50" s="123"/>
      <c r="AQ50" s="123"/>
      <c r="AR50" s="123"/>
      <c r="AS50" s="123"/>
      <c r="AT50" s="123"/>
      <c r="AU50" s="3"/>
      <c r="AV50" s="3"/>
      <c r="AW50" s="3"/>
      <c r="AX50" s="3"/>
    </row>
    <row r="51" spans="1:50" ht="21.95" customHeight="1">
      <c r="A51" s="148">
        <f>IF(D6&gt;0,B23,B24)</f>
        <v>42461</v>
      </c>
      <c r="B51" s="146">
        <f>IF(A51=B24,D24,D23)</f>
        <v>1</v>
      </c>
      <c r="C51" s="123"/>
      <c r="D51" s="123"/>
      <c r="E51" s="123"/>
      <c r="F51" s="123"/>
      <c r="G51" s="123"/>
      <c r="H51" s="123"/>
      <c r="I51" s="3">
        <f>IF(Main!$C$26="UGC",SUM(I50,CEILING(I50*3%,10)),W51)</f>
        <v>22430</v>
      </c>
      <c r="J51" s="3">
        <f t="shared" si="1"/>
        <v>23040</v>
      </c>
      <c r="K51" s="3">
        <f t="shared" si="1"/>
        <v>23650</v>
      </c>
      <c r="L51" s="3">
        <f t="shared" si="1"/>
        <v>24300</v>
      </c>
      <c r="O51" s="148">
        <f>IF(R6&gt;0,P23,P24)</f>
        <v>42461</v>
      </c>
      <c r="P51" s="146">
        <f>IF(O51=P24,R24,R23)</f>
        <v>1</v>
      </c>
      <c r="Q51" s="123"/>
      <c r="R51" s="123"/>
      <c r="S51" s="123"/>
      <c r="T51" s="123"/>
      <c r="U51" s="123"/>
      <c r="V51" s="123"/>
      <c r="W51" s="3">
        <v>22430</v>
      </c>
      <c r="X51" s="3">
        <v>23040</v>
      </c>
      <c r="Y51" s="3">
        <v>23650</v>
      </c>
      <c r="Z51" s="3">
        <v>24300</v>
      </c>
      <c r="AM51" s="148"/>
      <c r="AN51" s="146"/>
      <c r="AO51" s="123"/>
      <c r="AP51" s="123"/>
      <c r="AQ51" s="123"/>
      <c r="AR51" s="123"/>
      <c r="AS51" s="123"/>
      <c r="AT51" s="123"/>
      <c r="AU51" s="3"/>
      <c r="AV51" s="3"/>
      <c r="AW51" s="3"/>
      <c r="AX51" s="3"/>
    </row>
    <row r="52" spans="1:50" ht="21.95" customHeight="1">
      <c r="A52" s="148">
        <f>B24</f>
        <v>42461</v>
      </c>
      <c r="B52" s="146">
        <f>D24</f>
        <v>1</v>
      </c>
      <c r="C52" s="123"/>
      <c r="D52" s="123"/>
      <c r="E52" s="123">
        <f>VLOOKUP(D53,B54:E65,4)</f>
        <v>25600</v>
      </c>
      <c r="F52" s="123"/>
      <c r="G52" s="123"/>
      <c r="H52" s="123"/>
      <c r="I52" s="3">
        <f>IF(Main!$C$26="UGC",SUM(I51,CEILING(I51*3%,10)),W52)</f>
        <v>23040</v>
      </c>
      <c r="J52" s="3">
        <f t="shared" si="1"/>
        <v>23650</v>
      </c>
      <c r="K52" s="3">
        <f t="shared" si="1"/>
        <v>24300</v>
      </c>
      <c r="L52" s="3">
        <f t="shared" si="1"/>
        <v>24950</v>
      </c>
      <c r="O52" s="148">
        <f>P24</f>
        <v>42461</v>
      </c>
      <c r="P52" s="146">
        <f>R24</f>
        <v>1</v>
      </c>
      <c r="Q52" s="123"/>
      <c r="R52" s="123"/>
      <c r="S52" s="123">
        <f>VLOOKUP(R53,P54:S65,4)</f>
        <v>25600</v>
      </c>
      <c r="T52" s="123"/>
      <c r="U52" s="123"/>
      <c r="V52" s="123"/>
      <c r="W52" s="3">
        <v>23040</v>
      </c>
      <c r="X52" s="3">
        <v>23650</v>
      </c>
      <c r="Y52" s="3">
        <v>24300</v>
      </c>
      <c r="Z52" s="3">
        <v>24950</v>
      </c>
      <c r="AM52" s="148"/>
      <c r="AN52" s="146"/>
      <c r="AO52" s="123"/>
      <c r="AP52" s="123"/>
      <c r="AQ52" s="123"/>
      <c r="AR52" s="123"/>
      <c r="AS52" s="123"/>
      <c r="AT52" s="123"/>
      <c r="AU52" s="3"/>
      <c r="AV52" s="3"/>
      <c r="AW52" s="3"/>
      <c r="AX52" s="3"/>
    </row>
    <row r="53" spans="1:50" ht="21.95" customHeight="1">
      <c r="A53" s="149"/>
      <c r="B53" s="123"/>
      <c r="C53" s="123" t="s">
        <v>1559</v>
      </c>
      <c r="D53" s="149">
        <f>E9</f>
        <v>42005</v>
      </c>
      <c r="E53" s="184">
        <f>VLOOKUP(D53,B30:C41,2)</f>
        <v>25600</v>
      </c>
      <c r="F53" s="123" t="s">
        <v>1558</v>
      </c>
      <c r="G53" s="123"/>
      <c r="H53" s="123"/>
      <c r="I53" s="3">
        <f>IF(Main!$C$26="UGC",SUM(I52,CEILING(I52*3%,10)),W53)</f>
        <v>23650</v>
      </c>
      <c r="J53" s="3">
        <f t="shared" si="1"/>
        <v>24300</v>
      </c>
      <c r="K53" s="3">
        <f t="shared" si="1"/>
        <v>24950</v>
      </c>
      <c r="L53" s="3">
        <f t="shared" si="1"/>
        <v>25600</v>
      </c>
      <c r="O53" s="149"/>
      <c r="P53" s="123"/>
      <c r="Q53" s="123" t="s">
        <v>1559</v>
      </c>
      <c r="R53" s="149">
        <f>D69</f>
        <v>42005</v>
      </c>
      <c r="S53" s="184">
        <f>VLOOKUP(R53,P30:Q41,2)</f>
        <v>25600</v>
      </c>
      <c r="T53" s="123" t="s">
        <v>1558</v>
      </c>
      <c r="U53" s="123"/>
      <c r="V53" s="123"/>
      <c r="W53" s="3">
        <v>23650</v>
      </c>
      <c r="X53" s="3">
        <v>24300</v>
      </c>
      <c r="Y53" s="3">
        <v>24950</v>
      </c>
      <c r="Z53" s="3">
        <v>25600</v>
      </c>
      <c r="AM53" s="149"/>
      <c r="AN53" s="123"/>
      <c r="AO53" s="123"/>
      <c r="AP53" s="149"/>
      <c r="AQ53" s="184"/>
      <c r="AR53" s="123"/>
      <c r="AS53" s="123"/>
      <c r="AT53" s="123"/>
      <c r="AU53" s="3"/>
      <c r="AV53" s="3"/>
      <c r="AW53" s="3"/>
      <c r="AX53" s="3"/>
    </row>
    <row r="54" spans="1:50" ht="21.95" customHeight="1">
      <c r="A54" s="123"/>
      <c r="B54" s="133">
        <f>B15</f>
        <v>42005</v>
      </c>
      <c r="C54" s="128">
        <f>C15</f>
        <v>25600</v>
      </c>
      <c r="D54" s="124"/>
      <c r="E54" s="151">
        <f>C54</f>
        <v>25600</v>
      </c>
      <c r="F54" s="124">
        <f>IF(B54&gt;=$E$11,$G$22,IF(B54&gt;=$C$11,$G$19,0))</f>
        <v>0</v>
      </c>
      <c r="G54" s="123"/>
      <c r="H54" s="123"/>
      <c r="I54" s="3">
        <f>IF(Main!$C$26="UGC",SUM(I53,CEILING(I53*3%,10)),W54)</f>
        <v>24300</v>
      </c>
      <c r="J54" s="3">
        <f t="shared" si="1"/>
        <v>24950</v>
      </c>
      <c r="K54" s="3">
        <f t="shared" si="1"/>
        <v>25600</v>
      </c>
      <c r="L54" s="3">
        <f t="shared" si="1"/>
        <v>26300</v>
      </c>
      <c r="O54" s="123"/>
      <c r="P54" s="133">
        <f>P15</f>
        <v>42005</v>
      </c>
      <c r="Q54" s="128">
        <f>Q15</f>
        <v>25600</v>
      </c>
      <c r="R54" s="124"/>
      <c r="S54" s="151">
        <f>Q54</f>
        <v>25600</v>
      </c>
      <c r="T54" s="124">
        <f t="shared" ref="T54:T65" si="14">IF(P54&gt;=$S$11,$U$22,IF(P54&gt;=$Q$11,$U$19,0))</f>
        <v>0</v>
      </c>
      <c r="U54" s="123"/>
      <c r="V54" s="123"/>
      <c r="W54" s="3">
        <v>24300</v>
      </c>
      <c r="X54" s="3">
        <v>24950</v>
      </c>
      <c r="Y54" s="3">
        <v>25600</v>
      </c>
      <c r="Z54" s="3">
        <v>26300</v>
      </c>
      <c r="AM54" s="123"/>
      <c r="AN54" s="133"/>
      <c r="AO54" s="128"/>
      <c r="AP54" s="124"/>
      <c r="AQ54" s="151"/>
      <c r="AR54" s="124"/>
      <c r="AS54" s="123"/>
      <c r="AT54" s="123"/>
      <c r="AU54" s="3"/>
      <c r="AV54" s="3"/>
      <c r="AW54" s="3"/>
      <c r="AX54" s="3"/>
    </row>
    <row r="55" spans="1:50" ht="21.95" customHeight="1">
      <c r="A55" s="149">
        <f>B54</f>
        <v>42005</v>
      </c>
      <c r="B55" s="130">
        <f>MIN(IF(AND(Main!AN10=4,$C$12&gt;B54),$C$12,IF(AND($A$16&gt;B54,$A$16&lt;MIN($C$11,$E$11)),$A$16,$C$9)),IF(AND($A$17&gt;B54,$A$17&lt;MIN($C$11,$E$11)),$A$17,$C$9),IF(AND($A$18&gt;B54,$A$18&lt;MIN($C$11,$E$11)),$A$18,$C$9),IF(AND($A$20&gt;B54,$A$20&gt;$C$11),$A$20,$C$9),IF(AND($A$21&gt;B54,$A$21&gt;$C$11),$A$21,$C$9),IF(AND($A$25&gt;B54,$A$25&gt;$E$11),$A$25,$C$9),IF(AND($A$26&gt;B54,$A$26&gt;$E$11),$A$26,$C$9),IF($C$11&gt;B54,$C$11,$C$9),IF($C$12&gt;B54,$C$12,$C$9),IF($E$11&gt;B54,$E$11,$C$9),IF($E$12&gt;B54,$E$12,$C$9),IF($C$13&gt;B54,$C$13,$C$9),IF($E$13&gt;B54,$E$13,$C$9))</f>
        <v>42248</v>
      </c>
      <c r="C55" s="128">
        <f>IF(B55=$B$26,$C$26,IF(B55=$B$25,$C$25,IF(B55=$B$24,$C$24,IF(B55=$B$23,$C$23,IF(B55=$B$21,$C$21,IF(B55=$B$20,$C$20,IF(B55=$B$19,$C$19,IF(B55=$B$18,$C$18,IF(B55=$B$17,$C$17,IF(B55=$B$16,$C$16,LOOKUP(B55,$B$30:$C$41)))))))))))</f>
        <v>26300</v>
      </c>
      <c r="D55" s="128">
        <f>IF(AND(B55=$E$11,$B$24&gt;=$E$11),$D$24,IF(AND(B55=$E$11,$B$23&gt;=$E$11),$D$23,IF(B55=$C$11,$D$19,IF(ISNA(VLOOKUP(B55,$A$91:$B$95,1,FALSE)),1,LOOKUP(B55,$A$91:$B$95)))))</f>
        <v>2</v>
      </c>
      <c r="E55" s="151">
        <f>IF(AND(Main!$AN$10=5,B55=$G$12),$F$12,IF(OR(B55=$C$11,B55=$E$11,$C$12=B55),VLOOKUP(B55,$B$30:$E$41,4),MAX(IF(Main!$AN$10=4,VLOOKUP(E54,$I$2:$K$7,D55),VLOOKUP(E54,$I$8:$L$92,D55)),F55)))</f>
        <v>26300</v>
      </c>
      <c r="F55" s="124">
        <f>IF(B55&gt;=$E$11,$G$22,IF(B55&gt;=$C$11,$G$19,0))</f>
        <v>0</v>
      </c>
      <c r="G55" s="123"/>
      <c r="H55" s="123"/>
      <c r="I55" s="3">
        <f>IF(Main!$C$26="UGC",SUM(I54,CEILING(I54*3%,10)),W55)</f>
        <v>24950</v>
      </c>
      <c r="J55" s="3">
        <f t="shared" si="1"/>
        <v>25600</v>
      </c>
      <c r="K55" s="3">
        <f t="shared" si="1"/>
        <v>26300</v>
      </c>
      <c r="L55" s="3">
        <f t="shared" si="1"/>
        <v>27000</v>
      </c>
      <c r="O55" s="149">
        <f t="shared" ref="O55:O65" si="15">P54</f>
        <v>42005</v>
      </c>
      <c r="P55" s="130">
        <f>MIN(IF(AND(Main!AN10=4,$Q$12&gt;P54),$Q$12,IF(AND($O$16&gt;P54,$O$16&lt;MIN($Q$11,$S$11)),$O$16,$Q$9)),IF(AND($O$17&gt;P54,$O$17&lt;MIN($Q$11,$S$11)),$O$17,$Q$9),IF(AND($O$18&gt;P54,$O$18&lt;MIN($Q$11,$S$11)),$O$18,$Q$9),IF(AND($O$20&gt;P54,$O$20&gt;$Q$11),$O$20,$Q$9),IF(AND($O$21&gt;P54,$O$21&gt;$Q$11),$O$21,$Q$9),IF(AND($O$25&gt;P54,$O$25&gt;$S$11),$O$25,$Q$9),IF(AND($O$26&gt;P54,$O$26&gt;$S$11),$O$26,$Q$9),IF($Q$11&gt;P54,$Q$11,$Q$9),IF($Q$12&gt;P54,$Q$12,$Q$9),IF($S$11&gt;P54,$S$11,$Q$9),IF($S$12&gt;P54,$S$12,$Q$9),IF($Q$13&gt;P54,$Q$13,$Q$9),IF($S$13&gt;P54,$S$13,$Q$9))</f>
        <v>42248</v>
      </c>
      <c r="Q55" s="128">
        <f t="shared" ref="Q55:Q65" si="16">IF(P55=$P$26,$Q$26,IF(P55=$P$25,$Q$25,IF(P55=$P$24,$Q$24,IF(P55=$P$23,$Q$23,IF(P55=$P$21,$Q$21,IF(P55=$P$20,$Q$20,IF(P55=$P$19,$Q$19,IF(P55=$P$18,$Q$18,IF(P55=$P$17,$Q$17,IF(P55=$P$16,$Q$16,LOOKUP(P55,$P$30:$Q$41)))))))))))</f>
        <v>26300</v>
      </c>
      <c r="R55" s="128">
        <f>IF(AND(P55=$S$11,$P$24&gt;=$S$11),$R$24,IF(AND(P55=$S$11,$P$23&gt;=$S$11),$R$23,IF(P55=$Q$11,$R$19,IF(ISNA(VLOOKUP(P55,$O$91:$P$95,1,FALSE)),1,LOOKUP(P55,$O$91:$P$95)))))</f>
        <v>2</v>
      </c>
      <c r="S55" s="151">
        <f>IF(AND(Main!$AN$10=5,P55=$U$12),$T$12,IF(OR(P55=$Q$11,P55=$S$11,$Q$12=P55),VLOOKUP(P55,$P$30:$S$41,4),MAX(IF(Main!$AN$10=4,VLOOKUP(S54,$W$2:$Y$7,R55),VLOOKUP(S54,$W$8:$Z$92,R55)),T55)))</f>
        <v>26300</v>
      </c>
      <c r="T55" s="124">
        <f t="shared" si="14"/>
        <v>0</v>
      </c>
      <c r="U55" s="123"/>
      <c r="V55" s="123"/>
      <c r="W55" s="3">
        <v>24950</v>
      </c>
      <c r="X55" s="3">
        <v>25600</v>
      </c>
      <c r="Y55" s="3">
        <v>26300</v>
      </c>
      <c r="Z55" s="3">
        <v>27000</v>
      </c>
      <c r="AM55" s="149"/>
      <c r="AN55" s="130"/>
      <c r="AO55" s="128"/>
      <c r="AP55" s="128"/>
      <c r="AQ55" s="151"/>
      <c r="AR55" s="124"/>
      <c r="AS55" s="123"/>
      <c r="AT55" s="123"/>
      <c r="AU55" s="3"/>
      <c r="AV55" s="3"/>
      <c r="AW55" s="3"/>
      <c r="AX55" s="3"/>
    </row>
    <row r="56" spans="1:50" ht="21.95" customHeight="1">
      <c r="A56" s="149">
        <f t="shared" ref="A56:A65" si="17">B55</f>
        <v>42248</v>
      </c>
      <c r="B56" s="130">
        <f>MIN(IF(AND(Main!AN11=4,$C$12&gt;B55),$C$12,IF(AND($A$16&gt;B55,$A$16&lt;MIN($C$11,$E$11)),$A$16,$C$9)),IF(AND($A$17&gt;B55,$A$17&lt;MIN($C$11,$E$11)),$A$17,$C$9),IF(AND($A$18&gt;B55,$A$18&lt;MIN($C$11,$E$11)),$A$18,$C$9),IF(AND($A$20&gt;B55,$A$20&gt;$C$11),$A$20,$C$9),IF(AND($A$21&gt;B55,$A$21&gt;$C$11),$A$21,$C$9),IF(AND($A$25&gt;B55,$A$25&gt;$E$11),$A$25,$C$9),IF(AND($A$26&gt;B55,$A$26&gt;$E$11),$A$26,$C$9),IF($C$11&gt;B55,$C$11,$C$9),IF($C$12&gt;B55,$C$12,$C$9),IF($E$11&gt;B55,$E$11,$C$9),IF($E$12&gt;B55,$E$12,$C$9),IF($C$13&gt;B55,$C$13,$C$9),IF($E$13&gt;B55,$E$13,$C$9))</f>
        <v>42461</v>
      </c>
      <c r="C56" s="128">
        <f t="shared" ref="C56:C65" si="18">IF(B56=$B$26,$C$26,IF(B56=$B$25,$C$25,IF(B56=$B$24,$C$24,IF(B56=$B$23,$C$23,IF(B56=$B$21,$C$21,IF(B56=$B$20,$C$20,IF(B56=$B$19,$C$19,IF(B56=$B$18,$C$18,IF(B56=$B$17,$C$17,IF(B56=$B$16,$C$16,LOOKUP(B56,$B$30:$C$41)))))))))))</f>
        <v>26300</v>
      </c>
      <c r="D56" s="128">
        <f t="shared" ref="D56:D65" si="19">IF(AND(B56=$E$11,$B$24&gt;=$E$11),$D$24,IF(AND(B56=$E$11,$B$23&gt;=$E$11),$D$23,IF(B56=$C$11,$D$19,IF(ISNA(VLOOKUP(B56,$A$91:$B$95,1,FALSE)),1,LOOKUP(B56,$A$91:$B$95)))))</f>
        <v>1</v>
      </c>
      <c r="E56" s="151">
        <f>IF(AND(Main!$AN$10=5,B56=$G$12),$F$12,IF(OR(B56=$C$11,B56=$E$11,$C$12=B56),VLOOKUP(B56,$B$30:$E$41,4),MAX(IF(Main!$AN$10=4,VLOOKUP(E55,$I$2:$K$7,D56),VLOOKUP(E55,$I$8:$L$92,D56)),F56)))</f>
        <v>26300</v>
      </c>
      <c r="F56" s="124">
        <f t="shared" ref="F56:F65" si="20">IF(B56&gt;=$E$11,$G$22,IF(B56&gt;=$C$11,$G$19,0))</f>
        <v>0</v>
      </c>
      <c r="G56" s="123"/>
      <c r="H56" s="123"/>
      <c r="I56" s="3">
        <f>IF(Main!$C$26="UGC",SUM(I55,CEILING(I55*3%,10)),W56)</f>
        <v>25600</v>
      </c>
      <c r="J56" s="3">
        <f t="shared" ref="J56:L87" si="21">I57</f>
        <v>26300</v>
      </c>
      <c r="K56" s="3">
        <f t="shared" si="21"/>
        <v>27000</v>
      </c>
      <c r="L56" s="3">
        <f t="shared" si="21"/>
        <v>27700</v>
      </c>
      <c r="O56" s="149">
        <f t="shared" si="15"/>
        <v>42248</v>
      </c>
      <c r="P56" s="130">
        <f>MIN(IF(AND(Main!AN11=4,$Q$12&gt;P55),$Q$12,IF(AND($O$16&gt;P55,$O$16&lt;MIN($Q$11,$S$11)),$O$16,$Q$9)),IF(AND($O$17&gt;P55,$O$17&lt;MIN($Q$11,$S$11)),$O$17,$Q$9),IF(AND($O$18&gt;P55,$O$18&lt;MIN($Q$11,$S$11)),$O$18,$Q$9),IF(AND($O$20&gt;P55,$O$20&gt;$Q$11),$O$20,$Q$9),IF(AND($O$21&gt;P55,$O$21&gt;$Q$11),$O$21,$Q$9),IF(AND($O$25&gt;P55,$O$25&gt;$S$11),$O$25,$Q$9),IF(AND($O$26&gt;P55,$O$26&gt;$S$11),$O$26,$Q$9),IF($Q$11&gt;P55,$Q$11,$Q$9),IF($Q$12&gt;P55,$Q$12,$Q$9),IF($S$11&gt;P55,$S$11,$Q$9),IF($S$12&gt;P55,$S$12,$Q$9),IF($Q$13&gt;P55,$Q$13,$Q$9),IF($S$13&gt;P55,$S$13,$Q$9))</f>
        <v>42461</v>
      </c>
      <c r="Q56" s="128">
        <f t="shared" si="16"/>
        <v>26300</v>
      </c>
      <c r="R56" s="128">
        <f t="shared" ref="R56:R65" si="22">IF(AND(P56=$S$11,$P$24&gt;=$S$11),$R$24,IF(AND(P56=$S$11,$P$23&gt;=$S$11),$R$23,IF(P56=$Q$11,$R$19,IF(ISNA(VLOOKUP(P56,$O$91:$P$95,1,FALSE)),1,LOOKUP(P56,$O$91:$P$95)))))</f>
        <v>1</v>
      </c>
      <c r="S56" s="151">
        <f>IF(AND(Main!$AN$10=5,P56=$U$12),$T$12,IF(OR(P56=$Q$11,P56=$S$11,$Q$12=P56),VLOOKUP(P56,$P$30:$S$41,4),MAX(IF(Main!$AN$10=4,VLOOKUP(S55,$W$2:$Y$7,R56),VLOOKUP(S55,$W$8:$Z$92,R56)),T56)))</f>
        <v>26300</v>
      </c>
      <c r="T56" s="124">
        <f t="shared" si="14"/>
        <v>0</v>
      </c>
      <c r="U56" s="123"/>
      <c r="V56" s="123"/>
      <c r="W56" s="3">
        <v>25600</v>
      </c>
      <c r="X56" s="3">
        <v>26300</v>
      </c>
      <c r="Y56" s="3">
        <v>27000</v>
      </c>
      <c r="Z56" s="3">
        <v>27700</v>
      </c>
      <c r="AM56" s="149"/>
      <c r="AN56" s="130"/>
      <c r="AO56" s="128"/>
      <c r="AP56" s="128"/>
      <c r="AQ56" s="151"/>
      <c r="AR56" s="124"/>
      <c r="AS56" s="123"/>
      <c r="AT56" s="123"/>
      <c r="AU56" s="3"/>
      <c r="AV56" s="3"/>
      <c r="AW56" s="3"/>
      <c r="AX56" s="3"/>
    </row>
    <row r="57" spans="1:50" ht="21.95" customHeight="1">
      <c r="A57" s="149">
        <f t="shared" si="17"/>
        <v>42461</v>
      </c>
      <c r="B57" s="130">
        <f>MIN(IF(AND(Main!AN12=4,$C$12&gt;B56),$C$12,IF(AND($A$16&gt;B56,$A$16&lt;MIN($C$11,$E$11)),$A$16,$C$9)),IF(AND($A$17&gt;B56,$A$17&lt;MIN($C$11,$E$11)),$A$17,$C$9),IF(AND($A$18&gt;B56,$A$18&lt;MIN($C$11,$E$11)),$A$18,$C$9),IF(AND($A$20&gt;B56,$A$20&gt;$C$11),$A$20,$C$9),IF(AND($A$21&gt;B56,$A$21&gt;$C$11),$A$21,$C$9),IF(AND($A$25&gt;B56,$A$25&gt;$E$11),$A$25,$C$9),IF(AND($A$26&gt;B56,$A$26&gt;$E$11),$A$26,$C$9),IF($C$11&gt;B56,$C$11,$C$9),IF($C$12&gt;B56,$C$12,$C$9),IF($E$11&gt;B56,$E$11,$C$9),IF($E$12&gt;B56,$E$12,$C$9),IF($C$13&gt;B56,$C$13,$C$9),IF($E$13&gt;B56,$E$13,$C$9))</f>
        <v>42461</v>
      </c>
      <c r="C57" s="128">
        <f t="shared" si="18"/>
        <v>26300</v>
      </c>
      <c r="D57" s="128">
        <f t="shared" si="19"/>
        <v>1</v>
      </c>
      <c r="E57" s="151">
        <f>IF(AND(Main!$AN$10=5,B57=$G$12),$F$12,IF(OR(B57=$C$11,B57=$E$11,$C$12=B57),VLOOKUP(B57,$B$30:$E$41,4),MAX(IF(Main!$AN$10=4,VLOOKUP(E56,$I$2:$K$7,D57),VLOOKUP(E56,$I$8:$L$92,D57)),F57)))</f>
        <v>26300</v>
      </c>
      <c r="F57" s="124">
        <f t="shared" si="20"/>
        <v>0</v>
      </c>
      <c r="G57" s="123"/>
      <c r="H57" s="123"/>
      <c r="I57" s="3">
        <f>IF(Main!$C$26="UGC",SUM(I56,CEILING(I56*3%,10)),W57)</f>
        <v>26300</v>
      </c>
      <c r="J57" s="3">
        <f t="shared" si="21"/>
        <v>27000</v>
      </c>
      <c r="K57" s="3">
        <f t="shared" si="21"/>
        <v>27700</v>
      </c>
      <c r="L57" s="3">
        <f t="shared" si="21"/>
        <v>28450</v>
      </c>
      <c r="O57" s="149">
        <f t="shared" si="15"/>
        <v>42461</v>
      </c>
      <c r="P57" s="130">
        <f>MIN(IF(AND(Main!AN12=4,$Q$12&gt;P56),$Q$12,IF(AND($O$16&gt;P56,$O$16&lt;MIN($Q$11,$S$11)),$O$16,$Q$9)),IF(AND($O$17&gt;P56,$O$17&lt;MIN($Q$11,$S$11)),$O$17,$Q$9),IF(AND($O$18&gt;P56,$O$18&lt;MIN($Q$11,$S$11)),$O$18,$Q$9),IF(AND($O$20&gt;P56,$O$20&gt;$Q$11),$O$20,$Q$9),IF(AND($O$21&gt;P56,$O$21&gt;$Q$11),$O$21,$Q$9),IF(AND($O$25&gt;P56,$O$25&gt;$S$11),$O$25,$Q$9),IF(AND($O$26&gt;P56,$O$26&gt;$S$11),$O$26,$Q$9),IF($Q$11&gt;P56,$Q$11,$Q$9),IF($Q$12&gt;P56,$Q$12,$Q$9),IF($S$11&gt;P56,$S$11,$Q$9),IF($S$12&gt;P56,$S$12,$Q$9),IF($Q$13&gt;P56,$Q$13,$Q$9),IF($S$13&gt;P56,$S$13,$Q$9))</f>
        <v>42461</v>
      </c>
      <c r="Q57" s="128">
        <f t="shared" si="16"/>
        <v>26300</v>
      </c>
      <c r="R57" s="128">
        <f t="shared" si="22"/>
        <v>1</v>
      </c>
      <c r="S57" s="151">
        <f>IF(AND(Main!$AN$10=5,P57=$U$12),$T$12,IF(OR(P57=$Q$11,P57=$S$11,$Q$12=P57),VLOOKUP(P57,$P$30:$S$41,4),MAX(IF(Main!$AN$10=4,VLOOKUP(S56,$W$2:$Y$7,R57),VLOOKUP(S56,$W$8:$Z$92,R57)),T57)))</f>
        <v>26300</v>
      </c>
      <c r="T57" s="124">
        <f t="shared" si="14"/>
        <v>0</v>
      </c>
      <c r="U57" s="123"/>
      <c r="V57" s="123"/>
      <c r="W57" s="3">
        <v>26300</v>
      </c>
      <c r="X57" s="3">
        <v>27000</v>
      </c>
      <c r="Y57" s="3">
        <v>27700</v>
      </c>
      <c r="Z57" s="3">
        <v>28450</v>
      </c>
      <c r="AM57" s="149"/>
      <c r="AN57" s="130"/>
      <c r="AO57" s="128"/>
      <c r="AP57" s="128"/>
      <c r="AQ57" s="151"/>
      <c r="AR57" s="124"/>
      <c r="AS57" s="123"/>
      <c r="AT57" s="123"/>
      <c r="AU57" s="3"/>
      <c r="AV57" s="3"/>
      <c r="AW57" s="3"/>
      <c r="AX57" s="3"/>
    </row>
    <row r="58" spans="1:50" ht="21.95" customHeight="1">
      <c r="A58" s="149">
        <f t="shared" si="17"/>
        <v>42461</v>
      </c>
      <c r="B58" s="130">
        <f>MIN(IF(AND(Main!AN13=4,$C$12&gt;B57),$C$12,IF(AND($A$16&gt;B57,$A$16&lt;MIN($C$11,$E$11)),$A$16,$C$9)),IF(AND($A$17&gt;B57,$A$17&lt;MIN($C$11,$E$11)),$A$17,$C$9),IF(AND($A$18&gt;B57,$A$18&lt;MIN($C$11,$E$11)),$A$18,$C$9),IF(AND($A$20&gt;B57,$A$20&gt;$C$11),$A$20,$C$9),IF(AND($A$21&gt;B57,$A$21&gt;$C$11),$A$21,$C$9),IF(AND($A$25&gt;B57,$A$25&gt;$E$11),$A$25,$C$9),IF(AND($A$26&gt;B57,$A$26&gt;$E$11),$A$26,$C$9),IF($C$11&gt;B57,$C$11,$C$9),IF($C$12&gt;B57,$C$12,$C$9),IF($E$11&gt;B57,$E$11,$C$9),IF($E$12&gt;B57,$E$12,$C$9),IF($C$13&gt;B57,$C$13,$C$9),IF($E$13&gt;B57,$E$13,$C$9))</f>
        <v>42461</v>
      </c>
      <c r="C58" s="128">
        <f t="shared" si="18"/>
        <v>26300</v>
      </c>
      <c r="D58" s="128">
        <f t="shared" si="19"/>
        <v>1</v>
      </c>
      <c r="E58" s="151">
        <f>IF(AND(Main!$AN$10=5,B58=$G$12),$F$12,IF(OR(B58=$C$11,B58=$E$11,$C$12=B58),VLOOKUP(B58,$B$30:$E$41,4),MAX(IF(Main!$AN$10=4,VLOOKUP(E57,$I$2:$K$7,D58),VLOOKUP(E57,$I$8:$L$92,D58)),F58)))</f>
        <v>26300</v>
      </c>
      <c r="F58" s="124">
        <f t="shared" si="20"/>
        <v>0</v>
      </c>
      <c r="G58" s="123"/>
      <c r="H58" s="123"/>
      <c r="I58" s="3">
        <f>IF(Main!$C$26="UGC",SUM(I57,CEILING(I57*3%,10)),W58)</f>
        <v>27000</v>
      </c>
      <c r="J58" s="3">
        <f t="shared" si="21"/>
        <v>27700</v>
      </c>
      <c r="K58" s="3">
        <f t="shared" si="21"/>
        <v>28450</v>
      </c>
      <c r="L58" s="3">
        <f t="shared" si="21"/>
        <v>29200</v>
      </c>
      <c r="O58" s="149">
        <f t="shared" si="15"/>
        <v>42461</v>
      </c>
      <c r="P58" s="130">
        <f>MIN(IF(AND(Main!AN13=4,$Q$12&gt;P57),$Q$12,IF(AND($O$16&gt;P57,$O$16&lt;MIN($Q$11,$S$11)),$O$16,$Q$9)),IF(AND($O$17&gt;P57,$O$17&lt;MIN($Q$11,$S$11)),$O$17,$Q$9),IF(AND($O$18&gt;P57,$O$18&lt;MIN($Q$11,$S$11)),$O$18,$Q$9),IF(AND($O$20&gt;P57,$O$20&gt;$Q$11),$O$20,$Q$9),IF(AND($O$21&gt;P57,$O$21&gt;$Q$11),$O$21,$Q$9),IF(AND($O$25&gt;P57,$O$25&gt;$S$11),$O$25,$Q$9),IF(AND($O$26&gt;P57,$O$26&gt;$S$11),$O$26,$Q$9),IF($Q$11&gt;P57,$Q$11,$Q$9),IF($Q$12&gt;P57,$Q$12,$Q$9),IF($S$11&gt;P57,$S$11,$Q$9),IF($S$12&gt;P57,$S$12,$Q$9),IF($Q$13&gt;P57,$Q$13,$Q$9),IF($S$13&gt;P57,$S$13,$Q$9))</f>
        <v>42461</v>
      </c>
      <c r="Q58" s="128">
        <f t="shared" si="16"/>
        <v>26300</v>
      </c>
      <c r="R58" s="128">
        <f t="shared" si="22"/>
        <v>1</v>
      </c>
      <c r="S58" s="151">
        <f>IF(AND(Main!$AN$10=5,P58=$U$12),$T$12,IF(OR(P58=$Q$11,P58=$S$11,$Q$12=P58),VLOOKUP(P58,$P$30:$S$41,4),MAX(IF(Main!$AN$10=4,VLOOKUP(S57,$W$2:$Y$7,R58),VLOOKUP(S57,$W$8:$Z$92,R58)),T58)))</f>
        <v>26300</v>
      </c>
      <c r="T58" s="124">
        <f t="shared" si="14"/>
        <v>0</v>
      </c>
      <c r="U58" s="123"/>
      <c r="V58" s="123"/>
      <c r="W58" s="3">
        <v>27000</v>
      </c>
      <c r="X58" s="3">
        <v>27700</v>
      </c>
      <c r="Y58" s="3">
        <v>28450</v>
      </c>
      <c r="Z58" s="3">
        <v>29200</v>
      </c>
      <c r="AM58" s="149"/>
      <c r="AN58" s="130"/>
      <c r="AO58" s="128"/>
      <c r="AP58" s="128"/>
      <c r="AQ58" s="151"/>
      <c r="AR58" s="124"/>
      <c r="AS58" s="123"/>
      <c r="AT58" s="123"/>
      <c r="AU58" s="3"/>
      <c r="AV58" s="3"/>
      <c r="AW58" s="3"/>
      <c r="AX58" s="3"/>
    </row>
    <row r="59" spans="1:50" ht="21.95" customHeight="1">
      <c r="A59" s="149">
        <f t="shared" si="17"/>
        <v>42461</v>
      </c>
      <c r="B59" s="130">
        <f>MIN(IF(AND(Main!AN14=4,$C$12&gt;B58),$C$12,IF(AND($A$16&gt;B58,$A$16&lt;MIN($C$11,$E$11)),$A$16,$C$9)),IF(AND($A$17&gt;B58,$A$17&lt;MIN($C$11,$E$11)),$A$17,$C$9),IF(AND($A$18&gt;B58,$A$18&lt;MIN($C$11,$E$11)),$A$18,$C$9),IF(AND($A$20&gt;B58,$A$20&gt;$C$11),$A$20,$C$9),IF(AND($A$21&gt;B58,$A$21&gt;$C$11),$A$21,$C$9),IF(AND($A$25&gt;B58,$A$25&gt;$E$11),$A$25,$C$9),IF(AND($A$26&gt;B58,$A$26&gt;$E$11),$A$26,$C$9),IF($C$11&gt;B58,$C$11,$C$9),IF($C$12&gt;B58,$C$12,$C$9),IF($E$11&gt;B58,$E$11,$C$9),IF($E$12&gt;B58,$E$12,$C$9),IF($C$13&gt;B58,$C$13,$C$9),IF($E$13&gt;B58,$E$13,$C$9))</f>
        <v>42461</v>
      </c>
      <c r="C59" s="128">
        <f t="shared" si="18"/>
        <v>26300</v>
      </c>
      <c r="D59" s="128">
        <f t="shared" si="19"/>
        <v>1</v>
      </c>
      <c r="E59" s="151">
        <f>IF(AND(Main!$AN$10=5,B59=$G$12),$F$12,IF(OR(B59=$C$11,B59=$E$11,$C$12=B59),VLOOKUP(B59,$B$30:$E$41,4),MAX(IF(Main!$AN$10=4,VLOOKUP(E58,$I$2:$K$7,D59),VLOOKUP(E58,$I$8:$L$92,D59)),F59)))</f>
        <v>26300</v>
      </c>
      <c r="F59" s="124">
        <f t="shared" si="20"/>
        <v>0</v>
      </c>
      <c r="G59" s="123"/>
      <c r="H59" s="123"/>
      <c r="I59" s="3">
        <f>IF(Main!$C$26="UGC",SUM(I58,CEILING(I58*3%,10)),W59)</f>
        <v>27700</v>
      </c>
      <c r="J59" s="3">
        <f t="shared" si="21"/>
        <v>28450</v>
      </c>
      <c r="K59" s="3">
        <f t="shared" si="21"/>
        <v>29200</v>
      </c>
      <c r="L59" s="3">
        <f t="shared" si="21"/>
        <v>29950</v>
      </c>
      <c r="O59" s="149">
        <f t="shared" si="15"/>
        <v>42461</v>
      </c>
      <c r="P59" s="130">
        <f>MIN(IF(AND(Main!AN14=4,$Q$12&gt;P58),$Q$12,IF(AND($O$16&gt;P58,$O$16&lt;MIN($Q$11,$S$11)),$O$16,$Q$9)),IF(AND($O$17&gt;P58,$O$17&lt;MIN($Q$11,$S$11)),$O$17,$Q$9),IF(AND($O$18&gt;P58,$O$18&lt;MIN($Q$11,$S$11)),$O$18,$Q$9),IF(AND($O$20&gt;P58,$O$20&gt;$Q$11),$O$20,$Q$9),IF(AND($O$21&gt;P58,$O$21&gt;$Q$11),$O$21,$Q$9),IF(AND($O$25&gt;P58,$O$25&gt;$S$11),$O$25,$Q$9),IF(AND($O$26&gt;P58,$O$26&gt;$S$11),$O$26,$Q$9),IF($Q$11&gt;P58,$Q$11,$Q$9),IF($Q$12&gt;P58,$Q$12,$Q$9),IF($S$11&gt;P58,$S$11,$Q$9),IF($S$12&gt;P58,$S$12,$Q$9),IF($Q$13&gt;P58,$Q$13,$Q$9),IF($S$13&gt;P58,$S$13,$Q$9))</f>
        <v>42461</v>
      </c>
      <c r="Q59" s="128">
        <f t="shared" si="16"/>
        <v>26300</v>
      </c>
      <c r="R59" s="128">
        <f t="shared" si="22"/>
        <v>1</v>
      </c>
      <c r="S59" s="151">
        <f>IF(AND(Main!$AN$10=5,P59=$U$12),$T$12,IF(OR(P59=$Q$11,P59=$S$11,$Q$12=P59),VLOOKUP(P59,$P$30:$S$41,4),MAX(IF(Main!$AN$10=4,VLOOKUP(S58,$W$2:$Y$7,R59),VLOOKUP(S58,$W$8:$Z$92,R59)),T59)))</f>
        <v>26300</v>
      </c>
      <c r="T59" s="124">
        <f t="shared" si="14"/>
        <v>0</v>
      </c>
      <c r="U59" s="123"/>
      <c r="V59" s="123"/>
      <c r="W59" s="3">
        <v>27700</v>
      </c>
      <c r="X59" s="3">
        <v>28450</v>
      </c>
      <c r="Y59" s="3">
        <v>29200</v>
      </c>
      <c r="Z59" s="3">
        <v>29950</v>
      </c>
      <c r="AM59" s="149"/>
      <c r="AN59" s="130"/>
      <c r="AO59" s="128"/>
      <c r="AP59" s="128"/>
      <c r="AQ59" s="151"/>
      <c r="AR59" s="124"/>
      <c r="AS59" s="123"/>
      <c r="AT59" s="123"/>
      <c r="AU59" s="3"/>
      <c r="AV59" s="3"/>
      <c r="AW59" s="3"/>
      <c r="AX59" s="3"/>
    </row>
    <row r="60" spans="1:50" ht="21.95" customHeight="1">
      <c r="A60" s="149">
        <f t="shared" si="17"/>
        <v>42461</v>
      </c>
      <c r="B60" s="130">
        <f>MIN(IF(AND(Main!AN15=4,$C$12&gt;B59),$C$12,IF(AND($A$16&gt;B59,$A$16&lt;MIN($C$11,$E$11)),$A$16,$C$9)),IF(AND($A$17&gt;B59,$A$17&lt;MIN($C$11,$E$11)),$A$17,$C$9),IF(AND($A$18&gt;B59,$A$18&lt;MIN($C$11,$E$11)),$A$18,$C$9),IF(AND($A$20&gt;B59,$A$20&gt;$C$11),$A$20,$C$9),IF(AND($A$21&gt;B59,$A$21&gt;$C$11),$A$21,$C$9),IF(AND($A$25&gt;B59,$A$25&gt;$E$11),$A$25,$C$9),IF(AND($A$26&gt;B59,$A$26&gt;$E$11),$A$26,$C$9),IF($C$11&gt;B59,$C$11,$C$9),IF($C$12&gt;B59,$C$12,$C$9),IF($E$11&gt;B59,$E$11,$C$9),IF($E$12&gt;B59,$E$12,$C$9),IF($C$13&gt;B59,$C$13,$C$9),IF($E$13&gt;B59,$E$13,$C$9))</f>
        <v>42461</v>
      </c>
      <c r="C60" s="128">
        <f t="shared" si="18"/>
        <v>26300</v>
      </c>
      <c r="D60" s="128">
        <f t="shared" si="19"/>
        <v>1</v>
      </c>
      <c r="E60" s="151">
        <f>IF(AND(Main!$AN$10=5,B60=$G$12),$F$12,IF(OR(B60=$C$11,B60=$E$11,$C$12=B60),VLOOKUP(B60,$B$30:$E$41,4),MAX(IF(Main!$AN$10=4,VLOOKUP(E59,$I$2:$K$7,D60),VLOOKUP(E59,$I$8:$L$92,D60)),F60)))</f>
        <v>26300</v>
      </c>
      <c r="F60" s="124">
        <f t="shared" si="20"/>
        <v>0</v>
      </c>
      <c r="G60" s="123"/>
      <c r="H60" s="123"/>
      <c r="I60" s="3">
        <f>IF(Main!$C$26="UGC",SUM(I59,CEILING(I59*3%,10)),W60)</f>
        <v>28450</v>
      </c>
      <c r="J60" s="3">
        <f t="shared" si="21"/>
        <v>29200</v>
      </c>
      <c r="K60" s="3">
        <f t="shared" si="21"/>
        <v>29950</v>
      </c>
      <c r="L60" s="3">
        <f t="shared" si="21"/>
        <v>30750</v>
      </c>
      <c r="O60" s="149">
        <f t="shared" si="15"/>
        <v>42461</v>
      </c>
      <c r="P60" s="130">
        <f>MIN(IF(AND(Main!AN15=4,$Q$12&gt;P59),$Q$12,IF(AND($O$16&gt;P59,$O$16&lt;MIN($Q$11,$S$11)),$O$16,$Q$9)),IF(AND($O$17&gt;P59,$O$17&lt;MIN($Q$11,$S$11)),$O$17,$Q$9),IF(AND($O$18&gt;P59,$O$18&lt;MIN($Q$11,$S$11)),$O$18,$Q$9),IF(AND($O$20&gt;P59,$O$20&gt;$Q$11),$O$20,$Q$9),IF(AND($O$21&gt;P59,$O$21&gt;$Q$11),$O$21,$Q$9),IF(AND($O$25&gt;P59,$O$25&gt;$S$11),$O$25,$Q$9),IF(AND($O$26&gt;P59,$O$26&gt;$S$11),$O$26,$Q$9),IF($Q$11&gt;P59,$Q$11,$Q$9),IF($Q$12&gt;P59,$Q$12,$Q$9),IF($S$11&gt;P59,$S$11,$Q$9),IF($S$12&gt;P59,$S$12,$Q$9),IF($Q$13&gt;P59,$Q$13,$Q$9),IF($S$13&gt;P59,$S$13,$Q$9))</f>
        <v>42461</v>
      </c>
      <c r="Q60" s="128">
        <f t="shared" si="16"/>
        <v>26300</v>
      </c>
      <c r="R60" s="128">
        <f t="shared" si="22"/>
        <v>1</v>
      </c>
      <c r="S60" s="151">
        <f>IF(AND(Main!$AN$10=5,P60=$U$12),$T$12,IF(OR(P60=$Q$11,P60=$S$11,$Q$12=P60),VLOOKUP(P60,$P$30:$S$41,4),MAX(IF(Main!$AN$10=4,VLOOKUP(S59,$W$2:$Y$7,R60),VLOOKUP(S59,$W$8:$Z$92,R60)),T60)))</f>
        <v>26300</v>
      </c>
      <c r="T60" s="124">
        <f t="shared" si="14"/>
        <v>0</v>
      </c>
      <c r="U60" s="123"/>
      <c r="V60" s="123"/>
      <c r="W60" s="3">
        <v>28450</v>
      </c>
      <c r="X60" s="3">
        <v>29200</v>
      </c>
      <c r="Y60" s="3">
        <v>29950</v>
      </c>
      <c r="Z60" s="3">
        <v>30750</v>
      </c>
      <c r="AM60" s="149"/>
      <c r="AN60" s="130"/>
      <c r="AO60" s="128"/>
      <c r="AP60" s="128"/>
      <c r="AQ60" s="151"/>
      <c r="AR60" s="124"/>
      <c r="AS60" s="123"/>
      <c r="AT60" s="123"/>
      <c r="AU60" s="3"/>
      <c r="AV60" s="3"/>
      <c r="AW60" s="3"/>
      <c r="AX60" s="3"/>
    </row>
    <row r="61" spans="1:50" ht="21.95" customHeight="1">
      <c r="A61" s="149">
        <f t="shared" si="17"/>
        <v>42461</v>
      </c>
      <c r="B61" s="130">
        <f>MIN(IF(AND(Main!AN16=4,$C$12&gt;B60),$C$12,IF(AND($A$16&gt;B60,$A$16&lt;MIN($C$11,$E$11)),$A$16,$C$9)),IF(AND($A$17&gt;B60,$A$17&lt;MIN($C$11,$E$11)),$A$17,$C$9),IF(AND($A$18&gt;B60,$A$18&lt;MIN($C$11,$E$11)),$A$18,$C$9),IF(AND($A$20&gt;B60,$A$20&gt;$C$11),$A$20,$C$9),IF(AND($A$21&gt;B60,$A$21&gt;$C$11),$A$21,$C$9),IF(AND($A$25&gt;B60,$A$25&gt;$E$11),$A$25,$C$9),IF(AND($A$26&gt;B60,$A$26&gt;$E$11),$A$26,$C$9),IF($C$11&gt;B60,$C$11,$C$9),IF($C$12&gt;B60,$C$12,$C$9),IF($E$11&gt;B60,$E$11,$C$9),IF($E$12&gt;B60,$E$12,$C$9),IF($C$13&gt;B60,$C$13,$C$9),IF($E$13&gt;B60,$E$13,$C$9))</f>
        <v>42461</v>
      </c>
      <c r="C61" s="128">
        <f t="shared" si="18"/>
        <v>26300</v>
      </c>
      <c r="D61" s="128">
        <f t="shared" si="19"/>
        <v>1</v>
      </c>
      <c r="E61" s="151">
        <f>IF(AND(Main!$AN$10=5,B61=$G$12),$F$12,IF(OR(B61=$C$11,B61=$E$11,$C$12=B61),VLOOKUP(B61,$B$30:$E$41,4),MAX(IF(Main!$AN$10=4,VLOOKUP(E60,$I$2:$K$7,D61),VLOOKUP(E60,$I$8:$L$92,D61)),F61)))</f>
        <v>26300</v>
      </c>
      <c r="F61" s="124">
        <f t="shared" si="20"/>
        <v>0</v>
      </c>
      <c r="G61" s="123"/>
      <c r="H61" s="123"/>
      <c r="I61" s="3">
        <f>IF(Main!$C$26="UGC",SUM(I60,CEILING(I60*3%,10)),W61)</f>
        <v>29200</v>
      </c>
      <c r="J61" s="3">
        <f t="shared" si="21"/>
        <v>29950</v>
      </c>
      <c r="K61" s="3">
        <f t="shared" si="21"/>
        <v>30750</v>
      </c>
      <c r="L61" s="3">
        <f t="shared" si="21"/>
        <v>31550</v>
      </c>
      <c r="O61" s="149">
        <f t="shared" si="15"/>
        <v>42461</v>
      </c>
      <c r="P61" s="130">
        <f>MIN(IF(AND(Main!AN16=4,$Q$12&gt;P60),$Q$12,IF(AND($O$16&gt;P60,$O$16&lt;MIN($Q$11,$S$11)),$O$16,$Q$9)),IF(AND($O$17&gt;P60,$O$17&lt;MIN($Q$11,$S$11)),$O$17,$Q$9),IF(AND($O$18&gt;P60,$O$18&lt;MIN($Q$11,$S$11)),$O$18,$Q$9),IF(AND($O$20&gt;P60,$O$20&gt;$Q$11),$O$20,$Q$9),IF(AND($O$21&gt;P60,$O$21&gt;$Q$11),$O$21,$Q$9),IF(AND($O$25&gt;P60,$O$25&gt;$S$11),$O$25,$Q$9),IF(AND($O$26&gt;P60,$O$26&gt;$S$11),$O$26,$Q$9),IF($Q$11&gt;P60,$Q$11,$Q$9),IF($Q$12&gt;P60,$Q$12,$Q$9),IF($S$11&gt;P60,$S$11,$Q$9),IF($S$12&gt;P60,$S$12,$Q$9),IF($Q$13&gt;P60,$Q$13,$Q$9),IF($S$13&gt;P60,$S$13,$Q$9))</f>
        <v>42461</v>
      </c>
      <c r="Q61" s="128">
        <f t="shared" si="16"/>
        <v>26300</v>
      </c>
      <c r="R61" s="128">
        <f t="shared" si="22"/>
        <v>1</v>
      </c>
      <c r="S61" s="151">
        <f>IF(AND(Main!$AN$10=5,P61=$U$12),$T$12,IF(OR(P61=$Q$11,P61=$S$11,$Q$12=P61),VLOOKUP(P61,$P$30:$S$41,4),MAX(IF(Main!$AN$10=4,VLOOKUP(S60,$W$2:$Y$7,R61),VLOOKUP(S60,$W$8:$Z$92,R61)),T61)))</f>
        <v>26300</v>
      </c>
      <c r="T61" s="124">
        <f t="shared" si="14"/>
        <v>0</v>
      </c>
      <c r="U61" s="123"/>
      <c r="V61" s="123"/>
      <c r="W61" s="3">
        <v>29200</v>
      </c>
      <c r="X61" s="3">
        <v>29950</v>
      </c>
      <c r="Y61" s="3">
        <v>30750</v>
      </c>
      <c r="Z61" s="3">
        <v>31550</v>
      </c>
      <c r="AM61" s="149"/>
      <c r="AN61" s="130"/>
      <c r="AO61" s="128"/>
      <c r="AP61" s="128"/>
      <c r="AQ61" s="151"/>
      <c r="AR61" s="124"/>
      <c r="AS61" s="123"/>
      <c r="AT61" s="123"/>
      <c r="AU61" s="3"/>
      <c r="AV61" s="3"/>
      <c r="AW61" s="3"/>
      <c r="AX61" s="3"/>
    </row>
    <row r="62" spans="1:50" ht="21.95" customHeight="1">
      <c r="A62" s="149">
        <f t="shared" si="17"/>
        <v>42461</v>
      </c>
      <c r="B62" s="130">
        <f>MIN(IF(AND(Main!AN17=4,$C$12&gt;B61),$C$12,IF(AND($A$16&gt;B61,$A$16&lt;MIN($C$11,$E$11)),$A$16,$C$9)),IF(AND($A$17&gt;B61,$A$17&lt;MIN($C$11,$E$11)),$A$17,$C$9),IF(AND($A$18&gt;B61,$A$18&lt;MIN($C$11,$E$11)),$A$18,$C$9),IF(AND($A$20&gt;B61,$A$20&gt;$C$11),$A$20,$C$9),IF(AND($A$21&gt;B61,$A$21&gt;$C$11),$A$21,$C$9),IF(AND($A$25&gt;B61,$A$25&gt;$E$11),$A$25,$C$9),IF(AND($A$26&gt;B61,$A$26&gt;$E$11),$A$26,$C$9),IF($C$11&gt;B61,$C$11,$C$9),IF($C$12&gt;B61,$C$12,$C$9),IF($E$11&gt;B61,$E$11,$C$9),IF($E$12&gt;B61,$E$12,$C$9),IF($C$13&gt;B61,$C$13,$C$9),IF($E$13&gt;B61,$E$13,$C$9))</f>
        <v>42461</v>
      </c>
      <c r="C62" s="128">
        <f t="shared" si="18"/>
        <v>26300</v>
      </c>
      <c r="D62" s="128">
        <f t="shared" si="19"/>
        <v>1</v>
      </c>
      <c r="E62" s="151">
        <f>IF(AND(Main!$AN$10=5,B62=$G$12),$F$12,IF(OR(B62=$C$11,B62=$E$11,$C$12=B62),VLOOKUP(B62,$B$30:$E$41,4),MAX(IF(Main!$AN$10=4,VLOOKUP(E61,$I$2:$K$7,D62),VLOOKUP(E61,$I$8:$L$92,D62)),F62)))</f>
        <v>26300</v>
      </c>
      <c r="F62" s="124">
        <f t="shared" si="20"/>
        <v>0</v>
      </c>
      <c r="G62" s="123"/>
      <c r="H62" s="123"/>
      <c r="I62" s="3">
        <f>IF(Main!$C$26="UGC",SUM(I61,CEILING(I61*3%,10)),W62)</f>
        <v>29950</v>
      </c>
      <c r="J62" s="3">
        <f t="shared" si="21"/>
        <v>30750</v>
      </c>
      <c r="K62" s="3">
        <f t="shared" si="21"/>
        <v>31550</v>
      </c>
      <c r="L62" s="3">
        <f t="shared" si="21"/>
        <v>32350</v>
      </c>
      <c r="O62" s="149">
        <f t="shared" si="15"/>
        <v>42461</v>
      </c>
      <c r="P62" s="130">
        <f>MIN(IF(AND(Main!AN17=4,$Q$12&gt;P61),$Q$12,IF(AND($O$16&gt;P61,$O$16&lt;MIN($Q$11,$S$11)),$O$16,$Q$9)),IF(AND($O$17&gt;P61,$O$17&lt;MIN($Q$11,$S$11)),$O$17,$Q$9),IF(AND($O$18&gt;P61,$O$18&lt;MIN($Q$11,$S$11)),$O$18,$Q$9),IF(AND($O$20&gt;P61,$O$20&gt;$Q$11),$O$20,$Q$9),IF(AND($O$21&gt;P61,$O$21&gt;$Q$11),$O$21,$Q$9),IF(AND($O$25&gt;P61,$O$25&gt;$S$11),$O$25,$Q$9),IF(AND($O$26&gt;P61,$O$26&gt;$S$11),$O$26,$Q$9),IF($Q$11&gt;P61,$Q$11,$Q$9),IF($Q$12&gt;P61,$Q$12,$Q$9),IF($S$11&gt;P61,$S$11,$Q$9),IF($S$12&gt;P61,$S$12,$Q$9),IF($Q$13&gt;P61,$Q$13,$Q$9),IF($S$13&gt;P61,$S$13,$Q$9))</f>
        <v>42461</v>
      </c>
      <c r="Q62" s="128">
        <f t="shared" si="16"/>
        <v>26300</v>
      </c>
      <c r="R62" s="128">
        <f t="shared" si="22"/>
        <v>1</v>
      </c>
      <c r="S62" s="151">
        <f>IF(AND(Main!$AN$10=5,P62=$U$12),$T$12,IF(OR(P62=$Q$11,P62=$S$11,$Q$12=P62),VLOOKUP(P62,$P$30:$S$41,4),MAX(IF(Main!$AN$10=4,VLOOKUP(S61,$W$2:$Y$7,R62),VLOOKUP(S61,$W$8:$Z$92,R62)),T62)))</f>
        <v>26300</v>
      </c>
      <c r="T62" s="124">
        <f t="shared" si="14"/>
        <v>0</v>
      </c>
      <c r="U62" s="123"/>
      <c r="V62" s="123"/>
      <c r="W62" s="3">
        <v>29950</v>
      </c>
      <c r="X62" s="3">
        <v>30750</v>
      </c>
      <c r="Y62" s="3">
        <v>31550</v>
      </c>
      <c r="Z62" s="3">
        <v>32350</v>
      </c>
      <c r="AM62" s="149"/>
      <c r="AN62" s="130"/>
      <c r="AO62" s="128"/>
      <c r="AP62" s="128"/>
      <c r="AQ62" s="151"/>
      <c r="AR62" s="124"/>
      <c r="AS62" s="123"/>
      <c r="AT62" s="123"/>
      <c r="AU62" s="3"/>
      <c r="AV62" s="3"/>
      <c r="AW62" s="3"/>
      <c r="AX62" s="3"/>
    </row>
    <row r="63" spans="1:50" ht="21.95" customHeight="1">
      <c r="A63" s="149">
        <f t="shared" si="17"/>
        <v>42461</v>
      </c>
      <c r="B63" s="130">
        <f>MIN(IF(AND(Main!AN18=4,$C$12&gt;B62),$C$12,IF(AND($A$16&gt;B62,$A$16&lt;MIN($C$11,$E$11)),$A$16,$C$9)),IF(AND($A$17&gt;B62,$A$17&lt;MIN($C$11,$E$11)),$A$17,$C$9),IF(AND($A$18&gt;B62,$A$18&lt;MIN($C$11,$E$11)),$A$18,$C$9),IF(AND($A$20&gt;B62,$A$20&gt;$C$11),$A$20,$C$9),IF(AND($A$21&gt;B62,$A$21&gt;$C$11),$A$21,$C$9),IF(AND($A$25&gt;B62,$A$25&gt;$E$11),$A$25,$C$9),IF(AND($A$26&gt;B62,$A$26&gt;$E$11),$A$26,$C$9),IF($C$11&gt;B62,$C$11,$C$9),IF($C$12&gt;B62,$C$12,$C$9),IF($E$11&gt;B62,$E$11,$C$9),IF($E$12&gt;B62,$E$12,$C$9),IF($C$13&gt;B62,$C$13,$C$9),IF($E$13&gt;B62,$E$13,$C$9))</f>
        <v>42461</v>
      </c>
      <c r="C63" s="128">
        <f t="shared" si="18"/>
        <v>26300</v>
      </c>
      <c r="D63" s="128">
        <f t="shared" si="19"/>
        <v>1</v>
      </c>
      <c r="E63" s="151">
        <f>IF(AND(Main!$AN$10=5,B63=$G$12),$F$12,IF(OR(B63=$C$11,B63=$E$11,$C$12=B63),VLOOKUP(B63,$B$30:$E$41,4),MAX(IF(Main!$AN$10=4,VLOOKUP(E62,$I$2:$K$7,D63),VLOOKUP(E62,$I$8:$L$92,D63)),F63)))</f>
        <v>26300</v>
      </c>
      <c r="F63" s="124">
        <f t="shared" si="20"/>
        <v>0</v>
      </c>
      <c r="G63" s="123"/>
      <c r="H63" s="123"/>
      <c r="I63" s="3">
        <f>IF(Main!$C$26="UGC",SUM(I62,CEILING(I62*3%,10)),W63)</f>
        <v>30750</v>
      </c>
      <c r="J63" s="3">
        <f t="shared" si="21"/>
        <v>31550</v>
      </c>
      <c r="K63" s="3">
        <f t="shared" si="21"/>
        <v>32350</v>
      </c>
      <c r="L63" s="3">
        <f t="shared" si="21"/>
        <v>33200</v>
      </c>
      <c r="O63" s="149">
        <f t="shared" si="15"/>
        <v>42461</v>
      </c>
      <c r="P63" s="130">
        <f>MIN(IF(AND(Main!AN18=4,$Q$12&gt;P62),$Q$12,IF(AND($O$16&gt;P62,$O$16&lt;MIN($Q$11,$S$11)),$O$16,$Q$9)),IF(AND($O$17&gt;P62,$O$17&lt;MIN($Q$11,$S$11)),$O$17,$Q$9),IF(AND($O$18&gt;P62,$O$18&lt;MIN($Q$11,$S$11)),$O$18,$Q$9),IF(AND($O$20&gt;P62,$O$20&gt;$Q$11),$O$20,$Q$9),IF(AND($O$21&gt;P62,$O$21&gt;$Q$11),$O$21,$Q$9),IF(AND($O$25&gt;P62,$O$25&gt;$S$11),$O$25,$Q$9),IF(AND($O$26&gt;P62,$O$26&gt;$S$11),$O$26,$Q$9),IF($Q$11&gt;P62,$Q$11,$Q$9),IF($Q$12&gt;P62,$Q$12,$Q$9),IF($S$11&gt;P62,$S$11,$Q$9),IF($S$12&gt;P62,$S$12,$Q$9),IF($Q$13&gt;P62,$Q$13,$Q$9),IF($S$13&gt;P62,$S$13,$Q$9))</f>
        <v>42461</v>
      </c>
      <c r="Q63" s="128">
        <f t="shared" si="16"/>
        <v>26300</v>
      </c>
      <c r="R63" s="128">
        <f t="shared" si="22"/>
        <v>1</v>
      </c>
      <c r="S63" s="151">
        <f>IF(AND(Main!$AN$10=5,P63=$U$12),$T$12,IF(OR(P63=$Q$11,P63=$S$11,$Q$12=P63),VLOOKUP(P63,$P$30:$S$41,4),MAX(IF(Main!$AN$10=4,VLOOKUP(S62,$W$2:$Y$7,R63),VLOOKUP(S62,$W$8:$Z$92,R63)),T63)))</f>
        <v>26300</v>
      </c>
      <c r="T63" s="124">
        <f t="shared" si="14"/>
        <v>0</v>
      </c>
      <c r="U63" s="123"/>
      <c r="V63" s="123"/>
      <c r="W63" s="3">
        <v>30750</v>
      </c>
      <c r="X63" s="3">
        <v>31550</v>
      </c>
      <c r="Y63" s="3">
        <v>32350</v>
      </c>
      <c r="Z63" s="3">
        <v>33200</v>
      </c>
      <c r="AM63" s="149"/>
      <c r="AN63" s="130"/>
      <c r="AO63" s="128"/>
      <c r="AP63" s="128"/>
      <c r="AQ63" s="151"/>
      <c r="AR63" s="124"/>
      <c r="AS63" s="123"/>
      <c r="AT63" s="123"/>
      <c r="AU63" s="3"/>
      <c r="AV63" s="3"/>
      <c r="AW63" s="3"/>
      <c r="AX63" s="3"/>
    </row>
    <row r="64" spans="1:50" ht="21.95" customHeight="1">
      <c r="A64" s="149">
        <f t="shared" si="17"/>
        <v>42461</v>
      </c>
      <c r="B64" s="130">
        <f>MIN(IF(AND(Main!AN19=4,$C$12&gt;B63),$C$12,IF(AND($A$16&gt;B63,$A$16&lt;MIN($C$11,$E$11)),$A$16,$C$9)),IF(AND($A$17&gt;B63,$A$17&lt;MIN($C$11,$E$11)),$A$17,$C$9),IF(AND($A$18&gt;B63,$A$18&lt;MIN($C$11,$E$11)),$A$18,$C$9),IF(AND($A$20&gt;B63,$A$20&gt;$C$11),$A$20,$C$9),IF(AND($A$21&gt;B63,$A$21&gt;$C$11),$A$21,$C$9),IF(AND($A$25&gt;B63,$A$25&gt;$E$11),$A$25,$C$9),IF(AND($A$26&gt;B63,$A$26&gt;$E$11),$A$26,$C$9),IF($C$11&gt;B63,$C$11,$C$9),IF($C$12&gt;B63,$C$12,$C$9),IF($E$11&gt;B63,$E$11,$C$9),IF($E$12&gt;B63,$E$12,$C$9),IF($C$13&gt;B63,$C$13,$C$9),IF($E$13&gt;B63,$E$13,$C$9))</f>
        <v>42461</v>
      </c>
      <c r="C64" s="128">
        <f t="shared" si="18"/>
        <v>26300</v>
      </c>
      <c r="D64" s="128">
        <f t="shared" si="19"/>
        <v>1</v>
      </c>
      <c r="E64" s="151">
        <f>IF(AND(Main!$AN$10=5,B64=$G$12),$F$12,IF(OR(B64=$C$11,B64=$E$11,$C$12=B64),VLOOKUP(B64,$B$30:$E$41,4),MAX(IF(Main!$AN$10=4,VLOOKUP(E63,$I$2:$K$7,D64),VLOOKUP(E63,$I$8:$L$92,D64)),F64)))</f>
        <v>26300</v>
      </c>
      <c r="F64" s="124">
        <f t="shared" si="20"/>
        <v>0</v>
      </c>
      <c r="G64" s="123"/>
      <c r="H64" s="123"/>
      <c r="I64" s="3">
        <f>IF(Main!$C$26="UGC",SUM(I63,CEILING(I63*3%,10)),W64)</f>
        <v>31550</v>
      </c>
      <c r="J64" s="3">
        <f t="shared" si="21"/>
        <v>32350</v>
      </c>
      <c r="K64" s="3">
        <f t="shared" si="21"/>
        <v>33200</v>
      </c>
      <c r="L64" s="3">
        <f t="shared" si="21"/>
        <v>34050</v>
      </c>
      <c r="O64" s="149">
        <f t="shared" si="15"/>
        <v>42461</v>
      </c>
      <c r="P64" s="130">
        <f>MIN(IF(AND(Main!AN19=4,$Q$12&gt;P63),$Q$12,IF(AND($O$16&gt;P63,$O$16&lt;MIN($Q$11,$S$11)),$O$16,$Q$9)),IF(AND($O$17&gt;P63,$O$17&lt;MIN($Q$11,$S$11)),$O$17,$Q$9),IF(AND($O$18&gt;P63,$O$18&lt;MIN($Q$11,$S$11)),$O$18,$Q$9),IF(AND($O$20&gt;P63,$O$20&gt;$Q$11),$O$20,$Q$9),IF(AND($O$21&gt;P63,$O$21&gt;$Q$11),$O$21,$Q$9),IF(AND($O$25&gt;P63,$O$25&gt;$S$11),$O$25,$Q$9),IF(AND($O$26&gt;P63,$O$26&gt;$S$11),$O$26,$Q$9),IF($Q$11&gt;P63,$Q$11,$Q$9),IF($Q$12&gt;P63,$Q$12,$Q$9),IF($S$11&gt;P63,$S$11,$Q$9),IF($S$12&gt;P63,$S$12,$Q$9),IF($Q$13&gt;P63,$Q$13,$Q$9),IF($S$13&gt;P63,$S$13,$Q$9))</f>
        <v>42461</v>
      </c>
      <c r="Q64" s="128">
        <f t="shared" si="16"/>
        <v>26300</v>
      </c>
      <c r="R64" s="128">
        <f t="shared" si="22"/>
        <v>1</v>
      </c>
      <c r="S64" s="151">
        <f>IF(AND(Main!$AN$10=5,P64=$U$12),$T$12,IF(OR(P64=$Q$11,P64=$S$11,$Q$12=P64),VLOOKUP(P64,$P$30:$S$41,4),MAX(IF(Main!$AN$10=4,VLOOKUP(S63,$W$2:$Y$7,R64),VLOOKUP(S63,$W$8:$Z$92,R64)),T64)))</f>
        <v>26300</v>
      </c>
      <c r="T64" s="124">
        <f t="shared" si="14"/>
        <v>0</v>
      </c>
      <c r="U64" s="123"/>
      <c r="V64" s="123"/>
      <c r="W64" s="3">
        <v>31550</v>
      </c>
      <c r="X64" s="3">
        <v>32350</v>
      </c>
      <c r="Y64" s="3">
        <v>33200</v>
      </c>
      <c r="Z64" s="3">
        <v>34050</v>
      </c>
      <c r="AM64" s="149"/>
      <c r="AN64" s="130"/>
      <c r="AO64" s="128"/>
      <c r="AP64" s="128"/>
      <c r="AQ64" s="151"/>
      <c r="AR64" s="124"/>
      <c r="AS64" s="123"/>
      <c r="AT64" s="123"/>
      <c r="AU64" s="3"/>
      <c r="AV64" s="3"/>
      <c r="AW64" s="3"/>
      <c r="AX64" s="3"/>
    </row>
    <row r="65" spans="1:50" ht="21.95" customHeight="1">
      <c r="A65" s="149">
        <f t="shared" si="17"/>
        <v>42461</v>
      </c>
      <c r="B65" s="130">
        <f>MIN(IF(AND(Main!AN20=4,$C$12&gt;B64),$C$12,IF(AND($A$16&gt;B64,$A$16&lt;MIN($C$11,$E$11)),$A$16,$C$9)),IF(AND($A$17&gt;B64,$A$17&lt;MIN($C$11,$E$11)),$A$17,$C$9),IF(AND($A$18&gt;B64,$A$18&lt;MIN($C$11,$E$11)),$A$18,$C$9),IF(AND($A$20&gt;B64,$A$20&gt;$C$11),$A$20,$C$9),IF(AND($A$21&gt;B64,$A$21&gt;$C$11),$A$21,$C$9),IF(AND($A$25&gt;B64,$A$25&gt;$E$11),$A$25,$C$9),IF(AND($A$26&gt;B64,$A$26&gt;$E$11),$A$26,$C$9),IF($C$11&gt;B64,$C$11,$C$9),IF($C$12&gt;B64,$C$12,$C$9),IF($E$11&gt;B64,$E$11,$C$9),IF($E$12&gt;B64,$E$12,$C$9),IF($C$13&gt;B64,$C$13,$C$9),IF($E$13&gt;B64,$E$13,$C$9))</f>
        <v>42461</v>
      </c>
      <c r="C65" s="128">
        <f t="shared" si="18"/>
        <v>26300</v>
      </c>
      <c r="D65" s="128">
        <f t="shared" si="19"/>
        <v>1</v>
      </c>
      <c r="E65" s="151">
        <f>IF(AND(Main!$AN$10=5,B65=$G$12),$F$12,IF(OR(B65=$C$11,B65=$E$11,$C$12=B65),VLOOKUP(B65,$B$30:$E$41,4),MAX(IF(Main!$AN$10=4,VLOOKUP(E64,$I$2:$K$7,D65),VLOOKUP(E64,$I$8:$L$92,D65)),F65)))</f>
        <v>26300</v>
      </c>
      <c r="F65" s="124">
        <f t="shared" si="20"/>
        <v>0</v>
      </c>
      <c r="G65" s="123"/>
      <c r="H65" s="123"/>
      <c r="I65" s="3">
        <f>IF(Main!$C$26="UGC",SUM(I64,CEILING(I64*3%,10)),W65)</f>
        <v>32350</v>
      </c>
      <c r="J65" s="3">
        <f t="shared" si="21"/>
        <v>33200</v>
      </c>
      <c r="K65" s="3">
        <f t="shared" si="21"/>
        <v>34050</v>
      </c>
      <c r="L65" s="3">
        <f t="shared" si="21"/>
        <v>34900</v>
      </c>
      <c r="O65" s="149">
        <f t="shared" si="15"/>
        <v>42461</v>
      </c>
      <c r="P65" s="130">
        <f>MIN(IF(AND(Main!AN20=4,$Q$12&gt;P64),$Q$12,IF(AND($O$16&gt;P64,$O$16&lt;MIN($Q$11,$S$11)),$O$16,$Q$9)),IF(AND($O$17&gt;P64,$O$17&lt;MIN($Q$11,$S$11)),$O$17,$Q$9),IF(AND($O$18&gt;P64,$O$18&lt;MIN($Q$11,$S$11)),$O$18,$Q$9),IF(AND($O$20&gt;P64,$O$20&gt;$Q$11),$O$20,$Q$9),IF(AND($O$21&gt;P64,$O$21&gt;$Q$11),$O$21,$Q$9),IF(AND($O$25&gt;P64,$O$25&gt;$S$11),$O$25,$Q$9),IF(AND($O$26&gt;P64,$O$26&gt;$S$11),$O$26,$Q$9),IF($Q$11&gt;P64,$Q$11,$Q$9),IF($Q$12&gt;P64,$Q$12,$Q$9),IF($S$11&gt;P64,$S$11,$Q$9),IF($S$12&gt;P64,$S$12,$Q$9),IF($Q$13&gt;P64,$Q$13,$Q$9),IF($S$13&gt;P64,$S$13,$Q$9))</f>
        <v>42461</v>
      </c>
      <c r="Q65" s="128">
        <f t="shared" si="16"/>
        <v>26300</v>
      </c>
      <c r="R65" s="128">
        <f t="shared" si="22"/>
        <v>1</v>
      </c>
      <c r="S65" s="151">
        <f>IF(AND(Main!$AN$10=5,P65=$U$12),$T$12,IF(OR(P65=$Q$11,P65=$S$11,$Q$12=P65),VLOOKUP(P65,$P$30:$S$41,4),MAX(IF(Main!$AN$10=4,VLOOKUP(S64,$W$2:$Y$7,R65),VLOOKUP(S64,$W$8:$Z$92,R65)),T65)))</f>
        <v>26300</v>
      </c>
      <c r="T65" s="124">
        <f t="shared" si="14"/>
        <v>0</v>
      </c>
      <c r="U65" s="123"/>
      <c r="V65" s="123"/>
      <c r="W65" s="3">
        <v>32350</v>
      </c>
      <c r="X65" s="3">
        <v>33200</v>
      </c>
      <c r="Y65" s="3">
        <v>34050</v>
      </c>
      <c r="Z65" s="3">
        <v>34900</v>
      </c>
      <c r="AM65" s="149"/>
      <c r="AN65" s="130"/>
      <c r="AO65" s="128"/>
      <c r="AP65" s="128"/>
      <c r="AQ65" s="151"/>
      <c r="AR65" s="124"/>
      <c r="AS65" s="123"/>
      <c r="AT65" s="123"/>
      <c r="AU65" s="3"/>
      <c r="AV65" s="3"/>
      <c r="AW65" s="3"/>
      <c r="AX65" s="3"/>
    </row>
    <row r="66" spans="1:50" ht="21.95" customHeight="1">
      <c r="A66" s="123"/>
      <c r="B66" s="130"/>
      <c r="C66" s="128"/>
      <c r="D66" s="128"/>
      <c r="E66" s="185"/>
      <c r="F66" s="124"/>
      <c r="G66" s="123"/>
      <c r="H66" s="123"/>
      <c r="I66" s="3">
        <f>IF(Main!$C$26="UGC",SUM(I65,CEILING(I65*3%,10)),W66)</f>
        <v>33200</v>
      </c>
      <c r="J66" s="3">
        <f t="shared" si="21"/>
        <v>34050</v>
      </c>
      <c r="K66" s="3">
        <f t="shared" si="21"/>
        <v>34900</v>
      </c>
      <c r="L66" s="3">
        <f t="shared" si="21"/>
        <v>35800</v>
      </c>
      <c r="O66" s="123"/>
      <c r="P66" s="130"/>
      <c r="Q66" s="128"/>
      <c r="R66" s="128"/>
      <c r="S66" s="185"/>
      <c r="T66" s="124"/>
      <c r="U66" s="123"/>
      <c r="V66" s="123"/>
      <c r="W66" s="3">
        <v>33200</v>
      </c>
      <c r="X66" s="3">
        <v>34050</v>
      </c>
      <c r="Y66" s="3">
        <v>34900</v>
      </c>
      <c r="Z66" s="3">
        <v>35800</v>
      </c>
      <c r="AM66" s="123"/>
      <c r="AN66" s="130"/>
      <c r="AO66" s="128"/>
      <c r="AP66" s="128"/>
      <c r="AQ66" s="185"/>
      <c r="AR66" s="124"/>
      <c r="AS66" s="123"/>
      <c r="AT66" s="123"/>
      <c r="AU66" s="3"/>
      <c r="AV66" s="3"/>
      <c r="AW66" s="3"/>
      <c r="AX66" s="3"/>
    </row>
    <row r="67" spans="1:50" ht="21.95" customHeight="1">
      <c r="A67" s="123"/>
      <c r="B67" s="130"/>
      <c r="C67" s="128"/>
      <c r="D67" s="128"/>
      <c r="E67" s="185"/>
      <c r="F67" s="124"/>
      <c r="G67" s="123"/>
      <c r="H67" s="123"/>
      <c r="I67" s="3">
        <f>IF(Main!$C$26="UGC",SUM(I66,CEILING(I66*3%,10)),W67)</f>
        <v>34050</v>
      </c>
      <c r="J67" s="3">
        <f t="shared" si="21"/>
        <v>34900</v>
      </c>
      <c r="K67" s="3">
        <f t="shared" si="21"/>
        <v>35800</v>
      </c>
      <c r="L67" s="3">
        <f t="shared" si="21"/>
        <v>36700</v>
      </c>
      <c r="O67" s="123"/>
      <c r="P67" s="130"/>
      <c r="Q67" s="128"/>
      <c r="R67" s="128"/>
      <c r="S67" s="185"/>
      <c r="T67" s="124"/>
      <c r="U67" s="123"/>
      <c r="V67" s="123"/>
      <c r="W67" s="3">
        <v>34050</v>
      </c>
      <c r="X67" s="3">
        <v>34900</v>
      </c>
      <c r="Y67" s="3">
        <v>35800</v>
      </c>
      <c r="Z67" s="3">
        <v>36700</v>
      </c>
      <c r="AM67" s="123"/>
      <c r="AN67" s="130"/>
      <c r="AO67" s="128"/>
      <c r="AP67" s="128"/>
      <c r="AQ67" s="185"/>
      <c r="AR67" s="124"/>
      <c r="AS67" s="123"/>
      <c r="AT67" s="123"/>
      <c r="AU67" s="3"/>
      <c r="AV67" s="3"/>
      <c r="AW67" s="3"/>
      <c r="AX67" s="3"/>
    </row>
    <row r="68" spans="1:50" ht="21.95" customHeight="1">
      <c r="A68" s="123"/>
      <c r="B68" s="130"/>
      <c r="C68" s="128"/>
      <c r="D68" s="128"/>
      <c r="E68" s="123"/>
      <c r="F68" s="124"/>
      <c r="G68" s="123"/>
      <c r="H68" s="123"/>
      <c r="I68" s="3">
        <f>IF(Main!$C$26="UGC",SUM(I67,CEILING(I67*3%,10)),W68)</f>
        <v>34900</v>
      </c>
      <c r="J68" s="3">
        <f t="shared" si="21"/>
        <v>35800</v>
      </c>
      <c r="K68" s="3">
        <f t="shared" si="21"/>
        <v>36700</v>
      </c>
      <c r="L68" s="3">
        <f t="shared" si="21"/>
        <v>37600</v>
      </c>
      <c r="O68" s="123"/>
      <c r="P68" s="130"/>
      <c r="Q68" s="128"/>
      <c r="R68" s="128"/>
      <c r="S68" s="123">
        <f>VLOOKUP(R69,P70:S81,4)</f>
        <v>25600</v>
      </c>
      <c r="T68" s="124"/>
      <c r="U68" s="123"/>
      <c r="V68" s="123"/>
      <c r="W68" s="3">
        <v>34900</v>
      </c>
      <c r="X68" s="3">
        <v>35800</v>
      </c>
      <c r="Y68" s="3">
        <v>36700</v>
      </c>
      <c r="Z68" s="3">
        <v>37600</v>
      </c>
      <c r="AM68" s="123"/>
      <c r="AN68" s="130"/>
      <c r="AO68" s="128"/>
      <c r="AP68" s="128"/>
      <c r="AQ68" s="123"/>
      <c r="AR68" s="124"/>
      <c r="AS68" s="123"/>
      <c r="AT68" s="123"/>
      <c r="AU68" s="3"/>
      <c r="AV68" s="3"/>
      <c r="AW68" s="3"/>
      <c r="AX68" s="3"/>
    </row>
    <row r="69" spans="1:50" ht="21.95" customHeight="1">
      <c r="A69" s="149"/>
      <c r="B69" s="123"/>
      <c r="C69" s="123" t="s">
        <v>1532</v>
      </c>
      <c r="D69" s="149">
        <f>D53</f>
        <v>42005</v>
      </c>
      <c r="E69" s="184">
        <f>VLOOKUP(D69,B54:E65,4)</f>
        <v>25600</v>
      </c>
      <c r="F69" s="123" t="s">
        <v>1558</v>
      </c>
      <c r="G69" s="123"/>
      <c r="H69" s="123"/>
      <c r="I69" s="3">
        <f>IF(Main!$C$26="UGC",SUM(I68,CEILING(I68*3%,10)),W69)</f>
        <v>35800</v>
      </c>
      <c r="J69" s="3">
        <f t="shared" si="21"/>
        <v>36700</v>
      </c>
      <c r="K69" s="3">
        <f t="shared" si="21"/>
        <v>37600</v>
      </c>
      <c r="L69" s="3">
        <f t="shared" si="21"/>
        <v>38570</v>
      </c>
      <c r="O69" s="149"/>
      <c r="P69" s="123"/>
      <c r="Q69" s="123" t="s">
        <v>1532</v>
      </c>
      <c r="R69" s="149">
        <f>U14</f>
        <v>42005</v>
      </c>
      <c r="S69" s="184">
        <f>VLOOKUP(R69,P46:Q57,2)</f>
        <v>25600</v>
      </c>
      <c r="T69" s="123" t="s">
        <v>1558</v>
      </c>
      <c r="U69" s="123"/>
      <c r="V69" s="123"/>
      <c r="W69" s="3">
        <v>35800</v>
      </c>
      <c r="X69" s="3">
        <v>36700</v>
      </c>
      <c r="Y69" s="3">
        <v>37600</v>
      </c>
      <c r="Z69" s="3">
        <v>38570</v>
      </c>
      <c r="AM69" s="149"/>
      <c r="AN69" s="123"/>
      <c r="AO69" s="123"/>
      <c r="AP69" s="149"/>
      <c r="AQ69" s="184"/>
      <c r="AR69" s="123"/>
      <c r="AS69" s="123"/>
      <c r="AT69" s="123"/>
      <c r="AU69" s="3"/>
      <c r="AV69" s="3"/>
      <c r="AW69" s="3"/>
      <c r="AX69" s="3"/>
    </row>
    <row r="70" spans="1:50" ht="21.95" customHeight="1">
      <c r="A70" s="123"/>
      <c r="B70" s="133">
        <f>D69</f>
        <v>42005</v>
      </c>
      <c r="C70" s="128">
        <f>E52</f>
        <v>25600</v>
      </c>
      <c r="D70" s="124"/>
      <c r="E70" s="151">
        <f>C70</f>
        <v>25600</v>
      </c>
      <c r="F70" s="124">
        <f>IF(B70&gt;=$E$11,$G$22,IF(B70&gt;=$C$11,$G$19,0))</f>
        <v>0</v>
      </c>
      <c r="G70" s="123"/>
      <c r="H70" s="123"/>
      <c r="I70" s="3">
        <f>IF(Main!$C$26="UGC",SUM(I69,CEILING(I69*3%,10)),W70)</f>
        <v>36700</v>
      </c>
      <c r="J70" s="3">
        <f t="shared" si="21"/>
        <v>37600</v>
      </c>
      <c r="K70" s="3">
        <f t="shared" si="21"/>
        <v>38570</v>
      </c>
      <c r="L70" s="3">
        <f t="shared" si="21"/>
        <v>39540</v>
      </c>
      <c r="O70" s="123"/>
      <c r="P70" s="133">
        <f>R69</f>
        <v>42005</v>
      </c>
      <c r="Q70" s="128">
        <f>S52</f>
        <v>25600</v>
      </c>
      <c r="R70" s="124"/>
      <c r="S70" s="151">
        <f>Q70</f>
        <v>25600</v>
      </c>
      <c r="T70" s="124">
        <f t="shared" ref="T70:T89" si="23">IF(P70&gt;=$S$11,$U$22,IF(P70&gt;=$Q$11,$U$19,0))</f>
        <v>0</v>
      </c>
      <c r="U70" s="123"/>
      <c r="V70" s="123"/>
      <c r="W70" s="3">
        <v>36700</v>
      </c>
      <c r="X70" s="3">
        <v>37600</v>
      </c>
      <c r="Y70" s="3">
        <v>38570</v>
      </c>
      <c r="Z70" s="3">
        <v>39540</v>
      </c>
      <c r="AM70" s="123"/>
      <c r="AN70" s="133"/>
      <c r="AO70" s="128"/>
      <c r="AP70" s="124"/>
      <c r="AQ70" s="151"/>
      <c r="AR70" s="124"/>
      <c r="AS70" s="123"/>
      <c r="AT70" s="123"/>
      <c r="AU70" s="3"/>
      <c r="AV70" s="3"/>
      <c r="AW70" s="3"/>
      <c r="AX70" s="3"/>
    </row>
    <row r="71" spans="1:50" ht="21.95" customHeight="1">
      <c r="A71" s="133">
        <f>B70</f>
        <v>42005</v>
      </c>
      <c r="B71" s="130">
        <f>MIN(IF(AND(Main!AN26=4,$C$12&gt;B70),$C$12,IF(AND($A$16&gt;B70,$A$16&lt;MIN($C$11,$E$11)),$A$16,$C$9)),IF(AND($A$17&gt;B70,$A$17&lt;MIN($C$11,$E$11)),$A$17,$C$9),IF(AND($A$18&gt;B70,$A$18&lt;MIN($C$11,$E$11)),$A$18,$C$9),IF(AND($A$20&gt;B70,$A$20&gt;$C$11),$A$20,$C$9),IF(AND($A$21&gt;B70,$A$21&gt;$C$11),$A$21,$C$9),IF(AND($A$25&gt;B70,$A$25&gt;$E$11),$A$25,$C$9),IF(AND($A$26&gt;B70,$A$26&gt;$E$11),$A$26,$C$9),IF($C$11&gt;B70,$C$11,$C$9),IF($C$12&gt;B70,$C$12,$C$9),IF($E$11&gt;B70,$E$11,$C$9),IF($E$12&gt;B70,$E$12,$C$9),IF($C$13&gt;B70,$C$13,$C$9),IF($E$13&gt;B70,$E$13,$C$9))</f>
        <v>42248</v>
      </c>
      <c r="C71" s="128">
        <f>IF(B71=$B$26,$C$26,IF(B71=$B$25,$C$25,IF(B71=$B$24,$C$24,IF(B71=$B$23,$C$23,IF(B71=$B$21,$C$21,IF(B71=$B$20,$C$20,IF(B71=$B$19,$C$19,IF(B71=$B$18,$C$18,IF(B71=$B$17,$C$17,IF(B71=$B$16,$C$16,LOOKUP(B71,$B$30:$C$41)))))))))))</f>
        <v>26300</v>
      </c>
      <c r="D71" s="128">
        <f t="shared" ref="D71:D89" si="24">IF(AND(B71=$E$11,$B$24&gt;=$E$11),$D$24,IF(AND(B71=$E$11,$B$23&gt;=$E$11),$D$23,IF(B71=$C$11,$D$19,IF(ISNA(VLOOKUP(B71,$A$91:$B$95,1,FALSE)),1,LOOKUP(B71,$A$91:$B$95)))))</f>
        <v>2</v>
      </c>
      <c r="E71" s="151">
        <f>IF(AND(Main!AN26=5,B71=$G$12),$F$12,IF(OR(B71=$C$11,B71=$E$11,$C$12=B71),VLOOKUP(B71,$B$30:$E$41,4),MAX(IF(Main!$AN$10=4,VLOOKUP(E70,$I$2:$K$7,D71),VLOOKUP(E70,$I$8:$L$92,D71)),F71)))</f>
        <v>26300</v>
      </c>
      <c r="F71" s="124">
        <f>IF(B71&gt;=$E$11,$G$22,IF(B71&gt;=$C$11,$G$19,0))</f>
        <v>0</v>
      </c>
      <c r="G71" s="123"/>
      <c r="H71" s="123"/>
      <c r="I71" s="3">
        <f>IF(Main!$C$26="UGC",SUM(I70,CEILING(I70*3%,10)),W71)</f>
        <v>37600</v>
      </c>
      <c r="J71" s="3">
        <f t="shared" si="21"/>
        <v>38570</v>
      </c>
      <c r="K71" s="3">
        <f t="shared" si="21"/>
        <v>39540</v>
      </c>
      <c r="L71" s="3">
        <f t="shared" si="21"/>
        <v>40510</v>
      </c>
      <c r="O71" s="133">
        <f t="shared" ref="O71:O89" si="25">P70</f>
        <v>42005</v>
      </c>
      <c r="P71" s="130">
        <f>MIN(IF(AND(Main!AN26=4,$Q$12&gt;P70),$Q$12,IF(AND($O$16&gt;P70,$O$16&lt;MIN($Q$11,$S$11)),$O$16,$Q$9)),IF(AND($O$17&gt;P70,$O$17&lt;MIN($Q$11,$S$11)),$O$17,$Q$9),IF(AND($O$18&gt;P70,$O$18&lt;MIN($Q$11,$S$11)),$O$18,$Q$9),IF(AND($O$20&gt;P70,$O$20&gt;$Q$11),$O$20,$Q$9),IF(AND($O$21&gt;P70,$O$21&gt;$Q$11),$O$21,$Q$9),IF(AND($O$25&gt;P70,$O$25&gt;$S$11),$O$25,$Q$9),IF(AND($O$26&gt;P70,$O$26&gt;$S$11),$O$26,$Q$9),IF($Q$11&gt;P70,$Q$11,$Q$9),IF($Q$12&gt;P70,$Q$12,$Q$9),IF($S$11&gt;P70,$S$11,$Q$9),IF($S$12&gt;P70,$S$12,$Q$9),IF($Q$13&gt;P70,$Q$13,$Q$9),IF($S$13&gt;P70,$S$13,$Q$9))</f>
        <v>42248</v>
      </c>
      <c r="Q71" s="128">
        <f t="shared" ref="Q71:Q89" si="26">IF(P71=$P$26,$Q$26,IF(P71=$P$25,$Q$25,IF(P71=$P$24,$Q$24,IF(P71=$P$23,$Q$23,IF(P71=$P$21,$Q$21,IF(P71=$P$20,$Q$20,IF(P71=$P$19,$Q$19,IF(P71=$P$18,$Q$18,IF(P71=$P$17,$Q$17,IF(P71=$P$16,$Q$16,LOOKUP(P71,$P$30:$Q$41)))))))))))</f>
        <v>26300</v>
      </c>
      <c r="R71" s="128">
        <f>IF(AND(P71=$S$11,$P$24&gt;=$S$11),$R$24,IF(AND(P71=$S$11,$P$23&gt;=$S$11),$R$23,IF(P71=$Q$11,$R$19,IF(ISNA(VLOOKUP(P71,$O$91:$P$95,1,FALSE)),1,LOOKUP(P71,$O$91:$P$95)))))</f>
        <v>2</v>
      </c>
      <c r="S71" s="151">
        <f>IF(AND(Main!$AN$10=5,P71=$U$12),$T$12,IF(OR(P71=$Q$11,P71=$S$11,$Q$12=P71),VLOOKUP(P71,$P$30:$S$41,4),MAX(IF(Main!$AN$10=4,VLOOKUP(S70,$W$2:$Y$7,R71),VLOOKUP(S70,$W$8:$Z$92,R71)),T71)))</f>
        <v>26300</v>
      </c>
      <c r="T71" s="124">
        <f t="shared" si="23"/>
        <v>0</v>
      </c>
      <c r="U71" s="123"/>
      <c r="V71" s="123"/>
      <c r="W71" s="3">
        <v>37600</v>
      </c>
      <c r="X71" s="3">
        <v>38570</v>
      </c>
      <c r="Y71" s="3">
        <v>39540</v>
      </c>
      <c r="Z71" s="3">
        <v>40510</v>
      </c>
      <c r="AM71" s="133"/>
      <c r="AN71" s="130"/>
      <c r="AO71" s="128"/>
      <c r="AP71" s="128"/>
      <c r="AQ71" s="151"/>
      <c r="AR71" s="124"/>
      <c r="AS71" s="123"/>
      <c r="AT71" s="123"/>
      <c r="AU71" s="3"/>
      <c r="AV71" s="3"/>
      <c r="AW71" s="3"/>
      <c r="AX71" s="3"/>
    </row>
    <row r="72" spans="1:50" ht="21.95" customHeight="1">
      <c r="A72" s="133">
        <f t="shared" ref="A72:A89" si="27">B71</f>
        <v>42248</v>
      </c>
      <c r="B72" s="130">
        <f>MIN(IF(AND(Main!AN27=4,$C$12&gt;B71),$C$12,IF(AND($A$16&gt;B71,$A$16&lt;MIN($C$11,$E$11)),$A$16,$C$9)),IF(AND($A$17&gt;B71,$A$17&lt;MIN($C$11,$E$11)),$A$17,$C$9),IF(AND($A$18&gt;B71,$A$18&lt;MIN($C$11,$E$11)),$A$18,$C$9),IF(AND($A$20&gt;B71,$A$20&gt;$C$11),$A$20,$C$9),IF(AND($A$21&gt;B71,$A$21&gt;$C$11),$A$21,$C$9),IF(AND($A$25&gt;B71,$A$25&gt;$E$11),$A$25,$C$9),IF(AND($A$26&gt;B71,$A$26&gt;$E$11),$A$26,$C$9),IF($C$11&gt;B71,$C$11,$C$9),IF($C$12&gt;B71,$C$12,$C$9),IF($E$11&gt;B71,$E$11,$C$9),IF($E$12&gt;B71,$E$12,$C$9),IF($C$13&gt;B71,$C$13,$C$9),IF($E$13&gt;B71,$E$13,$C$9))</f>
        <v>42461</v>
      </c>
      <c r="C72" s="128">
        <f t="shared" ref="C72:C89" si="28">IF(B72=$B$26,$C$26,IF(B72=$B$25,$C$25,IF(B72=$B$24,$C$24,IF(B72=$B$23,$C$23,IF(B72=$B$21,$C$21,IF(B72=$B$20,$C$20,IF(B72=$B$19,$C$19,IF(B72=$B$18,$C$18,IF(B72=$B$17,$C$17,IF(B72=$B$16,$C$16,LOOKUP(B72,$B$30:$C$41)))))))))))</f>
        <v>26300</v>
      </c>
      <c r="D72" s="128">
        <f t="shared" si="24"/>
        <v>1</v>
      </c>
      <c r="E72" s="151">
        <f>IF(AND(Main!AN27=5,B72=$G$12),$F$12,IF(OR(B72=$C$11,B72=$E$11,$C$12=B72),VLOOKUP(B72,$B$30:$E$41,4),MAX(IF(Main!$AN$10=4,VLOOKUP(E71,$I$2:$K$7,D72),VLOOKUP(E71,$I$8:$L$92,D72)),F72)))</f>
        <v>26300</v>
      </c>
      <c r="F72" s="124">
        <f t="shared" ref="F72:F89" si="29">IF(B72&gt;=$E$11,$G$22,IF(B72&gt;=$C$11,$G$19,0))</f>
        <v>0</v>
      </c>
      <c r="G72" s="123"/>
      <c r="H72" s="123"/>
      <c r="I72" s="3">
        <f>IF(Main!$C$26="UGC",SUM(I71,CEILING(I71*3%,10)),W72)</f>
        <v>38570</v>
      </c>
      <c r="J72" s="3">
        <f t="shared" si="21"/>
        <v>39540</v>
      </c>
      <c r="K72" s="3">
        <f t="shared" si="21"/>
        <v>40510</v>
      </c>
      <c r="L72" s="3">
        <f t="shared" si="21"/>
        <v>41550</v>
      </c>
      <c r="O72" s="133">
        <f t="shared" si="25"/>
        <v>42248</v>
      </c>
      <c r="P72" s="130">
        <f>MIN(IF(AND(Main!AN27=4,$Q$12&gt;P71),$Q$12,IF(AND($O$16&gt;P71,$O$16&lt;MIN($Q$11,$S$11)),$O$16,$Q$9)),IF(AND($O$17&gt;P71,$O$17&lt;MIN($Q$11,$S$11)),$O$17,$Q$9),IF(AND($O$18&gt;P71,$O$18&lt;MIN($Q$11,$S$11)),$O$18,$Q$9),IF(AND($O$20&gt;P71,$O$20&gt;$Q$11),$O$20,$Q$9),IF(AND($O$21&gt;P71,$O$21&gt;$Q$11),$O$21,$Q$9),IF(AND($O$25&gt;P71,$O$25&gt;$S$11),$O$25,$Q$9),IF(AND($O$26&gt;P71,$O$26&gt;$S$11),$O$26,$Q$9),IF($Q$11&gt;P71,$Q$11,$Q$9),IF($Q$12&gt;P71,$Q$12,$Q$9),IF($S$11&gt;P71,$S$11,$Q$9),IF($S$12&gt;P71,$S$12,$Q$9),IF($Q$13&gt;P71,$Q$13,$Q$9),IF($S$13&gt;P71,$S$13,$Q$9))</f>
        <v>42461</v>
      </c>
      <c r="Q72" s="128">
        <f t="shared" si="26"/>
        <v>26300</v>
      </c>
      <c r="R72" s="128">
        <f t="shared" ref="R72:R89" si="30">IF(AND(P72=$S$11,$P$24&gt;=$S$11),$R$24,IF(AND(P72=$S$11,$P$23&gt;=$S$11),$R$23,IF(P72=$Q$11,$R$19,IF(ISNA(VLOOKUP(P72,$O$91:$P$95,1,FALSE)),1,LOOKUP(P72,$O$91:$P$95)))))</f>
        <v>1</v>
      </c>
      <c r="S72" s="151">
        <f>IF(AND(Main!$AN$10=5,P72=$U$12),$T$12,IF(OR(P72=$Q$11,P72=$S$11,$Q$12=P72),VLOOKUP(P72,$P$30:$S$41,4),MAX(IF(Main!$AN$10=4,VLOOKUP(S71,$W$2:$Y$7,R72),VLOOKUP(S71,$W$8:$Z$92,R72)),T72)))</f>
        <v>26300</v>
      </c>
      <c r="T72" s="124">
        <f t="shared" si="23"/>
        <v>0</v>
      </c>
      <c r="U72" s="123"/>
      <c r="V72" s="123"/>
      <c r="W72" s="3">
        <v>38570</v>
      </c>
      <c r="X72" s="3">
        <v>39540</v>
      </c>
      <c r="Y72" s="3">
        <v>40510</v>
      </c>
      <c r="Z72" s="3">
        <v>41550</v>
      </c>
      <c r="AM72" s="133"/>
      <c r="AN72" s="130"/>
      <c r="AO72" s="128"/>
      <c r="AP72" s="128"/>
      <c r="AQ72" s="151"/>
      <c r="AR72" s="124"/>
      <c r="AS72" s="123"/>
      <c r="AT72" s="123"/>
      <c r="AU72" s="3"/>
      <c r="AV72" s="3"/>
      <c r="AW72" s="3"/>
      <c r="AX72" s="3"/>
    </row>
    <row r="73" spans="1:50" ht="21.95" customHeight="1">
      <c r="A73" s="133">
        <f t="shared" si="27"/>
        <v>42461</v>
      </c>
      <c r="B73" s="130">
        <f>MIN(IF(AND(Main!AN28=4,$C$12&gt;B72),$C$12,IF(AND($A$16&gt;B72,$A$16&lt;MIN($C$11,$E$11)),$A$16,$C$9)),IF(AND($A$17&gt;B72,$A$17&lt;MIN($C$11,$E$11)),$A$17,$C$9),IF(AND($A$18&gt;B72,$A$18&lt;MIN($C$11,$E$11)),$A$18,$C$9),IF(AND($A$20&gt;B72,$A$20&gt;$C$11),$A$20,$C$9),IF(AND($A$21&gt;B72,$A$21&gt;$C$11),$A$21,$C$9),IF(AND($A$25&gt;B72,$A$25&gt;$E$11),$A$25,$C$9),IF(AND($A$26&gt;B72,$A$26&gt;$E$11),$A$26,$C$9),IF($C$11&gt;B72,$C$11,$C$9),IF($C$12&gt;B72,$C$12,$C$9),IF($E$11&gt;B72,$E$11,$C$9),IF($E$12&gt;B72,$E$12,$C$9),IF($C$13&gt;B72,$C$13,$C$9),IF($E$13&gt;B72,$E$13,$C$9))</f>
        <v>42461</v>
      </c>
      <c r="C73" s="128">
        <f t="shared" si="28"/>
        <v>26300</v>
      </c>
      <c r="D73" s="128">
        <f t="shared" si="24"/>
        <v>1</v>
      </c>
      <c r="E73" s="151">
        <f>IF(AND(Main!AN28=5,B73=$G$12),$F$12,IF(OR(B73=$C$11,B73=$E$11,$C$12=B73),VLOOKUP(B73,$B$30:$E$41,4),MAX(IF(Main!$AN$10=4,VLOOKUP(E72,$I$2:$K$7,D73),VLOOKUP(E72,$I$8:$L$92,D73)),F73)))</f>
        <v>26300</v>
      </c>
      <c r="F73" s="124">
        <f t="shared" si="29"/>
        <v>0</v>
      </c>
      <c r="G73" s="123"/>
      <c r="H73" s="123"/>
      <c r="I73" s="3">
        <f>IF(Main!$C$26="UGC",SUM(I72,CEILING(I72*3%,10)),W73)</f>
        <v>39540</v>
      </c>
      <c r="J73" s="3">
        <f t="shared" si="21"/>
        <v>40510</v>
      </c>
      <c r="K73" s="3">
        <f t="shared" si="21"/>
        <v>41550</v>
      </c>
      <c r="L73" s="3">
        <f t="shared" si="21"/>
        <v>42590</v>
      </c>
      <c r="O73" s="133">
        <f t="shared" si="25"/>
        <v>42461</v>
      </c>
      <c r="P73" s="130">
        <f>MIN(IF(AND(Main!AN28=4,$Q$12&gt;P72),$Q$12,IF(AND($O$16&gt;P72,$O$16&lt;MIN($Q$11,$S$11)),$O$16,$Q$9)),IF(AND($O$17&gt;P72,$O$17&lt;MIN($Q$11,$S$11)),$O$17,$Q$9),IF(AND($O$18&gt;P72,$O$18&lt;MIN($Q$11,$S$11)),$O$18,$Q$9),IF(AND($O$20&gt;P72,$O$20&gt;$Q$11),$O$20,$Q$9),IF(AND($O$21&gt;P72,$O$21&gt;$Q$11),$O$21,$Q$9),IF(AND($O$25&gt;P72,$O$25&gt;$S$11),$O$25,$Q$9),IF(AND($O$26&gt;P72,$O$26&gt;$S$11),$O$26,$Q$9),IF($Q$11&gt;P72,$Q$11,$Q$9),IF($Q$12&gt;P72,$Q$12,$Q$9),IF($S$11&gt;P72,$S$11,$Q$9),IF($S$12&gt;P72,$S$12,$Q$9),IF($Q$13&gt;P72,$Q$13,$Q$9),IF($S$13&gt;P72,$S$13,$Q$9))</f>
        <v>42461</v>
      </c>
      <c r="Q73" s="128">
        <f t="shared" si="26"/>
        <v>26300</v>
      </c>
      <c r="R73" s="128">
        <f t="shared" si="30"/>
        <v>1</v>
      </c>
      <c r="S73" s="151">
        <f>IF(AND(Main!$AN$10=5,P73=$U$12),$T$12,IF(OR(P73=$Q$11,P73=$S$11,$Q$12=P73),VLOOKUP(P73,$P$30:$S$41,4),MAX(IF(Main!$AN$10=4,VLOOKUP(S72,$W$2:$Y$7,R73),VLOOKUP(S72,$W$8:$Z$92,R73)),T73)))</f>
        <v>26300</v>
      </c>
      <c r="T73" s="124">
        <f t="shared" si="23"/>
        <v>0</v>
      </c>
      <c r="U73" s="123"/>
      <c r="V73" s="123"/>
      <c r="W73" s="3">
        <v>39540</v>
      </c>
      <c r="X73" s="3">
        <v>40510</v>
      </c>
      <c r="Y73" s="3">
        <v>41550</v>
      </c>
      <c r="Z73" s="3">
        <v>42590</v>
      </c>
      <c r="AM73" s="133"/>
      <c r="AN73" s="130"/>
      <c r="AO73" s="128"/>
      <c r="AP73" s="128"/>
      <c r="AQ73" s="151"/>
      <c r="AR73" s="124"/>
      <c r="AS73" s="123"/>
      <c r="AT73" s="123"/>
      <c r="AU73" s="3"/>
      <c r="AV73" s="3"/>
      <c r="AW73" s="3"/>
      <c r="AX73" s="3"/>
    </row>
    <row r="74" spans="1:50" ht="21.95" customHeight="1">
      <c r="A74" s="133">
        <f t="shared" si="27"/>
        <v>42461</v>
      </c>
      <c r="B74" s="130">
        <f>MIN(IF(AND(Main!AN29=4,$C$12&gt;B73),$C$12,IF(AND($A$16&gt;B73,$A$16&lt;MIN($C$11,$E$11)),$A$16,$C$9)),IF(AND($A$17&gt;B73,$A$17&lt;MIN($C$11,$E$11)),$A$17,$C$9),IF(AND($A$18&gt;B73,$A$18&lt;MIN($C$11,$E$11)),$A$18,$C$9),IF(AND($A$20&gt;B73,$A$20&gt;$C$11),$A$20,$C$9),IF(AND($A$21&gt;B73,$A$21&gt;$C$11),$A$21,$C$9),IF(AND($A$25&gt;B73,$A$25&gt;$E$11),$A$25,$C$9),IF(AND($A$26&gt;B73,$A$26&gt;$E$11),$A$26,$C$9),IF($C$11&gt;B73,$C$11,$C$9),IF($C$12&gt;B73,$C$12,$C$9),IF($E$11&gt;B73,$E$11,$C$9),IF($E$12&gt;B73,$E$12,$C$9),IF($C$13&gt;B73,$C$13,$C$9),IF($E$13&gt;B73,$E$13,$C$9))</f>
        <v>42461</v>
      </c>
      <c r="C74" s="128">
        <f t="shared" si="28"/>
        <v>26300</v>
      </c>
      <c r="D74" s="128">
        <f t="shared" si="24"/>
        <v>1</v>
      </c>
      <c r="E74" s="151">
        <f>IF(AND(Main!AN29=5,B74=$G$12),$F$12,IF(OR(B74=$C$11,B74=$E$11,$C$12=B74),VLOOKUP(B74,$B$30:$E$41,4),MAX(IF(Main!$AN$10=4,VLOOKUP(E73,$I$2:$K$7,D74),VLOOKUP(E73,$I$8:$L$92,D74)),F74)))</f>
        <v>26300</v>
      </c>
      <c r="F74" s="124">
        <f t="shared" si="29"/>
        <v>0</v>
      </c>
      <c r="G74" s="123"/>
      <c r="H74" s="123"/>
      <c r="I74" s="3">
        <f>IF(Main!$C$26="UGC",SUM(I73,CEILING(I73*3%,10)),W74)</f>
        <v>40510</v>
      </c>
      <c r="J74" s="3">
        <f t="shared" si="21"/>
        <v>41550</v>
      </c>
      <c r="K74" s="3">
        <f t="shared" si="21"/>
        <v>42590</v>
      </c>
      <c r="L74" s="3">
        <f t="shared" si="21"/>
        <v>43630</v>
      </c>
      <c r="O74" s="133">
        <f t="shared" si="25"/>
        <v>42461</v>
      </c>
      <c r="P74" s="130">
        <f>MIN(IF(AND(Main!AN29=4,$Q$12&gt;P73),$Q$12,IF(AND($O$16&gt;P73,$O$16&lt;MIN($Q$11,$S$11)),$O$16,$Q$9)),IF(AND($O$17&gt;P73,$O$17&lt;MIN($Q$11,$S$11)),$O$17,$Q$9),IF(AND($O$18&gt;P73,$O$18&lt;MIN($Q$11,$S$11)),$O$18,$Q$9),IF(AND($O$20&gt;P73,$O$20&gt;$Q$11),$O$20,$Q$9),IF(AND($O$21&gt;P73,$O$21&gt;$Q$11),$O$21,$Q$9),IF(AND($O$25&gt;P73,$O$25&gt;$S$11),$O$25,$Q$9),IF(AND($O$26&gt;P73,$O$26&gt;$S$11),$O$26,$Q$9),IF($Q$11&gt;P73,$Q$11,$Q$9),IF($Q$12&gt;P73,$Q$12,$Q$9),IF($S$11&gt;P73,$S$11,$Q$9),IF($S$12&gt;P73,$S$12,$Q$9),IF($Q$13&gt;P73,$Q$13,$Q$9),IF($S$13&gt;P73,$S$13,$Q$9))</f>
        <v>42461</v>
      </c>
      <c r="Q74" s="128">
        <f t="shared" si="26"/>
        <v>26300</v>
      </c>
      <c r="R74" s="128">
        <f t="shared" si="30"/>
        <v>1</v>
      </c>
      <c r="S74" s="151">
        <f>IF(AND(Main!$AN$10=5,P74=$U$12),$T$12,IF(OR(P74=$Q$11,P74=$S$11,$Q$12=P74),VLOOKUP(P74,$P$30:$S$41,4),MAX(IF(Main!$AN$10=4,VLOOKUP(S73,$W$2:$Y$7,R74),VLOOKUP(S73,$W$8:$Z$92,R74)),T74)))</f>
        <v>26300</v>
      </c>
      <c r="T74" s="124">
        <f t="shared" si="23"/>
        <v>0</v>
      </c>
      <c r="U74" s="123"/>
      <c r="V74" s="123"/>
      <c r="W74" s="3">
        <v>40510</v>
      </c>
      <c r="X74" s="3">
        <v>41550</v>
      </c>
      <c r="Y74" s="3">
        <v>42590</v>
      </c>
      <c r="Z74" s="3">
        <v>43630</v>
      </c>
      <c r="AM74" s="133"/>
      <c r="AN74" s="130"/>
      <c r="AO74" s="128"/>
      <c r="AP74" s="128"/>
      <c r="AQ74" s="151"/>
      <c r="AR74" s="124"/>
      <c r="AS74" s="123"/>
      <c r="AT74" s="123"/>
      <c r="AU74" s="3"/>
      <c r="AV74" s="3"/>
      <c r="AW74" s="3"/>
      <c r="AX74" s="3"/>
    </row>
    <row r="75" spans="1:50" ht="21.95" customHeight="1">
      <c r="A75" s="133">
        <f t="shared" si="27"/>
        <v>42461</v>
      </c>
      <c r="B75" s="130">
        <f>MIN(IF(AND(Main!AN30=4,$C$12&gt;B74),$C$12,IF(AND($A$16&gt;B74,$A$16&lt;MIN($C$11,$E$11)),$A$16,$C$9)),IF(AND($A$17&gt;B74,$A$17&lt;MIN($C$11,$E$11)),$A$17,$C$9),IF(AND($A$18&gt;B74,$A$18&lt;MIN($C$11,$E$11)),$A$18,$C$9),IF(AND($A$20&gt;B74,$A$20&gt;$C$11),$A$20,$C$9),IF(AND($A$21&gt;B74,$A$21&gt;$C$11),$A$21,$C$9),IF(AND($A$25&gt;B74,$A$25&gt;$E$11),$A$25,$C$9),IF(AND($A$26&gt;B74,$A$26&gt;$E$11),$A$26,$C$9),IF($C$11&gt;B74,$C$11,$C$9),IF($C$12&gt;B74,$C$12,$C$9),IF($E$11&gt;B74,$E$11,$C$9),IF($E$12&gt;B74,$E$12,$C$9),IF($C$13&gt;B74,$C$13,$C$9),IF($E$13&gt;B74,$E$13,$C$9))</f>
        <v>42461</v>
      </c>
      <c r="C75" s="128">
        <f t="shared" si="28"/>
        <v>26300</v>
      </c>
      <c r="D75" s="128">
        <f t="shared" si="24"/>
        <v>1</v>
      </c>
      <c r="E75" s="151">
        <f>IF(AND(Main!AN30=5,B75=$G$12),$F$12,IF(OR(B75=$C$11,B75=$E$11,$C$12=B75),VLOOKUP(B75,$B$30:$E$41,4),MAX(IF(Main!$AN$10=4,VLOOKUP(E74,$I$2:$K$7,D75),VLOOKUP(E74,$I$8:$L$92,D75)),F75)))</f>
        <v>26300</v>
      </c>
      <c r="F75" s="124">
        <f t="shared" si="29"/>
        <v>0</v>
      </c>
      <c r="G75" s="123"/>
      <c r="H75" s="123"/>
      <c r="I75" s="3">
        <f>IF(Main!$C$26="UGC",SUM(I74,CEILING(I74*3%,10)),W75)</f>
        <v>41550</v>
      </c>
      <c r="J75" s="3">
        <f t="shared" si="21"/>
        <v>42590</v>
      </c>
      <c r="K75" s="3">
        <f t="shared" si="21"/>
        <v>43630</v>
      </c>
      <c r="L75" s="3">
        <f t="shared" si="21"/>
        <v>44740</v>
      </c>
      <c r="O75" s="133">
        <f t="shared" si="25"/>
        <v>42461</v>
      </c>
      <c r="P75" s="130">
        <f>MIN(IF(AND(Main!AN30=4,$Q$12&gt;P74),$Q$12,IF(AND($O$16&gt;P74,$O$16&lt;MIN($Q$11,$S$11)),$O$16,$Q$9)),IF(AND($O$17&gt;P74,$O$17&lt;MIN($Q$11,$S$11)),$O$17,$Q$9),IF(AND($O$18&gt;P74,$O$18&lt;MIN($Q$11,$S$11)),$O$18,$Q$9),IF(AND($O$20&gt;P74,$O$20&gt;$Q$11),$O$20,$Q$9),IF(AND($O$21&gt;P74,$O$21&gt;$Q$11),$O$21,$Q$9),IF(AND($O$25&gt;P74,$O$25&gt;$S$11),$O$25,$Q$9),IF(AND($O$26&gt;P74,$O$26&gt;$S$11),$O$26,$Q$9),IF($Q$11&gt;P74,$Q$11,$Q$9),IF($Q$12&gt;P74,$Q$12,$Q$9),IF($S$11&gt;P74,$S$11,$Q$9),IF($S$12&gt;P74,$S$12,$Q$9),IF($Q$13&gt;P74,$Q$13,$Q$9),IF($S$13&gt;P74,$S$13,$Q$9))</f>
        <v>42461</v>
      </c>
      <c r="Q75" s="128">
        <f t="shared" si="26"/>
        <v>26300</v>
      </c>
      <c r="R75" s="128">
        <f t="shared" si="30"/>
        <v>1</v>
      </c>
      <c r="S75" s="151">
        <f>IF(AND(Main!$AN$10=5,P75=$U$12),$T$12,IF(OR(P75=$Q$11,P75=$S$11,$Q$12=P75),VLOOKUP(P75,$P$30:$S$41,4),MAX(IF(Main!$AN$10=4,VLOOKUP(S74,$W$2:$Y$7,R75),VLOOKUP(S74,$W$8:$Z$92,R75)),T75)))</f>
        <v>26300</v>
      </c>
      <c r="T75" s="124">
        <f t="shared" si="23"/>
        <v>0</v>
      </c>
      <c r="U75" s="123"/>
      <c r="V75" s="123"/>
      <c r="W75" s="3">
        <v>41550</v>
      </c>
      <c r="X75" s="3">
        <v>42590</v>
      </c>
      <c r="Y75" s="3">
        <v>43630</v>
      </c>
      <c r="Z75" s="3">
        <v>44740</v>
      </c>
      <c r="AM75" s="133"/>
      <c r="AN75" s="130"/>
      <c r="AO75" s="128"/>
      <c r="AP75" s="128"/>
      <c r="AQ75" s="151"/>
      <c r="AR75" s="124"/>
      <c r="AS75" s="123"/>
      <c r="AT75" s="123"/>
      <c r="AU75" s="3"/>
      <c r="AV75" s="3"/>
      <c r="AW75" s="3"/>
      <c r="AX75" s="3"/>
    </row>
    <row r="76" spans="1:50" ht="21.95" customHeight="1">
      <c r="A76" s="133">
        <f t="shared" si="27"/>
        <v>42461</v>
      </c>
      <c r="B76" s="130">
        <f>MIN(IF(AND(Main!AN31=4,$C$12&gt;B75),$C$12,IF(AND($A$16&gt;B75,$A$16&lt;MIN($C$11,$E$11)),$A$16,$C$9)),IF(AND($A$17&gt;B75,$A$17&lt;MIN($C$11,$E$11)),$A$17,$C$9),IF(AND($A$18&gt;B75,$A$18&lt;MIN($C$11,$E$11)),$A$18,$C$9),IF(AND($A$20&gt;B75,$A$20&gt;$C$11),$A$20,$C$9),IF(AND($A$21&gt;B75,$A$21&gt;$C$11),$A$21,$C$9),IF(AND($A$25&gt;B75,$A$25&gt;$E$11),$A$25,$C$9),IF(AND($A$26&gt;B75,$A$26&gt;$E$11),$A$26,$C$9),IF($C$11&gt;B75,$C$11,$C$9),IF($C$12&gt;B75,$C$12,$C$9),IF($E$11&gt;B75,$E$11,$C$9),IF($E$12&gt;B75,$E$12,$C$9),IF($C$13&gt;B75,$C$13,$C$9),IF($E$13&gt;B75,$E$13,$C$9))</f>
        <v>42461</v>
      </c>
      <c r="C76" s="128">
        <f t="shared" si="28"/>
        <v>26300</v>
      </c>
      <c r="D76" s="128">
        <f t="shared" si="24"/>
        <v>1</v>
      </c>
      <c r="E76" s="151">
        <f>IF(AND(Main!AN31=5,B76=$G$12),$F$12,IF(OR(B76=$C$11,B76=$E$11,$C$12=B76),VLOOKUP(B76,$B$30:$E$41,4),MAX(IF(Main!$AN$10=4,VLOOKUP(E75,$I$2:$K$7,D76),VLOOKUP(E75,$I$8:$L$92,D76)),F76)))</f>
        <v>26300</v>
      </c>
      <c r="F76" s="124">
        <f t="shared" si="29"/>
        <v>0</v>
      </c>
      <c r="G76" s="123"/>
      <c r="H76" s="123"/>
      <c r="I76" s="3">
        <f>IF(Main!$C$26="UGC",SUM(I75,CEILING(I75*3%,10)),W76)</f>
        <v>42590</v>
      </c>
      <c r="J76" s="3">
        <f t="shared" si="21"/>
        <v>43630</v>
      </c>
      <c r="K76" s="3">
        <f t="shared" si="21"/>
        <v>44740</v>
      </c>
      <c r="L76" s="3">
        <f t="shared" si="21"/>
        <v>45850</v>
      </c>
      <c r="O76" s="133">
        <f t="shared" si="25"/>
        <v>42461</v>
      </c>
      <c r="P76" s="130">
        <f>MIN(IF(AND(Main!AN31=4,$Q$12&gt;P75),$Q$12,IF(AND($O$16&gt;P75,$O$16&lt;MIN($Q$11,$S$11)),$O$16,$Q$9)),IF(AND($O$17&gt;P75,$O$17&lt;MIN($Q$11,$S$11)),$O$17,$Q$9),IF(AND($O$18&gt;P75,$O$18&lt;MIN($Q$11,$S$11)),$O$18,$Q$9),IF(AND($O$20&gt;P75,$O$20&gt;$Q$11),$O$20,$Q$9),IF(AND($O$21&gt;P75,$O$21&gt;$Q$11),$O$21,$Q$9),IF(AND($O$25&gt;P75,$O$25&gt;$S$11),$O$25,$Q$9),IF(AND($O$26&gt;P75,$O$26&gt;$S$11),$O$26,$Q$9),IF($Q$11&gt;P75,$Q$11,$Q$9),IF($Q$12&gt;P75,$Q$12,$Q$9),IF($S$11&gt;P75,$S$11,$Q$9),IF($S$12&gt;P75,$S$12,$Q$9),IF($Q$13&gt;P75,$Q$13,$Q$9),IF($S$13&gt;P75,$S$13,$Q$9))</f>
        <v>42461</v>
      </c>
      <c r="Q76" s="128">
        <f t="shared" si="26"/>
        <v>26300</v>
      </c>
      <c r="R76" s="128">
        <f t="shared" si="30"/>
        <v>1</v>
      </c>
      <c r="S76" s="151">
        <f>IF(AND(Main!$AN$10=5,P76=$U$12),$T$12,IF(OR(P76=$Q$11,P76=$S$11,$Q$12=P76),VLOOKUP(P76,$P$30:$S$41,4),MAX(IF(Main!$AN$10=4,VLOOKUP(S75,$W$2:$Y$7,R76),VLOOKUP(S75,$W$8:$Z$92,R76)),T76)))</f>
        <v>26300</v>
      </c>
      <c r="T76" s="124">
        <f t="shared" si="23"/>
        <v>0</v>
      </c>
      <c r="U76" s="123"/>
      <c r="V76" s="123"/>
      <c r="W76" s="3">
        <v>42590</v>
      </c>
      <c r="X76" s="3">
        <v>43630</v>
      </c>
      <c r="Y76" s="3">
        <v>44740</v>
      </c>
      <c r="Z76" s="3">
        <v>45850</v>
      </c>
      <c r="AM76" s="133"/>
      <c r="AN76" s="130"/>
      <c r="AO76" s="128"/>
      <c r="AP76" s="128"/>
      <c r="AQ76" s="151"/>
      <c r="AR76" s="124"/>
      <c r="AS76" s="123"/>
      <c r="AT76" s="123"/>
      <c r="AU76" s="3"/>
      <c r="AV76" s="3"/>
      <c r="AW76" s="3"/>
      <c r="AX76" s="3"/>
    </row>
    <row r="77" spans="1:50" ht="21.95" customHeight="1">
      <c r="A77" s="133">
        <f t="shared" si="27"/>
        <v>42461</v>
      </c>
      <c r="B77" s="130">
        <f>MIN(IF(AND(Main!AN32=4,$C$12&gt;B76),$C$12,IF(AND($A$16&gt;B76,$A$16&lt;MIN($C$11,$E$11)),$A$16,$C$9)),IF(AND($A$17&gt;B76,$A$17&lt;MIN($C$11,$E$11)),$A$17,$C$9),IF(AND($A$18&gt;B76,$A$18&lt;MIN($C$11,$E$11)),$A$18,$C$9),IF(AND($A$20&gt;B76,$A$20&gt;$C$11),$A$20,$C$9),IF(AND($A$21&gt;B76,$A$21&gt;$C$11),$A$21,$C$9),IF(AND($A$25&gt;B76,$A$25&gt;$E$11),$A$25,$C$9),IF(AND($A$26&gt;B76,$A$26&gt;$E$11),$A$26,$C$9),IF($C$11&gt;B76,$C$11,$C$9),IF($C$12&gt;B76,$C$12,$C$9),IF($E$11&gt;B76,$E$11,$C$9),IF($E$12&gt;B76,$E$12,$C$9),IF($C$13&gt;B76,$C$13,$C$9),IF($E$13&gt;B76,$E$13,$C$9))</f>
        <v>42461</v>
      </c>
      <c r="C77" s="128">
        <f t="shared" si="28"/>
        <v>26300</v>
      </c>
      <c r="D77" s="128">
        <f t="shared" si="24"/>
        <v>1</v>
      </c>
      <c r="E77" s="151">
        <f>IF(AND(Main!AN32=5,B77=$G$12),$F$12,IF(OR(B77=$C$11,B77=$E$11,$C$12=B77),VLOOKUP(B77,$B$30:$E$41,4),MAX(IF(Main!$AN$10=4,VLOOKUP(E76,$I$2:$K$7,D77),VLOOKUP(E76,$I$8:$L$92,D77)),F77)))</f>
        <v>26300</v>
      </c>
      <c r="F77" s="124">
        <f t="shared" si="29"/>
        <v>0</v>
      </c>
      <c r="G77" s="123"/>
      <c r="H77" s="123"/>
      <c r="I77" s="3">
        <f>IF(Main!$C$26="UGC",SUM(I76,CEILING(I76*3%,10)),W77)</f>
        <v>43630</v>
      </c>
      <c r="J77" s="3">
        <f t="shared" si="21"/>
        <v>44740</v>
      </c>
      <c r="K77" s="3">
        <f t="shared" si="21"/>
        <v>45850</v>
      </c>
      <c r="L77" s="3">
        <f t="shared" si="21"/>
        <v>46960</v>
      </c>
      <c r="O77" s="133">
        <f t="shared" si="25"/>
        <v>42461</v>
      </c>
      <c r="P77" s="130">
        <f>MIN(IF(AND(Main!AN32=4,$Q$12&gt;P76),$Q$12,IF(AND($O$16&gt;P76,$O$16&lt;MIN($Q$11,$S$11)),$O$16,$Q$9)),IF(AND($O$17&gt;P76,$O$17&lt;MIN($Q$11,$S$11)),$O$17,$Q$9),IF(AND($O$18&gt;P76,$O$18&lt;MIN($Q$11,$S$11)),$O$18,$Q$9),IF(AND($O$20&gt;P76,$O$20&gt;$Q$11),$O$20,$Q$9),IF(AND($O$21&gt;P76,$O$21&gt;$Q$11),$O$21,$Q$9),IF(AND($O$25&gt;P76,$O$25&gt;$S$11),$O$25,$Q$9),IF(AND($O$26&gt;P76,$O$26&gt;$S$11),$O$26,$Q$9),IF($Q$11&gt;P76,$Q$11,$Q$9),IF($Q$12&gt;P76,$Q$12,$Q$9),IF($S$11&gt;P76,$S$11,$Q$9),IF($S$12&gt;P76,$S$12,$Q$9),IF($Q$13&gt;P76,$Q$13,$Q$9),IF($S$13&gt;P76,$S$13,$Q$9))</f>
        <v>42461</v>
      </c>
      <c r="Q77" s="128">
        <f t="shared" si="26"/>
        <v>26300</v>
      </c>
      <c r="R77" s="128">
        <f t="shared" si="30"/>
        <v>1</v>
      </c>
      <c r="S77" s="151">
        <f>IF(AND(Main!$AN$10=5,P77=$U$12),$T$12,IF(OR(P77=$Q$11,P77=$S$11,$Q$12=P77),VLOOKUP(P77,$P$30:$S$41,4),MAX(IF(Main!$AN$10=4,VLOOKUP(S76,$W$2:$Y$7,R77),VLOOKUP(S76,$W$8:$Z$92,R77)),T77)))</f>
        <v>26300</v>
      </c>
      <c r="T77" s="124">
        <f t="shared" si="23"/>
        <v>0</v>
      </c>
      <c r="U77" s="123"/>
      <c r="V77" s="123"/>
      <c r="W77" s="3">
        <v>43630</v>
      </c>
      <c r="X77" s="3">
        <v>44740</v>
      </c>
      <c r="Y77" s="3">
        <v>45850</v>
      </c>
      <c r="Z77" s="3">
        <v>46960</v>
      </c>
      <c r="AM77" s="133"/>
      <c r="AN77" s="130"/>
      <c r="AO77" s="128"/>
      <c r="AP77" s="128"/>
      <c r="AQ77" s="151"/>
      <c r="AR77" s="124"/>
      <c r="AS77" s="123"/>
      <c r="AT77" s="123"/>
      <c r="AU77" s="3"/>
      <c r="AV77" s="3"/>
      <c r="AW77" s="3"/>
      <c r="AX77" s="3"/>
    </row>
    <row r="78" spans="1:50" ht="21.95" customHeight="1">
      <c r="A78" s="133">
        <f t="shared" si="27"/>
        <v>42461</v>
      </c>
      <c r="B78" s="130">
        <f>MIN(IF(AND(Main!AN33=4,$C$12&gt;B77),$C$12,IF(AND($A$16&gt;B77,$A$16&lt;MIN($C$11,$E$11)),$A$16,$C$9)),IF(AND($A$17&gt;B77,$A$17&lt;MIN($C$11,$E$11)),$A$17,$C$9),IF(AND($A$18&gt;B77,$A$18&lt;MIN($C$11,$E$11)),$A$18,$C$9),IF(AND($A$20&gt;B77,$A$20&gt;$C$11),$A$20,$C$9),IF(AND($A$21&gt;B77,$A$21&gt;$C$11),$A$21,$C$9),IF(AND($A$25&gt;B77,$A$25&gt;$E$11),$A$25,$C$9),IF(AND($A$26&gt;B77,$A$26&gt;$E$11),$A$26,$C$9),IF($C$11&gt;B77,$C$11,$C$9),IF($C$12&gt;B77,$C$12,$C$9),IF($E$11&gt;B77,$E$11,$C$9),IF($E$12&gt;B77,$E$12,$C$9),IF($C$13&gt;B77,$C$13,$C$9),IF($E$13&gt;B77,$E$13,$C$9))</f>
        <v>42461</v>
      </c>
      <c r="C78" s="128">
        <f t="shared" si="28"/>
        <v>26300</v>
      </c>
      <c r="D78" s="128">
        <f t="shared" si="24"/>
        <v>1</v>
      </c>
      <c r="E78" s="151">
        <f>IF(AND(Main!AN33=5,B78=$G$12),$F$12,IF(OR(B78=$C$11,B78=$E$11,$C$12=B78),VLOOKUP(B78,$B$30:$E$41,4),MAX(IF(Main!$AN$10=4,VLOOKUP(E77,$I$2:$K$7,D78),VLOOKUP(E77,$I$8:$L$92,D78)),F78)))</f>
        <v>26300</v>
      </c>
      <c r="F78" s="124">
        <f t="shared" si="29"/>
        <v>0</v>
      </c>
      <c r="G78" s="123"/>
      <c r="H78" s="123"/>
      <c r="I78" s="3">
        <f>IF(Main!$C$26="UGC",SUM(I77,CEILING(I77*3%,10)),W78)</f>
        <v>44740</v>
      </c>
      <c r="J78" s="3">
        <f t="shared" si="21"/>
        <v>45850</v>
      </c>
      <c r="K78" s="3">
        <f t="shared" si="21"/>
        <v>46960</v>
      </c>
      <c r="L78" s="3">
        <f t="shared" si="21"/>
        <v>48160</v>
      </c>
      <c r="O78" s="133">
        <f t="shared" si="25"/>
        <v>42461</v>
      </c>
      <c r="P78" s="130">
        <f>MIN(IF(AND(Main!AN33=4,$Q$12&gt;P77),$Q$12,IF(AND($O$16&gt;P77,$O$16&lt;MIN($Q$11,$S$11)),$O$16,$Q$9)),IF(AND($O$17&gt;P77,$O$17&lt;MIN($Q$11,$S$11)),$O$17,$Q$9),IF(AND($O$18&gt;P77,$O$18&lt;MIN($Q$11,$S$11)),$O$18,$Q$9),IF(AND($O$20&gt;P77,$O$20&gt;$Q$11),$O$20,$Q$9),IF(AND($O$21&gt;P77,$O$21&gt;$Q$11),$O$21,$Q$9),IF(AND($O$25&gt;P77,$O$25&gt;$S$11),$O$25,$Q$9),IF(AND($O$26&gt;P77,$O$26&gt;$S$11),$O$26,$Q$9),IF($Q$11&gt;P77,$Q$11,$Q$9),IF($Q$12&gt;P77,$Q$12,$Q$9),IF($S$11&gt;P77,$S$11,$Q$9),IF($S$12&gt;P77,$S$12,$Q$9),IF($Q$13&gt;P77,$Q$13,$Q$9),IF($S$13&gt;P77,$S$13,$Q$9))</f>
        <v>42461</v>
      </c>
      <c r="Q78" s="128">
        <f t="shared" si="26"/>
        <v>26300</v>
      </c>
      <c r="R78" s="128">
        <f t="shared" si="30"/>
        <v>1</v>
      </c>
      <c r="S78" s="151">
        <f>IF(AND(Main!$AN$10=5,P78=$U$12),$T$12,IF(OR(P78=$Q$11,P78=$S$11,$Q$12=P78),VLOOKUP(P78,$P$30:$S$41,4),MAX(IF(Main!$AN$10=4,VLOOKUP(S77,$W$2:$Y$7,R78),VLOOKUP(S77,$W$8:$Z$92,R78)),T78)))</f>
        <v>26300</v>
      </c>
      <c r="T78" s="124">
        <f t="shared" si="23"/>
        <v>0</v>
      </c>
      <c r="U78" s="123"/>
      <c r="V78" s="123"/>
      <c r="W78" s="3">
        <v>44740</v>
      </c>
      <c r="X78" s="3">
        <v>45850</v>
      </c>
      <c r="Y78" s="3">
        <v>46960</v>
      </c>
      <c r="Z78" s="3">
        <v>48160</v>
      </c>
      <c r="AM78" s="133"/>
      <c r="AN78" s="130"/>
      <c r="AO78" s="128"/>
      <c r="AP78" s="128"/>
      <c r="AQ78" s="151"/>
      <c r="AR78" s="124"/>
      <c r="AS78" s="123"/>
      <c r="AT78" s="123"/>
      <c r="AU78" s="3"/>
      <c r="AV78" s="3"/>
      <c r="AW78" s="3"/>
      <c r="AX78" s="3"/>
    </row>
    <row r="79" spans="1:50" ht="21.95" customHeight="1">
      <c r="A79" s="133">
        <f t="shared" si="27"/>
        <v>42461</v>
      </c>
      <c r="B79" s="130">
        <f>MIN(IF(AND(Main!AN34=4,$C$12&gt;B78),$C$12,IF(AND($A$16&gt;B78,$A$16&lt;MIN($C$11,$E$11)),$A$16,$C$9)),IF(AND($A$17&gt;B78,$A$17&lt;MIN($C$11,$E$11)),$A$17,$C$9),IF(AND($A$18&gt;B78,$A$18&lt;MIN($C$11,$E$11)),$A$18,$C$9),IF(AND($A$20&gt;B78,$A$20&gt;$C$11),$A$20,$C$9),IF(AND($A$21&gt;B78,$A$21&gt;$C$11),$A$21,$C$9),IF(AND($A$25&gt;B78,$A$25&gt;$E$11),$A$25,$C$9),IF(AND($A$26&gt;B78,$A$26&gt;$E$11),$A$26,$C$9),IF($C$11&gt;B78,$C$11,$C$9),IF($C$12&gt;B78,$C$12,$C$9),IF($E$11&gt;B78,$E$11,$C$9),IF($E$12&gt;B78,$E$12,$C$9),IF($C$13&gt;B78,$C$13,$C$9),IF($E$13&gt;B78,$E$13,$C$9))</f>
        <v>42461</v>
      </c>
      <c r="C79" s="128">
        <f t="shared" si="28"/>
        <v>26300</v>
      </c>
      <c r="D79" s="128">
        <f t="shared" si="24"/>
        <v>1</v>
      </c>
      <c r="E79" s="151">
        <f>IF(AND(Main!AN34=5,B79=$G$12),$F$12,IF(OR(B79=$C$11,B79=$E$11,$C$12=B79),VLOOKUP(B79,$B$30:$E$41,4),MAX(IF(Main!$AN$10=4,VLOOKUP(E78,$I$2:$K$7,D79),VLOOKUP(E78,$I$8:$L$92,D79)),F79)))</f>
        <v>26300</v>
      </c>
      <c r="F79" s="124">
        <f t="shared" si="29"/>
        <v>0</v>
      </c>
      <c r="G79" s="123"/>
      <c r="H79" s="123"/>
      <c r="I79" s="3">
        <f>IF(Main!$C$26="UGC",SUM(I78,CEILING(I78*3%,10)),W79)</f>
        <v>45850</v>
      </c>
      <c r="J79" s="3">
        <f t="shared" si="21"/>
        <v>46960</v>
      </c>
      <c r="K79" s="3">
        <f t="shared" si="21"/>
        <v>48160</v>
      </c>
      <c r="L79" s="3">
        <f t="shared" si="21"/>
        <v>49360</v>
      </c>
      <c r="O79" s="133">
        <f t="shared" si="25"/>
        <v>42461</v>
      </c>
      <c r="P79" s="130">
        <f>MIN(IF(AND(Main!AN34=4,$Q$12&gt;P78),$Q$12,IF(AND($O$16&gt;P78,$O$16&lt;MIN($Q$11,$S$11)),$O$16,$Q$9)),IF(AND($O$17&gt;P78,$O$17&lt;MIN($Q$11,$S$11)),$O$17,$Q$9),IF(AND($O$18&gt;P78,$O$18&lt;MIN($Q$11,$S$11)),$O$18,$Q$9),IF(AND($O$20&gt;P78,$O$20&gt;$Q$11),$O$20,$Q$9),IF(AND($O$21&gt;P78,$O$21&gt;$Q$11),$O$21,$Q$9),IF(AND($O$25&gt;P78,$O$25&gt;$S$11),$O$25,$Q$9),IF(AND($O$26&gt;P78,$O$26&gt;$S$11),$O$26,$Q$9),IF($Q$11&gt;P78,$Q$11,$Q$9),IF($Q$12&gt;P78,$Q$12,$Q$9),IF($S$11&gt;P78,$S$11,$Q$9),IF($S$12&gt;P78,$S$12,$Q$9),IF($Q$13&gt;P78,$Q$13,$Q$9),IF($S$13&gt;P78,$S$13,$Q$9))</f>
        <v>42461</v>
      </c>
      <c r="Q79" s="128">
        <f t="shared" si="26"/>
        <v>26300</v>
      </c>
      <c r="R79" s="128">
        <f t="shared" si="30"/>
        <v>1</v>
      </c>
      <c r="S79" s="151">
        <f>IF(AND(Main!$AN$10=5,P79=$U$12),$T$12,IF(OR(P79=$Q$11,P79=$S$11,$Q$12=P79),VLOOKUP(P79,$P$30:$S$41,4),MAX(IF(Main!$AN$10=4,VLOOKUP(S78,$W$2:$Y$7,R79),VLOOKUP(S78,$W$8:$Z$92,R79)),T79)))</f>
        <v>26300</v>
      </c>
      <c r="T79" s="124">
        <f t="shared" si="23"/>
        <v>0</v>
      </c>
      <c r="U79" s="123"/>
      <c r="V79" s="123"/>
      <c r="W79" s="3">
        <v>45850</v>
      </c>
      <c r="X79" s="3">
        <v>46960</v>
      </c>
      <c r="Y79" s="3">
        <v>48160</v>
      </c>
      <c r="Z79" s="3">
        <v>49360</v>
      </c>
      <c r="AM79" s="133"/>
      <c r="AN79" s="130"/>
      <c r="AO79" s="128"/>
      <c r="AP79" s="128"/>
      <c r="AQ79" s="151"/>
      <c r="AR79" s="124"/>
      <c r="AS79" s="123"/>
      <c r="AT79" s="123"/>
      <c r="AU79" s="3"/>
      <c r="AV79" s="3"/>
      <c r="AW79" s="3"/>
      <c r="AX79" s="3"/>
    </row>
    <row r="80" spans="1:50" ht="21.95" customHeight="1">
      <c r="A80" s="133">
        <f t="shared" si="27"/>
        <v>42461</v>
      </c>
      <c r="B80" s="130">
        <f>MIN(IF(AND(Main!AN35=4,$C$12&gt;B79),$C$12,IF(AND($A$16&gt;B79,$A$16&lt;MIN($C$11,$E$11)),$A$16,$C$9)),IF(AND($A$17&gt;B79,$A$17&lt;MIN($C$11,$E$11)),$A$17,$C$9),IF(AND($A$18&gt;B79,$A$18&lt;MIN($C$11,$E$11)),$A$18,$C$9),IF(AND($A$20&gt;B79,$A$20&gt;$C$11),$A$20,$C$9),IF(AND($A$21&gt;B79,$A$21&gt;$C$11),$A$21,$C$9),IF(AND($A$25&gt;B79,$A$25&gt;$E$11),$A$25,$C$9),IF(AND($A$26&gt;B79,$A$26&gt;$E$11),$A$26,$C$9),IF($C$11&gt;B79,$C$11,$C$9),IF($C$12&gt;B79,$C$12,$C$9),IF($E$11&gt;B79,$E$11,$C$9),IF($E$12&gt;B79,$E$12,$C$9),IF($C$13&gt;B79,$C$13,$C$9),IF($E$13&gt;B79,$E$13,$C$9))</f>
        <v>42461</v>
      </c>
      <c r="C80" s="128">
        <f t="shared" si="28"/>
        <v>26300</v>
      </c>
      <c r="D80" s="128">
        <f t="shared" si="24"/>
        <v>1</v>
      </c>
      <c r="E80" s="151">
        <f>IF(AND(Main!AN35=5,B80=$G$12),$F$12,IF(OR(B80=$C$11,B80=$E$11,$C$12=B80),VLOOKUP(B80,$B$30:$E$41,4),MAX(IF(Main!$AN$10=4,VLOOKUP(E79,$I$2:$K$7,D80),VLOOKUP(E79,$I$8:$L$92,D80)),F80)))</f>
        <v>26300</v>
      </c>
      <c r="F80" s="124">
        <f t="shared" si="29"/>
        <v>0</v>
      </c>
      <c r="G80" s="123"/>
      <c r="H80" s="123"/>
      <c r="I80" s="3">
        <f>IF(Main!$C$26="UGC",SUM(I79,CEILING(I79*3%,10)),W80)</f>
        <v>46960</v>
      </c>
      <c r="J80" s="3">
        <f t="shared" si="21"/>
        <v>48160</v>
      </c>
      <c r="K80" s="3">
        <f t="shared" si="21"/>
        <v>49360</v>
      </c>
      <c r="L80" s="3">
        <f t="shared" si="21"/>
        <v>50560</v>
      </c>
      <c r="O80" s="133">
        <f t="shared" si="25"/>
        <v>42461</v>
      </c>
      <c r="P80" s="130">
        <f>MIN(IF(AND(Main!AN35=4,$Q$12&gt;P79),$Q$12,IF(AND($O$16&gt;P79,$O$16&lt;MIN($Q$11,$S$11)),$O$16,$Q$9)),IF(AND($O$17&gt;P79,$O$17&lt;MIN($Q$11,$S$11)),$O$17,$Q$9),IF(AND($O$18&gt;P79,$O$18&lt;MIN($Q$11,$S$11)),$O$18,$Q$9),IF(AND($O$20&gt;P79,$O$20&gt;$Q$11),$O$20,$Q$9),IF(AND($O$21&gt;P79,$O$21&gt;$Q$11),$O$21,$Q$9),IF(AND($O$25&gt;P79,$O$25&gt;$S$11),$O$25,$Q$9),IF(AND($O$26&gt;P79,$O$26&gt;$S$11),$O$26,$Q$9),IF($Q$11&gt;P79,$Q$11,$Q$9),IF($Q$12&gt;P79,$Q$12,$Q$9),IF($S$11&gt;P79,$S$11,$Q$9),IF($S$12&gt;P79,$S$12,$Q$9),IF($Q$13&gt;P79,$Q$13,$Q$9),IF($S$13&gt;P79,$S$13,$Q$9))</f>
        <v>42461</v>
      </c>
      <c r="Q80" s="128">
        <f t="shared" si="26"/>
        <v>26300</v>
      </c>
      <c r="R80" s="128">
        <f t="shared" si="30"/>
        <v>1</v>
      </c>
      <c r="S80" s="151">
        <f>IF(AND(Main!$AN$10=5,P80=$U$12),$T$12,IF(OR(P80=$Q$11,P80=$S$11,$Q$12=P80),VLOOKUP(P80,$P$30:$S$41,4),MAX(IF(Main!$AN$10=4,VLOOKUP(S79,$W$2:$Y$7,R80),VLOOKUP(S79,$W$8:$Z$92,R80)),T80)))</f>
        <v>26300</v>
      </c>
      <c r="T80" s="124">
        <f t="shared" si="23"/>
        <v>0</v>
      </c>
      <c r="U80" s="123"/>
      <c r="V80" s="123"/>
      <c r="W80" s="3">
        <v>46960</v>
      </c>
      <c r="X80" s="3">
        <v>48160</v>
      </c>
      <c r="Y80" s="3">
        <v>49360</v>
      </c>
      <c r="Z80" s="3">
        <v>50560</v>
      </c>
      <c r="AM80" s="133"/>
      <c r="AN80" s="130"/>
      <c r="AO80" s="128"/>
      <c r="AP80" s="128"/>
      <c r="AQ80" s="151"/>
      <c r="AR80" s="124"/>
      <c r="AS80" s="123"/>
      <c r="AT80" s="123"/>
      <c r="AU80" s="3"/>
      <c r="AV80" s="3"/>
      <c r="AW80" s="3"/>
      <c r="AX80" s="3"/>
    </row>
    <row r="81" spans="1:50" ht="20.25" customHeight="1">
      <c r="A81" s="133">
        <f t="shared" si="27"/>
        <v>42461</v>
      </c>
      <c r="B81" s="130">
        <f>MIN(IF(AND(Main!AN36=4,$C$12&gt;B80),$C$12,IF(AND($A$16&gt;B80,$A$16&lt;MIN($C$11,$E$11)),$A$16,$C$9)),IF(AND($A$17&gt;B80,$A$17&lt;MIN($C$11,$E$11)),$A$17,$C$9),IF(AND($A$18&gt;B80,$A$18&lt;MIN($C$11,$E$11)),$A$18,$C$9),IF(AND($A$20&gt;B80,$A$20&gt;$C$11),$A$20,$C$9),IF(AND($A$21&gt;B80,$A$21&gt;$C$11),$A$21,$C$9),IF(AND($A$25&gt;B80,$A$25&gt;$E$11),$A$25,$C$9),IF(AND($A$26&gt;B80,$A$26&gt;$E$11),$A$26,$C$9),IF($C$11&gt;B80,$C$11,$C$9),IF($C$12&gt;B80,$C$12,$C$9),IF($E$11&gt;B80,$E$11,$C$9),IF($E$12&gt;B80,$E$12,$C$9),IF($C$13&gt;B80,$C$13,$C$9),IF($E$13&gt;B80,$E$13,$C$9))</f>
        <v>42461</v>
      </c>
      <c r="C81" s="128">
        <f t="shared" si="28"/>
        <v>26300</v>
      </c>
      <c r="D81" s="128">
        <f t="shared" si="24"/>
        <v>1</v>
      </c>
      <c r="E81" s="151">
        <f>IF(AND(Main!AN36=5,B81=$G$12),$F$12,IF(OR(B81=$C$11,B81=$E$11,$C$12=B81),VLOOKUP(B81,$B$30:$E$41,4),MAX(IF(Main!$AN$10=4,VLOOKUP(E80,$I$2:$K$7,D81),VLOOKUP(E80,$I$8:$L$92,D81)),F81)))</f>
        <v>26300</v>
      </c>
      <c r="F81" s="124">
        <f t="shared" si="29"/>
        <v>0</v>
      </c>
      <c r="G81" s="123"/>
      <c r="H81" s="123"/>
      <c r="I81" s="3">
        <f>IF(Main!$C$26="UGC",SUM(I80,CEILING(I80*3%,10)),W81)</f>
        <v>48160</v>
      </c>
      <c r="J81" s="3">
        <f t="shared" si="21"/>
        <v>49360</v>
      </c>
      <c r="K81" s="3">
        <f t="shared" si="21"/>
        <v>50560</v>
      </c>
      <c r="L81" s="3">
        <f t="shared" si="21"/>
        <v>51760</v>
      </c>
      <c r="O81" s="133">
        <f t="shared" si="25"/>
        <v>42461</v>
      </c>
      <c r="P81" s="130">
        <f>MIN(IF(AND(Main!AN36=4,$Q$12&gt;P80),$Q$12,IF(AND($O$16&gt;P80,$O$16&lt;MIN($Q$11,$S$11)),$O$16,$Q$9)),IF(AND($O$17&gt;P80,$O$17&lt;MIN($Q$11,$S$11)),$O$17,$Q$9),IF(AND($O$18&gt;P80,$O$18&lt;MIN($Q$11,$S$11)),$O$18,$Q$9),IF(AND($O$20&gt;P80,$O$20&gt;$Q$11),$O$20,$Q$9),IF(AND($O$21&gt;P80,$O$21&gt;$Q$11),$O$21,$Q$9),IF(AND($O$25&gt;P80,$O$25&gt;$S$11),$O$25,$Q$9),IF(AND($O$26&gt;P80,$O$26&gt;$S$11),$O$26,$Q$9),IF($Q$11&gt;P80,$Q$11,$Q$9),IF($Q$12&gt;P80,$Q$12,$Q$9),IF($S$11&gt;P80,$S$11,$Q$9),IF($S$12&gt;P80,$S$12,$Q$9),IF($Q$13&gt;P80,$Q$13,$Q$9),IF($S$13&gt;P80,$S$13,$Q$9))</f>
        <v>42461</v>
      </c>
      <c r="Q81" s="128">
        <f t="shared" si="26"/>
        <v>26300</v>
      </c>
      <c r="R81" s="128">
        <f t="shared" si="30"/>
        <v>1</v>
      </c>
      <c r="S81" s="151">
        <f>IF(AND(Main!$AN$10=5,P81=$U$12),$T$12,IF(OR(P81=$Q$11,P81=$S$11,$Q$12=P81),VLOOKUP(P81,$P$30:$S$41,4),MAX(IF(Main!$AN$10=4,VLOOKUP(S80,$W$2:$Y$7,R81),VLOOKUP(S80,$W$8:$Z$92,R81)),T81)))</f>
        <v>26300</v>
      </c>
      <c r="T81" s="124">
        <f t="shared" si="23"/>
        <v>0</v>
      </c>
      <c r="U81" s="123"/>
      <c r="V81" s="123"/>
      <c r="W81" s="3">
        <v>48160</v>
      </c>
      <c r="X81" s="3">
        <v>49360</v>
      </c>
      <c r="Y81" s="3">
        <v>50560</v>
      </c>
      <c r="Z81" s="3">
        <v>51760</v>
      </c>
      <c r="AM81" s="133"/>
      <c r="AN81" s="130"/>
      <c r="AO81" s="128"/>
      <c r="AP81" s="128"/>
      <c r="AQ81" s="151"/>
      <c r="AR81" s="124"/>
      <c r="AS81" s="123"/>
      <c r="AT81" s="123"/>
      <c r="AU81" s="3"/>
      <c r="AV81" s="3"/>
      <c r="AW81" s="3"/>
      <c r="AX81" s="3"/>
    </row>
    <row r="82" spans="1:50" ht="21.95" customHeight="1">
      <c r="A82" s="133">
        <f t="shared" si="27"/>
        <v>42461</v>
      </c>
      <c r="B82" s="130">
        <f>MIN(IF(AND(Main!AN37=4,$C$12&gt;B81),$C$12,IF(AND($A$16&gt;B81,$A$16&lt;MIN($C$11,$E$11)),$A$16,$C$9)),IF(AND($A$17&gt;B81,$A$17&lt;MIN($C$11,$E$11)),$A$17,$C$9),IF(AND($A$18&gt;B81,$A$18&lt;MIN($C$11,$E$11)),$A$18,$C$9),IF(AND($A$20&gt;B81,$A$20&gt;$C$11),$A$20,$C$9),IF(AND($A$21&gt;B81,$A$21&gt;$C$11),$A$21,$C$9),IF(AND($A$25&gt;B81,$A$25&gt;$E$11),$A$25,$C$9),IF(AND($A$26&gt;B81,$A$26&gt;$E$11),$A$26,$C$9),IF($C$11&gt;B81,$C$11,$C$9),IF($C$12&gt;B81,$C$12,$C$9),IF($E$11&gt;B81,$E$11,$C$9),IF($E$12&gt;B81,$E$12,$C$9),IF($C$13&gt;B81,$C$13,$C$9),IF($E$13&gt;B81,$E$13,$C$9))</f>
        <v>42461</v>
      </c>
      <c r="C82" s="128">
        <f t="shared" si="28"/>
        <v>26300</v>
      </c>
      <c r="D82" s="128">
        <f t="shared" si="24"/>
        <v>1</v>
      </c>
      <c r="E82" s="151">
        <f>IF(AND(Main!AN37=5,B82=$G$12),$F$12,IF(OR(B82=$C$11,B82=$E$11,$C$12=B82),VLOOKUP(B82,$B$30:$E$41,4),MAX(IF(Main!$AN$10=4,VLOOKUP(E81,$I$2:$K$7,D82),VLOOKUP(E81,$I$8:$L$92,D82)),F82)))</f>
        <v>26300</v>
      </c>
      <c r="F82" s="124">
        <f t="shared" si="29"/>
        <v>0</v>
      </c>
      <c r="G82" s="123"/>
      <c r="H82" s="123"/>
      <c r="I82" s="3">
        <f>IF(Main!$C$26="UGC",SUM(I81,CEILING(I81*3%,10)),W82)</f>
        <v>49360</v>
      </c>
      <c r="J82" s="3">
        <f t="shared" si="21"/>
        <v>50560</v>
      </c>
      <c r="K82" s="3">
        <f t="shared" si="21"/>
        <v>51760</v>
      </c>
      <c r="L82" s="3">
        <f t="shared" si="21"/>
        <v>53060</v>
      </c>
      <c r="O82" s="133">
        <f t="shared" si="25"/>
        <v>42461</v>
      </c>
      <c r="P82" s="130">
        <f>MIN(IF(AND(Main!AN37=4,$Q$12&gt;P81),$Q$12,IF(AND($O$16&gt;P81,$O$16&lt;MIN($Q$11,$S$11)),$O$16,$Q$9)),IF(AND($O$17&gt;P81,$O$17&lt;MIN($Q$11,$S$11)),$O$17,$Q$9),IF(AND($O$18&gt;P81,$O$18&lt;MIN($Q$11,$S$11)),$O$18,$Q$9),IF(AND($O$20&gt;P81,$O$20&gt;$Q$11),$O$20,$Q$9),IF(AND($O$21&gt;P81,$O$21&gt;$Q$11),$O$21,$Q$9),IF(AND($O$25&gt;P81,$O$25&gt;$S$11),$O$25,$Q$9),IF(AND($O$26&gt;P81,$O$26&gt;$S$11),$O$26,$Q$9),IF($Q$11&gt;P81,$Q$11,$Q$9),IF($Q$12&gt;P81,$Q$12,$Q$9),IF($S$11&gt;P81,$S$11,$Q$9),IF($S$12&gt;P81,$S$12,$Q$9),IF($Q$13&gt;P81,$Q$13,$Q$9),IF($S$13&gt;P81,$S$13,$Q$9))</f>
        <v>42461</v>
      </c>
      <c r="Q82" s="128">
        <f t="shared" si="26"/>
        <v>26300</v>
      </c>
      <c r="R82" s="128">
        <f t="shared" si="30"/>
        <v>1</v>
      </c>
      <c r="S82" s="151">
        <f>IF(AND(Main!$AN$10=5,P82=$U$12),$T$12,IF(OR(P82=$Q$11,P82=$S$11,$Q$12=P82),VLOOKUP(P82,$P$30:$S$41,4),MAX(IF(Main!$AN$10=4,VLOOKUP(S81,$W$2:$Y$7,R82),VLOOKUP(S81,$W$8:$Z$92,R82)),T82)))</f>
        <v>26300</v>
      </c>
      <c r="T82" s="124">
        <f t="shared" si="23"/>
        <v>0</v>
      </c>
      <c r="U82" s="123"/>
      <c r="V82" s="123"/>
      <c r="W82" s="3">
        <v>49360</v>
      </c>
      <c r="X82" s="3">
        <v>50560</v>
      </c>
      <c r="Y82" s="3">
        <v>51760</v>
      </c>
      <c r="Z82" s="3">
        <v>53060</v>
      </c>
      <c r="AM82" s="133"/>
      <c r="AN82" s="130"/>
      <c r="AO82" s="128"/>
      <c r="AP82" s="128"/>
      <c r="AQ82" s="151"/>
      <c r="AR82" s="124"/>
      <c r="AS82" s="123"/>
      <c r="AT82" s="123"/>
      <c r="AU82" s="3"/>
      <c r="AV82" s="3"/>
      <c r="AW82" s="3"/>
      <c r="AX82" s="3"/>
    </row>
    <row r="83" spans="1:50" ht="21.95" customHeight="1">
      <c r="A83" s="133">
        <f t="shared" si="27"/>
        <v>42461</v>
      </c>
      <c r="B83" s="130">
        <f>MIN(IF(AND(Main!AN38=4,$C$12&gt;B82),$C$12,IF(AND($A$16&gt;B82,$A$16&lt;MIN($C$11,$E$11)),$A$16,$C$9)),IF(AND($A$17&gt;B82,$A$17&lt;MIN($C$11,$E$11)),$A$17,$C$9),IF(AND($A$18&gt;B82,$A$18&lt;MIN($C$11,$E$11)),$A$18,$C$9),IF(AND($A$20&gt;B82,$A$20&gt;$C$11),$A$20,$C$9),IF(AND($A$21&gt;B82,$A$21&gt;$C$11),$A$21,$C$9),IF(AND($A$25&gt;B82,$A$25&gt;$E$11),$A$25,$C$9),IF(AND($A$26&gt;B82,$A$26&gt;$E$11),$A$26,$C$9),IF($C$11&gt;B82,$C$11,$C$9),IF($C$12&gt;B82,$C$12,$C$9),IF($E$11&gt;B82,$E$11,$C$9),IF($E$12&gt;B82,$E$12,$C$9),IF($C$13&gt;B82,$C$13,$C$9),IF($E$13&gt;B82,$E$13,$C$9))</f>
        <v>42461</v>
      </c>
      <c r="C83" s="128">
        <f t="shared" si="28"/>
        <v>26300</v>
      </c>
      <c r="D83" s="128">
        <f t="shared" si="24"/>
        <v>1</v>
      </c>
      <c r="E83" s="151">
        <f>IF(AND(Main!AN38=5,B83=$G$12),$F$12,IF(OR(B83=$C$11,B83=$E$11,$C$12=B83),VLOOKUP(B83,$B$30:$E$41,4),MAX(IF(Main!$AN$10=4,VLOOKUP(E82,$I$2:$K$7,D83),VLOOKUP(E82,$I$8:$L$92,D83)),F83)))</f>
        <v>26300</v>
      </c>
      <c r="F83" s="124">
        <f t="shared" si="29"/>
        <v>0</v>
      </c>
      <c r="G83" s="123"/>
      <c r="H83" s="123"/>
      <c r="I83" s="3">
        <f>IF(Main!$C$26="UGC",SUM(I82,CEILING(I82*3%,10)),W83)</f>
        <v>50560</v>
      </c>
      <c r="J83" s="3">
        <f t="shared" si="21"/>
        <v>51760</v>
      </c>
      <c r="K83" s="3">
        <f t="shared" si="21"/>
        <v>53060</v>
      </c>
      <c r="L83" s="3">
        <f t="shared" si="21"/>
        <v>54360</v>
      </c>
      <c r="O83" s="133">
        <f t="shared" si="25"/>
        <v>42461</v>
      </c>
      <c r="P83" s="130">
        <f>MIN(IF(AND(Main!AN38=4,$Q$12&gt;P82),$Q$12,IF(AND($O$16&gt;P82,$O$16&lt;MIN($Q$11,$S$11)),$O$16,$Q$9)),IF(AND($O$17&gt;P82,$O$17&lt;MIN($Q$11,$S$11)),$O$17,$Q$9),IF(AND($O$18&gt;P82,$O$18&lt;MIN($Q$11,$S$11)),$O$18,$Q$9),IF(AND($O$20&gt;P82,$O$20&gt;$Q$11),$O$20,$Q$9),IF(AND($O$21&gt;P82,$O$21&gt;$Q$11),$O$21,$Q$9),IF(AND($O$25&gt;P82,$O$25&gt;$S$11),$O$25,$Q$9),IF(AND($O$26&gt;P82,$O$26&gt;$S$11),$O$26,$Q$9),IF($Q$11&gt;P82,$Q$11,$Q$9),IF($Q$12&gt;P82,$Q$12,$Q$9),IF($S$11&gt;P82,$S$11,$Q$9),IF($S$12&gt;P82,$S$12,$Q$9),IF($Q$13&gt;P82,$Q$13,$Q$9),IF($S$13&gt;P82,$S$13,$Q$9))</f>
        <v>42461</v>
      </c>
      <c r="Q83" s="128">
        <f t="shared" si="26"/>
        <v>26300</v>
      </c>
      <c r="R83" s="128">
        <f t="shared" si="30"/>
        <v>1</v>
      </c>
      <c r="S83" s="151">
        <f>IF(AND(Main!$AN$10=5,P83=$U$12),$T$12,IF(OR(P83=$Q$11,P83=$S$11,$Q$12=P83),VLOOKUP(P83,$P$30:$S$41,4),MAX(IF(Main!$AN$10=4,VLOOKUP(S82,$W$2:$Y$7,R83),VLOOKUP(S82,$W$8:$Z$92,R83)),T83)))</f>
        <v>26300</v>
      </c>
      <c r="T83" s="124">
        <f t="shared" si="23"/>
        <v>0</v>
      </c>
      <c r="U83" s="123"/>
      <c r="V83" s="123"/>
      <c r="W83" s="3">
        <v>50560</v>
      </c>
      <c r="X83" s="3">
        <v>51760</v>
      </c>
      <c r="Y83" s="3">
        <v>53060</v>
      </c>
      <c r="Z83" s="3">
        <v>54360</v>
      </c>
      <c r="AM83" s="133"/>
      <c r="AN83" s="130"/>
      <c r="AO83" s="128"/>
      <c r="AP83" s="128"/>
      <c r="AQ83" s="151"/>
      <c r="AR83" s="124"/>
      <c r="AS83" s="123"/>
      <c r="AT83" s="123"/>
      <c r="AU83" s="3"/>
      <c r="AV83" s="3"/>
      <c r="AW83" s="3"/>
      <c r="AX83" s="3"/>
    </row>
    <row r="84" spans="1:50" ht="21.95" customHeight="1">
      <c r="A84" s="133">
        <f t="shared" si="27"/>
        <v>42461</v>
      </c>
      <c r="B84" s="130">
        <f>MIN(IF(AND(Main!AN39=4,$C$12&gt;B83),$C$12,IF(AND($A$16&gt;B83,$A$16&lt;MIN($C$11,$E$11)),$A$16,$C$9)),IF(AND($A$17&gt;B83,$A$17&lt;MIN($C$11,$E$11)),$A$17,$C$9),IF(AND($A$18&gt;B83,$A$18&lt;MIN($C$11,$E$11)),$A$18,$C$9),IF(AND($A$20&gt;B83,$A$20&gt;$C$11),$A$20,$C$9),IF(AND($A$21&gt;B83,$A$21&gt;$C$11),$A$21,$C$9),IF(AND($A$25&gt;B83,$A$25&gt;$E$11),$A$25,$C$9),IF(AND($A$26&gt;B83,$A$26&gt;$E$11),$A$26,$C$9),IF($C$11&gt;B83,$C$11,$C$9),IF($C$12&gt;B83,$C$12,$C$9),IF($E$11&gt;B83,$E$11,$C$9),IF($E$12&gt;B83,$E$12,$C$9),IF($C$13&gt;B83,$C$13,$C$9),IF($E$13&gt;B83,$E$13,$C$9))</f>
        <v>42461</v>
      </c>
      <c r="C84" s="128">
        <f t="shared" si="28"/>
        <v>26300</v>
      </c>
      <c r="D84" s="128">
        <f t="shared" si="24"/>
        <v>1</v>
      </c>
      <c r="E84" s="151">
        <f>IF(AND(Main!AN39=5,B84=$G$12),$F$12,IF(OR(B84=$C$11,B84=$E$11,$C$12=B84),VLOOKUP(B84,$B$30:$E$41,4),MAX(IF(Main!$AN$10=4,VLOOKUP(E83,$I$2:$K$7,D84),VLOOKUP(E83,$I$8:$L$92,D84)),F84)))</f>
        <v>26300</v>
      </c>
      <c r="F84" s="124">
        <f t="shared" si="29"/>
        <v>0</v>
      </c>
      <c r="G84" s="123"/>
      <c r="H84" s="123"/>
      <c r="I84" s="3">
        <f>IF(Main!$C$26="UGC",SUM(I83,CEILING(I83*3%,10)),W84)</f>
        <v>51760</v>
      </c>
      <c r="J84" s="3">
        <f t="shared" si="21"/>
        <v>53060</v>
      </c>
      <c r="K84" s="3">
        <f t="shared" si="21"/>
        <v>54360</v>
      </c>
      <c r="L84" s="3">
        <f t="shared" si="21"/>
        <v>55660</v>
      </c>
      <c r="O84" s="133">
        <f t="shared" si="25"/>
        <v>42461</v>
      </c>
      <c r="P84" s="130">
        <f>MIN(IF(AND(Main!AN39=4,$Q$12&gt;P83),$Q$12,IF(AND($O$16&gt;P83,$O$16&lt;MIN($Q$11,$S$11)),$O$16,$Q$9)),IF(AND($O$17&gt;P83,$O$17&lt;MIN($Q$11,$S$11)),$O$17,$Q$9),IF(AND($O$18&gt;P83,$O$18&lt;MIN($Q$11,$S$11)),$O$18,$Q$9),IF(AND($O$20&gt;P83,$O$20&gt;$Q$11),$O$20,$Q$9),IF(AND($O$21&gt;P83,$O$21&gt;$Q$11),$O$21,$Q$9),IF(AND($O$25&gt;P83,$O$25&gt;$S$11),$O$25,$Q$9),IF(AND($O$26&gt;P83,$O$26&gt;$S$11),$O$26,$Q$9),IF($Q$11&gt;P83,$Q$11,$Q$9),IF($Q$12&gt;P83,$Q$12,$Q$9),IF($S$11&gt;P83,$S$11,$Q$9),IF($S$12&gt;P83,$S$12,$Q$9),IF($Q$13&gt;P83,$Q$13,$Q$9),IF($S$13&gt;P83,$S$13,$Q$9))</f>
        <v>42461</v>
      </c>
      <c r="Q84" s="128">
        <f t="shared" si="26"/>
        <v>26300</v>
      </c>
      <c r="R84" s="128">
        <f t="shared" si="30"/>
        <v>1</v>
      </c>
      <c r="S84" s="151">
        <f>IF(AND(Main!$AN$10=5,P84=$U$12),$T$12,IF(OR(P84=$Q$11,P84=$S$11,$Q$12=P84),VLOOKUP(P84,$P$30:$S$41,4),MAX(IF(Main!$AN$10=4,VLOOKUP(S83,$W$2:$Y$7,R84),VLOOKUP(S83,$W$8:$Z$92,R84)),T84)))</f>
        <v>26300</v>
      </c>
      <c r="T84" s="124">
        <f t="shared" si="23"/>
        <v>0</v>
      </c>
      <c r="U84" s="123"/>
      <c r="V84" s="123"/>
      <c r="W84" s="3">
        <v>51760</v>
      </c>
      <c r="X84" s="3">
        <v>53060</v>
      </c>
      <c r="Y84" s="3">
        <v>54360</v>
      </c>
      <c r="Z84" s="3">
        <v>55660</v>
      </c>
      <c r="AM84" s="133"/>
      <c r="AN84" s="130"/>
      <c r="AO84" s="128"/>
      <c r="AP84" s="128"/>
      <c r="AQ84" s="151"/>
      <c r="AR84" s="124"/>
      <c r="AS84" s="123"/>
      <c r="AT84" s="123"/>
      <c r="AU84" s="3"/>
      <c r="AV84" s="3"/>
      <c r="AW84" s="3"/>
      <c r="AX84" s="3"/>
    </row>
    <row r="85" spans="1:50" ht="21.95" customHeight="1">
      <c r="A85" s="133">
        <f t="shared" si="27"/>
        <v>42461</v>
      </c>
      <c r="B85" s="130">
        <f>MIN(IF(AND(Main!AN40=4,$C$12&gt;B84),$C$12,IF(AND($A$16&gt;B84,$A$16&lt;MIN($C$11,$E$11)),$A$16,$C$9)),IF(AND($A$17&gt;B84,$A$17&lt;MIN($C$11,$E$11)),$A$17,$C$9),IF(AND($A$18&gt;B84,$A$18&lt;MIN($C$11,$E$11)),$A$18,$C$9),IF(AND($A$20&gt;B84,$A$20&gt;$C$11),$A$20,$C$9),IF(AND($A$21&gt;B84,$A$21&gt;$C$11),$A$21,$C$9),IF(AND($A$25&gt;B84,$A$25&gt;$E$11),$A$25,$C$9),IF(AND($A$26&gt;B84,$A$26&gt;$E$11),$A$26,$C$9),IF($C$11&gt;B84,$C$11,$C$9),IF($C$12&gt;B84,$C$12,$C$9),IF($E$11&gt;B84,$E$11,$C$9),IF($E$12&gt;B84,$E$12,$C$9),IF($C$13&gt;B84,$C$13,$C$9),IF($E$13&gt;B84,$E$13,$C$9))</f>
        <v>42461</v>
      </c>
      <c r="C85" s="128">
        <f t="shared" si="28"/>
        <v>26300</v>
      </c>
      <c r="D85" s="128">
        <f t="shared" si="24"/>
        <v>1</v>
      </c>
      <c r="E85" s="151">
        <f>IF(AND(Main!AN40=5,B85=$G$12),$F$12,IF(OR(B85=$C$11,B85=$E$11,$C$12=B85),VLOOKUP(B85,$B$30:$E$41,4),MAX(IF(Main!$AN$10=4,VLOOKUP(E84,$I$2:$K$7,D85),VLOOKUP(E84,$I$8:$L$92,D85)),F85)))</f>
        <v>26300</v>
      </c>
      <c r="F85" s="124">
        <f t="shared" si="29"/>
        <v>0</v>
      </c>
      <c r="G85" s="123"/>
      <c r="H85" s="123"/>
      <c r="I85" s="3">
        <f>IF(Main!$C$26="UGC",SUM(I84,CEILING(I84*3%,10)),W85)</f>
        <v>53060</v>
      </c>
      <c r="J85" s="3">
        <f t="shared" si="21"/>
        <v>54360</v>
      </c>
      <c r="K85" s="3">
        <f t="shared" si="21"/>
        <v>55660</v>
      </c>
      <c r="L85" s="3">
        <f t="shared" si="21"/>
        <v>56960</v>
      </c>
      <c r="O85" s="133">
        <f t="shared" si="25"/>
        <v>42461</v>
      </c>
      <c r="P85" s="130">
        <f>MIN(IF(AND(Main!AN40=4,$Q$12&gt;P84),$Q$12,IF(AND($O$16&gt;P84,$O$16&lt;MIN($Q$11,$S$11)),$O$16,$Q$9)),IF(AND($O$17&gt;P84,$O$17&lt;MIN($Q$11,$S$11)),$O$17,$Q$9),IF(AND($O$18&gt;P84,$O$18&lt;MIN($Q$11,$S$11)),$O$18,$Q$9),IF(AND($O$20&gt;P84,$O$20&gt;$Q$11),$O$20,$Q$9),IF(AND($O$21&gt;P84,$O$21&gt;$Q$11),$O$21,$Q$9),IF(AND($O$25&gt;P84,$O$25&gt;$S$11),$O$25,$Q$9),IF(AND($O$26&gt;P84,$O$26&gt;$S$11),$O$26,$Q$9),IF($Q$11&gt;P84,$Q$11,$Q$9),IF($Q$12&gt;P84,$Q$12,$Q$9),IF($S$11&gt;P84,$S$11,$Q$9),IF($S$12&gt;P84,$S$12,$Q$9),IF($Q$13&gt;P84,$Q$13,$Q$9),IF($S$13&gt;P84,$S$13,$Q$9))</f>
        <v>42461</v>
      </c>
      <c r="Q85" s="128">
        <f t="shared" si="26"/>
        <v>26300</v>
      </c>
      <c r="R85" s="128">
        <f t="shared" si="30"/>
        <v>1</v>
      </c>
      <c r="S85" s="151">
        <f>IF(AND(Main!$AN$10=5,P85=$U$12),$T$12,IF(OR(P85=$Q$11,P85=$S$11,$Q$12=P85),VLOOKUP(P85,$P$30:$S$41,4),MAX(IF(Main!$AN$10=4,VLOOKUP(S84,$W$2:$Y$7,R85),VLOOKUP(S84,$W$8:$Z$92,R85)),T85)))</f>
        <v>26300</v>
      </c>
      <c r="T85" s="124">
        <f t="shared" si="23"/>
        <v>0</v>
      </c>
      <c r="U85" s="123"/>
      <c r="V85" s="123"/>
      <c r="W85" s="3">
        <v>53060</v>
      </c>
      <c r="X85" s="3">
        <v>54360</v>
      </c>
      <c r="Y85" s="3">
        <v>55660</v>
      </c>
      <c r="Z85" s="3">
        <v>56960</v>
      </c>
      <c r="AM85" s="133"/>
      <c r="AN85" s="130"/>
      <c r="AO85" s="128"/>
      <c r="AP85" s="128"/>
      <c r="AQ85" s="151"/>
      <c r="AR85" s="124"/>
      <c r="AS85" s="123"/>
      <c r="AT85" s="123"/>
      <c r="AU85" s="3"/>
      <c r="AV85" s="3"/>
      <c r="AW85" s="3"/>
      <c r="AX85" s="3"/>
    </row>
    <row r="86" spans="1:50" ht="21.95" customHeight="1">
      <c r="A86" s="133">
        <f t="shared" si="27"/>
        <v>42461</v>
      </c>
      <c r="B86" s="130">
        <f>MIN(IF(AND(Main!AN41=4,$C$12&gt;B85),$C$12,IF(AND($A$16&gt;B85,$A$16&lt;MIN($C$11,$E$11)),$A$16,$C$9)),IF(AND($A$17&gt;B85,$A$17&lt;MIN($C$11,$E$11)),$A$17,$C$9),IF(AND($A$18&gt;B85,$A$18&lt;MIN($C$11,$E$11)),$A$18,$C$9),IF(AND($A$20&gt;B85,$A$20&gt;$C$11),$A$20,$C$9),IF(AND($A$21&gt;B85,$A$21&gt;$C$11),$A$21,$C$9),IF(AND($A$25&gt;B85,$A$25&gt;$E$11),$A$25,$C$9),IF(AND($A$26&gt;B85,$A$26&gt;$E$11),$A$26,$C$9),IF($C$11&gt;B85,$C$11,$C$9),IF($C$12&gt;B85,$C$12,$C$9),IF($E$11&gt;B85,$E$11,$C$9),IF($E$12&gt;B85,$E$12,$C$9),IF($C$13&gt;B85,$C$13,$C$9),IF($E$13&gt;B85,$E$13,$C$9))</f>
        <v>42461</v>
      </c>
      <c r="C86" s="128">
        <f t="shared" si="28"/>
        <v>26300</v>
      </c>
      <c r="D86" s="128">
        <f t="shared" si="24"/>
        <v>1</v>
      </c>
      <c r="E86" s="151">
        <f>IF(AND(Main!AN41=5,B86=$G$12),$F$12,IF(OR(B86=$C$11,B86=$E$11,$C$12=B86),VLOOKUP(B86,$B$30:$E$41,4),MAX(IF(Main!$AN$10=4,VLOOKUP(E85,$I$2:$K$7,D86),VLOOKUP(E85,$I$8:$L$92,D86)),F86)))</f>
        <v>26300</v>
      </c>
      <c r="F86" s="124">
        <f t="shared" si="29"/>
        <v>0</v>
      </c>
      <c r="G86" s="123"/>
      <c r="H86" s="123"/>
      <c r="I86" s="3">
        <f>IF(Main!$C$26="UGC",SUM(I85,CEILING(I85*3%,10)),W86)</f>
        <v>54360</v>
      </c>
      <c r="J86" s="3">
        <f t="shared" si="21"/>
        <v>55660</v>
      </c>
      <c r="K86" s="3">
        <f t="shared" si="21"/>
        <v>56960</v>
      </c>
      <c r="L86" s="3">
        <f t="shared" si="21"/>
        <v>58260</v>
      </c>
      <c r="O86" s="133">
        <f t="shared" si="25"/>
        <v>42461</v>
      </c>
      <c r="P86" s="130">
        <f>MIN(IF(AND(Main!AN41=4,$Q$12&gt;P85),$Q$12,IF(AND($O$16&gt;P85,$O$16&lt;MIN($Q$11,$S$11)),$O$16,$Q$9)),IF(AND($O$17&gt;P85,$O$17&lt;MIN($Q$11,$S$11)),$O$17,$Q$9),IF(AND($O$18&gt;P85,$O$18&lt;MIN($Q$11,$S$11)),$O$18,$Q$9),IF(AND($O$20&gt;P85,$O$20&gt;$Q$11),$O$20,$Q$9),IF(AND($O$21&gt;P85,$O$21&gt;$Q$11),$O$21,$Q$9),IF(AND($O$25&gt;P85,$O$25&gt;$S$11),$O$25,$Q$9),IF(AND($O$26&gt;P85,$O$26&gt;$S$11),$O$26,$Q$9),IF($Q$11&gt;P85,$Q$11,$Q$9),IF($Q$12&gt;P85,$Q$12,$Q$9),IF($S$11&gt;P85,$S$11,$Q$9),IF($S$12&gt;P85,$S$12,$Q$9),IF($Q$13&gt;P85,$Q$13,$Q$9),IF($S$13&gt;P85,$S$13,$Q$9))</f>
        <v>42461</v>
      </c>
      <c r="Q86" s="128">
        <f t="shared" si="26"/>
        <v>26300</v>
      </c>
      <c r="R86" s="128">
        <f t="shared" si="30"/>
        <v>1</v>
      </c>
      <c r="S86" s="151">
        <f>IF(AND(Main!$AN$10=5,P86=$U$12),$T$12,IF(OR(P86=$Q$11,P86=$S$11,$Q$12=P86),VLOOKUP(P86,$P$30:$S$41,4),MAX(IF(Main!$AN$10=4,VLOOKUP(S85,$W$2:$Y$7,R86),VLOOKUP(S85,$W$8:$Z$92,R86)),T86)))</f>
        <v>26300</v>
      </c>
      <c r="T86" s="124">
        <f t="shared" si="23"/>
        <v>0</v>
      </c>
      <c r="U86" s="123"/>
      <c r="V86" s="123"/>
      <c r="W86" s="3">
        <v>54360</v>
      </c>
      <c r="X86" s="3">
        <v>55660</v>
      </c>
      <c r="Y86" s="3">
        <v>56960</v>
      </c>
      <c r="Z86" s="3">
        <v>58260</v>
      </c>
      <c r="AM86" s="133"/>
      <c r="AN86" s="130"/>
      <c r="AO86" s="128"/>
      <c r="AP86" s="128"/>
      <c r="AQ86" s="151"/>
      <c r="AR86" s="124"/>
      <c r="AS86" s="123"/>
      <c r="AT86" s="123"/>
      <c r="AU86" s="3"/>
      <c r="AV86" s="3"/>
      <c r="AW86" s="3"/>
      <c r="AX86" s="3"/>
    </row>
    <row r="87" spans="1:50" ht="21.95" customHeight="1">
      <c r="A87" s="133">
        <f t="shared" si="27"/>
        <v>42461</v>
      </c>
      <c r="B87" s="130">
        <f>MIN(IF(AND(Main!AN42=4,$C$12&gt;B86),$C$12,IF(AND($A$16&gt;B86,$A$16&lt;MIN($C$11,$E$11)),$A$16,$C$9)),IF(AND($A$17&gt;B86,$A$17&lt;MIN($C$11,$E$11)),$A$17,$C$9),IF(AND($A$18&gt;B86,$A$18&lt;MIN($C$11,$E$11)),$A$18,$C$9),IF(AND($A$20&gt;B86,$A$20&gt;$C$11),$A$20,$C$9),IF(AND($A$21&gt;B86,$A$21&gt;$C$11),$A$21,$C$9),IF(AND($A$25&gt;B86,$A$25&gt;$E$11),$A$25,$C$9),IF(AND($A$26&gt;B86,$A$26&gt;$E$11),$A$26,$C$9),IF($C$11&gt;B86,$C$11,$C$9),IF($C$12&gt;B86,$C$12,$C$9),IF($E$11&gt;B86,$E$11,$C$9),IF($E$12&gt;B86,$E$12,$C$9),IF($C$13&gt;B86,$C$13,$C$9),IF($E$13&gt;B86,$E$13,$C$9))</f>
        <v>42461</v>
      </c>
      <c r="C87" s="128">
        <f t="shared" si="28"/>
        <v>26300</v>
      </c>
      <c r="D87" s="128">
        <f t="shared" si="24"/>
        <v>1</v>
      </c>
      <c r="E87" s="151">
        <f>IF(AND(Main!AN42=5,B87=$G$12),$F$12,IF(OR(B87=$C$11,B87=$E$11,$C$12=B87),VLOOKUP(B87,$B$30:$E$41,4),MAX(IF(Main!$AN$10=4,VLOOKUP(E86,$I$2:$K$7,D87),VLOOKUP(E86,$I$8:$L$92,D87)),F87)))</f>
        <v>26300</v>
      </c>
      <c r="F87" s="124">
        <f t="shared" si="29"/>
        <v>0</v>
      </c>
      <c r="G87" s="123"/>
      <c r="H87" s="123"/>
      <c r="I87" s="3">
        <f>IF(Main!$C$26="UGC",SUM(I86,CEILING(I86*3%,10)),W87)</f>
        <v>55660</v>
      </c>
      <c r="J87" s="3">
        <f t="shared" si="21"/>
        <v>56960</v>
      </c>
      <c r="K87" s="3">
        <f t="shared" si="21"/>
        <v>58260</v>
      </c>
      <c r="L87" s="3">
        <f t="shared" si="21"/>
        <v>59560</v>
      </c>
      <c r="O87" s="133">
        <f t="shared" si="25"/>
        <v>42461</v>
      </c>
      <c r="P87" s="130">
        <f>MIN(IF(AND(Main!AN42=4,$Q$12&gt;P86),$Q$12,IF(AND($O$16&gt;P86,$O$16&lt;MIN($Q$11,$S$11)),$O$16,$Q$9)),IF(AND($O$17&gt;P86,$O$17&lt;MIN($Q$11,$S$11)),$O$17,$Q$9),IF(AND($O$18&gt;P86,$O$18&lt;MIN($Q$11,$S$11)),$O$18,$Q$9),IF(AND($O$20&gt;P86,$O$20&gt;$Q$11),$O$20,$Q$9),IF(AND($O$21&gt;P86,$O$21&gt;$Q$11),$O$21,$Q$9),IF(AND($O$25&gt;P86,$O$25&gt;$S$11),$O$25,$Q$9),IF(AND($O$26&gt;P86,$O$26&gt;$S$11),$O$26,$Q$9),IF($Q$11&gt;P86,$Q$11,$Q$9),IF($Q$12&gt;P86,$Q$12,$Q$9),IF($S$11&gt;P86,$S$11,$Q$9),IF($S$12&gt;P86,$S$12,$Q$9),IF($Q$13&gt;P86,$Q$13,$Q$9),IF($S$13&gt;P86,$S$13,$Q$9))</f>
        <v>42461</v>
      </c>
      <c r="Q87" s="128">
        <f t="shared" si="26"/>
        <v>26300</v>
      </c>
      <c r="R87" s="128">
        <f t="shared" si="30"/>
        <v>1</v>
      </c>
      <c r="S87" s="151">
        <f>IF(AND(Main!$AN$10=5,P87=$U$12),$T$12,IF(OR(P87=$Q$11,P87=$S$11,$Q$12=P87),VLOOKUP(P87,$P$30:$S$41,4),MAX(IF(Main!$AN$10=4,VLOOKUP(S86,$W$2:$Y$7,R87),VLOOKUP(S86,$W$8:$Z$92,R87)),T87)))</f>
        <v>26300</v>
      </c>
      <c r="T87" s="124">
        <f t="shared" si="23"/>
        <v>0</v>
      </c>
      <c r="U87" s="123"/>
      <c r="V87" s="123"/>
      <c r="W87" s="3">
        <v>55660</v>
      </c>
      <c r="X87" s="3">
        <v>56960</v>
      </c>
      <c r="Y87" s="3">
        <v>58260</v>
      </c>
      <c r="Z87" s="3">
        <v>59560</v>
      </c>
      <c r="AM87" s="133"/>
      <c r="AN87" s="130"/>
      <c r="AO87" s="128"/>
      <c r="AP87" s="128"/>
      <c r="AQ87" s="151"/>
      <c r="AR87" s="124"/>
      <c r="AS87" s="123"/>
      <c r="AT87" s="123"/>
      <c r="AU87" s="3"/>
      <c r="AV87" s="3"/>
      <c r="AW87" s="3"/>
      <c r="AX87" s="3"/>
    </row>
    <row r="88" spans="1:50" ht="21.95" customHeight="1">
      <c r="A88" s="133">
        <f t="shared" si="27"/>
        <v>42461</v>
      </c>
      <c r="B88" s="130">
        <f>MIN(IF(AND(Main!AN43=4,$C$12&gt;B87),$C$12,IF(AND($A$16&gt;B87,$A$16&lt;MIN($C$11,$E$11)),$A$16,$C$9)),IF(AND($A$17&gt;B87,$A$17&lt;MIN($C$11,$E$11)),$A$17,$C$9),IF(AND($A$18&gt;B87,$A$18&lt;MIN($C$11,$E$11)),$A$18,$C$9),IF(AND($A$20&gt;B87,$A$20&gt;$C$11),$A$20,$C$9),IF(AND($A$21&gt;B87,$A$21&gt;$C$11),$A$21,$C$9),IF(AND($A$25&gt;B87,$A$25&gt;$E$11),$A$25,$C$9),IF(AND($A$26&gt;B87,$A$26&gt;$E$11),$A$26,$C$9),IF($C$11&gt;B87,$C$11,$C$9),IF($C$12&gt;B87,$C$12,$C$9),IF($E$11&gt;B87,$E$11,$C$9),IF($E$12&gt;B87,$E$12,$C$9),IF($C$13&gt;B87,$C$13,$C$9),IF($E$13&gt;B87,$E$13,$C$9))</f>
        <v>42461</v>
      </c>
      <c r="C88" s="128">
        <f t="shared" si="28"/>
        <v>26300</v>
      </c>
      <c r="D88" s="128">
        <f t="shared" si="24"/>
        <v>1</v>
      </c>
      <c r="E88" s="151">
        <f>IF(AND(Main!AN43=5,B88=$G$12),$F$12,IF(OR(B88=$C$11,B88=$E$11,$C$12=B88),VLOOKUP(B88,$B$30:$E$41,4),MAX(IF(Main!$AN$10=4,VLOOKUP(E87,$I$2:$K$7,D88),VLOOKUP(E87,$I$8:$L$92,D88)),F88)))</f>
        <v>26300</v>
      </c>
      <c r="F88" s="124">
        <f t="shared" si="29"/>
        <v>0</v>
      </c>
      <c r="G88" s="123"/>
      <c r="H88" s="123"/>
      <c r="I88" s="3">
        <f>IF(Main!$C$26="UGC",SUM(I87,CEILING(I87*3%,10)),W88)</f>
        <v>56960</v>
      </c>
      <c r="J88" s="3">
        <f t="shared" ref="J88:L92" si="31">I89</f>
        <v>58260</v>
      </c>
      <c r="K88" s="3">
        <f t="shared" si="31"/>
        <v>59560</v>
      </c>
      <c r="L88" s="3">
        <f t="shared" si="31"/>
        <v>60860</v>
      </c>
      <c r="O88" s="133">
        <f t="shared" si="25"/>
        <v>42461</v>
      </c>
      <c r="P88" s="130">
        <f>MIN(IF(AND(Main!AN43=4,$Q$12&gt;P87),$Q$12,IF(AND($O$16&gt;P87,$O$16&lt;MIN($Q$11,$S$11)),$O$16,$Q$9)),IF(AND($O$17&gt;P87,$O$17&lt;MIN($Q$11,$S$11)),$O$17,$Q$9),IF(AND($O$18&gt;P87,$O$18&lt;MIN($Q$11,$S$11)),$O$18,$Q$9),IF(AND($O$20&gt;P87,$O$20&gt;$Q$11),$O$20,$Q$9),IF(AND($O$21&gt;P87,$O$21&gt;$Q$11),$O$21,$Q$9),IF(AND($O$25&gt;P87,$O$25&gt;$S$11),$O$25,$Q$9),IF(AND($O$26&gt;P87,$O$26&gt;$S$11),$O$26,$Q$9),IF($Q$11&gt;P87,$Q$11,$Q$9),IF($Q$12&gt;P87,$Q$12,$Q$9),IF($S$11&gt;P87,$S$11,$Q$9),IF($S$12&gt;P87,$S$12,$Q$9),IF($Q$13&gt;P87,$Q$13,$Q$9),IF($S$13&gt;P87,$S$13,$Q$9))</f>
        <v>42461</v>
      </c>
      <c r="Q88" s="128">
        <f t="shared" si="26"/>
        <v>26300</v>
      </c>
      <c r="R88" s="128">
        <f t="shared" si="30"/>
        <v>1</v>
      </c>
      <c r="S88" s="151">
        <f>IF(AND(Main!$AN$10=5,P88=$U$12),$T$12,IF(OR(P88=$Q$11,P88=$S$11,$Q$12=P88),VLOOKUP(P88,$P$30:$S$41,4),MAX(IF(Main!$AN$10=4,VLOOKUP(S87,$W$2:$Y$7,R88),VLOOKUP(S87,$W$8:$Z$92,R88)),T88)))</f>
        <v>26300</v>
      </c>
      <c r="T88" s="124">
        <f t="shared" si="23"/>
        <v>0</v>
      </c>
      <c r="U88" s="123"/>
      <c r="V88" s="123"/>
      <c r="W88" s="3">
        <v>56960</v>
      </c>
      <c r="X88" s="3">
        <v>58260</v>
      </c>
      <c r="Y88" s="3">
        <v>59560</v>
      </c>
      <c r="Z88" s="3">
        <v>60860</v>
      </c>
      <c r="AM88" s="133"/>
      <c r="AN88" s="130"/>
      <c r="AO88" s="128"/>
      <c r="AP88" s="128"/>
      <c r="AQ88" s="151"/>
      <c r="AR88" s="124"/>
      <c r="AS88" s="123"/>
      <c r="AT88" s="123"/>
      <c r="AU88" s="3"/>
      <c r="AV88" s="3"/>
      <c r="AW88" s="3"/>
      <c r="AX88" s="3"/>
    </row>
    <row r="89" spans="1:50" ht="21.95" customHeight="1">
      <c r="A89" s="133">
        <f t="shared" si="27"/>
        <v>42461</v>
      </c>
      <c r="B89" s="130">
        <f>MIN(IF(AND(Main!AN44=4,$C$12&gt;B88),$C$12,IF(AND($A$16&gt;B88,$A$16&lt;MIN($C$11,$E$11)),$A$16,$C$9)),IF(AND($A$17&gt;B88,$A$17&lt;MIN($C$11,$E$11)),$A$17,$C$9),IF(AND($A$18&gt;B88,$A$18&lt;MIN($C$11,$E$11)),$A$18,$C$9),IF(AND($A$20&gt;B88,$A$20&gt;$C$11),$A$20,$C$9),IF(AND($A$21&gt;B88,$A$21&gt;$C$11),$A$21,$C$9),IF(AND($A$25&gt;B88,$A$25&gt;$E$11),$A$25,$C$9),IF(AND($A$26&gt;B88,$A$26&gt;$E$11),$A$26,$C$9),IF($C$11&gt;B88,$C$11,$C$9),IF($C$12&gt;B88,$C$12,$C$9),IF($E$11&gt;B88,$E$11,$C$9),IF($E$12&gt;B88,$E$12,$C$9),IF($C$13&gt;B88,$C$13,$C$9),IF($E$13&gt;B88,$E$13,$C$9))</f>
        <v>42461</v>
      </c>
      <c r="C89" s="128">
        <f t="shared" si="28"/>
        <v>26300</v>
      </c>
      <c r="D89" s="128">
        <f t="shared" si="24"/>
        <v>1</v>
      </c>
      <c r="E89" s="151">
        <f>IF(AND(Main!AN44=5,B89=$G$12),$F$12,IF(OR(B89=$C$11,B89=$E$11,$C$12=B89),VLOOKUP(B89,$B$30:$E$41,4),MAX(IF(Main!$AN$10=4,VLOOKUP(E88,$I$2:$K$7,D89),VLOOKUP(E88,$I$8:$L$92,D89)),F89)))</f>
        <v>26300</v>
      </c>
      <c r="F89" s="124">
        <f t="shared" si="29"/>
        <v>0</v>
      </c>
      <c r="G89" s="123"/>
      <c r="H89" s="123"/>
      <c r="I89" s="3">
        <f>IF(Main!$C$26="UGC",SUM(I88,CEILING(I88*3%,10)),W89)</f>
        <v>58260</v>
      </c>
      <c r="J89" s="3">
        <f t="shared" si="31"/>
        <v>59560</v>
      </c>
      <c r="K89" s="3">
        <f t="shared" si="31"/>
        <v>60860</v>
      </c>
      <c r="L89" s="3">
        <f t="shared" si="31"/>
        <v>62160</v>
      </c>
      <c r="O89" s="133">
        <f t="shared" si="25"/>
        <v>42461</v>
      </c>
      <c r="P89" s="130">
        <f>MIN(IF(AND(Main!AN44=4,$Q$12&gt;P88),$Q$12,IF(AND($O$16&gt;P88,$O$16&lt;MIN($Q$11,$S$11)),$O$16,$Q$9)),IF(AND($O$17&gt;P88,$O$17&lt;MIN($Q$11,$S$11)),$O$17,$Q$9),IF(AND($O$18&gt;P88,$O$18&lt;MIN($Q$11,$S$11)),$O$18,$Q$9),IF(AND($O$20&gt;P88,$O$20&gt;$Q$11),$O$20,$Q$9),IF(AND($O$21&gt;P88,$O$21&gt;$Q$11),$O$21,$Q$9),IF(AND($O$25&gt;P88,$O$25&gt;$S$11),$O$25,$Q$9),IF(AND($O$26&gt;P88,$O$26&gt;$S$11),$O$26,$Q$9),IF($Q$11&gt;P88,$Q$11,$Q$9),IF($Q$12&gt;P88,$Q$12,$Q$9),IF($S$11&gt;P88,$S$11,$Q$9),IF($S$12&gt;P88,$S$12,$Q$9),IF($Q$13&gt;P88,$Q$13,$Q$9),IF($S$13&gt;P88,$S$13,$Q$9))</f>
        <v>42461</v>
      </c>
      <c r="Q89" s="128">
        <f t="shared" si="26"/>
        <v>26300</v>
      </c>
      <c r="R89" s="128">
        <f t="shared" si="30"/>
        <v>1</v>
      </c>
      <c r="S89" s="151">
        <f>IF(AND(Main!$AN$10=5,P89=$U$12),$T$12,IF(OR(P89=$Q$11,P89=$S$11,$Q$12=P89),VLOOKUP(P89,$P$30:$S$41,4),MAX(IF(Main!$AN$10=4,VLOOKUP(S88,$W$2:$Y$7,R89),VLOOKUP(S88,$W$8:$Z$92,R89)),T89)))</f>
        <v>26300</v>
      </c>
      <c r="T89" s="124">
        <f t="shared" si="23"/>
        <v>0</v>
      </c>
      <c r="U89" s="123"/>
      <c r="V89" s="123"/>
      <c r="W89" s="3">
        <v>58260</v>
      </c>
      <c r="X89" s="3">
        <v>59560</v>
      </c>
      <c r="Y89" s="3">
        <v>60860</v>
      </c>
      <c r="Z89" s="3">
        <v>62160</v>
      </c>
      <c r="AM89" s="133"/>
      <c r="AN89" s="130"/>
      <c r="AO89" s="128"/>
      <c r="AP89" s="128"/>
      <c r="AQ89" s="151"/>
      <c r="AR89" s="124"/>
      <c r="AS89" s="123"/>
      <c r="AT89" s="123"/>
      <c r="AU89" s="3"/>
      <c r="AV89" s="3"/>
      <c r="AW89" s="3"/>
      <c r="AX89" s="3"/>
    </row>
    <row r="90" spans="1:50" ht="21.95" customHeight="1">
      <c r="A90" s="123" t="s">
        <v>1527</v>
      </c>
      <c r="B90" s="130"/>
      <c r="C90" s="128"/>
      <c r="D90" s="128"/>
      <c r="E90" s="185"/>
      <c r="F90" s="124"/>
      <c r="G90" s="123"/>
      <c r="H90" s="123"/>
      <c r="I90" s="3">
        <f>IF(Main!$C$26="UGC",SUM(I89,CEILING(I89*3%,10)),W90)</f>
        <v>59560</v>
      </c>
      <c r="J90" s="3">
        <f t="shared" si="31"/>
        <v>60860</v>
      </c>
      <c r="K90" s="3">
        <f t="shared" si="31"/>
        <v>62160</v>
      </c>
      <c r="L90" s="3">
        <f t="shared" si="31"/>
        <v>0</v>
      </c>
      <c r="O90" s="123" t="s">
        <v>1527</v>
      </c>
      <c r="P90" s="130"/>
      <c r="Q90" s="128"/>
      <c r="R90" s="128"/>
      <c r="S90" s="185"/>
      <c r="T90" s="124"/>
      <c r="U90" s="123"/>
      <c r="V90" s="123"/>
      <c r="W90" s="3">
        <v>59560</v>
      </c>
      <c r="X90" s="3">
        <v>60860</v>
      </c>
      <c r="Y90" s="3">
        <v>62160</v>
      </c>
      <c r="Z90" s="123">
        <f>Z89</f>
        <v>62160</v>
      </c>
      <c r="AM90" s="123"/>
      <c r="AN90" s="130"/>
      <c r="AO90" s="128"/>
      <c r="AP90" s="128"/>
      <c r="AQ90" s="185"/>
      <c r="AR90" s="124"/>
      <c r="AS90" s="123"/>
      <c r="AT90" s="123"/>
      <c r="AU90" s="3"/>
      <c r="AV90" s="3"/>
      <c r="AW90" s="3"/>
      <c r="AX90" s="123"/>
    </row>
    <row r="91" spans="1:50" ht="21.95" customHeight="1">
      <c r="A91" s="155">
        <f>MIN(A16,A17,A20,A25,A26)</f>
        <v>42248</v>
      </c>
      <c r="B91" s="156">
        <f>IF(OR(Main!$AN$10=4,A91=$C$9),1,2)</f>
        <v>2</v>
      </c>
      <c r="D91" s="153">
        <f>Main!BL4</f>
        <v>42064</v>
      </c>
      <c r="E91" s="154">
        <f>VLOOKUP(D91,$B$70:$E$89,4)</f>
        <v>25600</v>
      </c>
      <c r="F91" s="123"/>
      <c r="G91" s="123"/>
      <c r="H91" s="123"/>
      <c r="I91" s="3">
        <f>IF(Main!$C$26="UGC",SUM(I90,CEILING(I90*3%,10)),W91)</f>
        <v>60860</v>
      </c>
      <c r="J91" s="3">
        <f t="shared" si="31"/>
        <v>62160</v>
      </c>
      <c r="K91" s="3">
        <f t="shared" si="31"/>
        <v>0</v>
      </c>
      <c r="L91" s="3">
        <f t="shared" si="31"/>
        <v>0</v>
      </c>
      <c r="O91" s="155">
        <f>MIN(O16,O17,O20,O25,O26)</f>
        <v>42248</v>
      </c>
      <c r="P91" s="156">
        <f>IF(OR(Main!$AN$10=4,O91=$Q$9),1,2)</f>
        <v>2</v>
      </c>
      <c r="R91" s="153">
        <f>R69</f>
        <v>42005</v>
      </c>
      <c r="S91" s="154">
        <f t="shared" ref="S91:S102" si="32">VLOOKUP(R91,$P$70:$S$89,4)</f>
        <v>25600</v>
      </c>
      <c r="T91" s="123"/>
      <c r="U91" s="123"/>
      <c r="V91" s="123"/>
      <c r="W91" s="3">
        <v>60860</v>
      </c>
      <c r="X91" s="3">
        <v>62160</v>
      </c>
      <c r="Y91" s="123">
        <f>Y90</f>
        <v>62160</v>
      </c>
      <c r="Z91" s="123">
        <f>Z90</f>
        <v>62160</v>
      </c>
      <c r="AM91" s="155"/>
      <c r="AN91" s="156"/>
      <c r="AP91" s="153"/>
      <c r="AQ91" s="154"/>
      <c r="AR91" s="123"/>
      <c r="AS91" s="123"/>
      <c r="AT91" s="123"/>
      <c r="AU91" s="3"/>
      <c r="AV91" s="3"/>
      <c r="AW91" s="123"/>
      <c r="AX91" s="123"/>
    </row>
    <row r="92" spans="1:50" ht="21.95" customHeight="1">
      <c r="A92" s="155">
        <f t="shared" ref="A92:A97" si="33">MIN(IF(AND($A$16&gt;A91,$A$16&lt;MIN($C$11,$E$11)),$A$16,$C$9),IF(AND($A$17&gt;A91,$A$17&lt;MIN($C$11,$E$11)),$A$17,$C$9),IF(AND($A$18&gt;A91,$A$18&lt;MIN($C$11,$E$11)),$A$18,$C$9),IF(AND($A$20&gt;A91,$A$20&gt;$C$11),$A$20,$C$9),IF(AND($A$21&gt;A91,$A$21&gt;$C$11),$A$21,$C$9),IF(AND($A$25&gt;A91,$A$25&gt;$E$11),$A$25,$C$9),IF(AND($A$26&gt;A91,$A$26&gt;$E$11),$A$26,$C$9))</f>
        <v>42461</v>
      </c>
      <c r="B92" s="156">
        <f>IF(OR(Main!$AN$10=4,A92=$C$9),1,2)</f>
        <v>1</v>
      </c>
      <c r="C92" s="174">
        <f>D91</f>
        <v>42064</v>
      </c>
      <c r="D92" s="153">
        <f>DATE(YEAR(D91),MONTH(D91)+1,1)</f>
        <v>42095</v>
      </c>
      <c r="E92" s="154">
        <f t="shared" ref="E92:E102" si="34">VLOOKUP(D92,$B$70:$E$89,4)</f>
        <v>25600</v>
      </c>
      <c r="F92" s="123"/>
      <c r="G92" s="123"/>
      <c r="H92" s="123"/>
      <c r="I92" s="3">
        <f>IF(Main!$C$26="UGC",SUM(I91,CEILING(I91*3%,10)),W92)</f>
        <v>62160</v>
      </c>
      <c r="J92" s="3">
        <f t="shared" si="31"/>
        <v>0</v>
      </c>
      <c r="K92" s="3">
        <f t="shared" si="31"/>
        <v>0</v>
      </c>
      <c r="L92" s="3">
        <f t="shared" si="31"/>
        <v>0</v>
      </c>
      <c r="O92" s="155">
        <f t="shared" ref="O92:O97" si="35">MIN(IF(AND($O$16&gt;O91,$O$16&lt;MIN($Q$11,$S$11)),$O$16,$Q$9),IF(AND($O$17&gt;O91,$O$17&lt;MIN($Q$11,$S$11)),$O$17,$Q$9),IF(AND($O$18&gt;O91,$O$18&lt;MIN($Q$11,$S$11)),$O$18,$Q$9),IF(AND($O$20&gt;O91,$O$20&gt;$Q$11),$O$20,$Q$9),IF(AND($O$21&gt;O91,$O$21&gt;$Q$11),$O$21,$Q$9),IF(AND($O$25&gt;O91,$O$25&gt;$S$11),$O$25,$Q$9),IF(AND($O$26&gt;O91,$O$26&gt;$S$11),$O$26,$Q$9))</f>
        <v>42461</v>
      </c>
      <c r="P92" s="156">
        <f>IF(OR(Main!$AN$10=4,O92=$Q$9),1,2)</f>
        <v>1</v>
      </c>
      <c r="Q92" s="174">
        <f t="shared" ref="Q92:Q102" si="36">R91</f>
        <v>42005</v>
      </c>
      <c r="R92" s="153">
        <f t="shared" ref="R92:R102" si="37">DATE(YEAR(R91),MONTH(R91)+1,1)</f>
        <v>42036</v>
      </c>
      <c r="S92" s="154">
        <f t="shared" si="32"/>
        <v>25600</v>
      </c>
      <c r="T92" s="123"/>
      <c r="U92" s="123"/>
      <c r="V92" s="123"/>
      <c r="W92" s="3">
        <v>62160</v>
      </c>
      <c r="X92" s="123">
        <f>X91</f>
        <v>62160</v>
      </c>
      <c r="Y92" s="123">
        <f>Y91</f>
        <v>62160</v>
      </c>
      <c r="Z92" s="123">
        <f>Z91</f>
        <v>62160</v>
      </c>
      <c r="AM92" s="155"/>
      <c r="AN92" s="156"/>
      <c r="AO92" s="174"/>
      <c r="AP92" s="153"/>
      <c r="AQ92" s="154"/>
      <c r="AR92" s="123"/>
      <c r="AS92" s="123"/>
      <c r="AT92" s="123"/>
      <c r="AU92" s="3"/>
      <c r="AV92" s="123"/>
      <c r="AW92" s="123"/>
      <c r="AX92" s="123"/>
    </row>
    <row r="93" spans="1:50" ht="21.95" customHeight="1">
      <c r="A93" s="155">
        <f t="shared" si="33"/>
        <v>42461</v>
      </c>
      <c r="B93" s="156">
        <f>IF(OR(Main!$AN$10=4,A93=$C$9),1,2)</f>
        <v>1</v>
      </c>
      <c r="C93" s="174">
        <f>D92</f>
        <v>42095</v>
      </c>
      <c r="D93" s="153">
        <f>DATE(YEAR(D92),MONTH(D92)+1,1)</f>
        <v>42125</v>
      </c>
      <c r="E93" s="154">
        <f t="shared" si="34"/>
        <v>25600</v>
      </c>
      <c r="F93" s="123"/>
      <c r="G93" s="123"/>
      <c r="H93" s="123"/>
      <c r="O93" s="155">
        <f t="shared" si="35"/>
        <v>42461</v>
      </c>
      <c r="P93" s="156">
        <f>IF(OR(Main!$AN$10=4,O93=$Q$9),1,2)</f>
        <v>1</v>
      </c>
      <c r="Q93" s="174">
        <f t="shared" si="36"/>
        <v>42036</v>
      </c>
      <c r="R93" s="153">
        <f t="shared" si="37"/>
        <v>42064</v>
      </c>
      <c r="S93" s="154">
        <f t="shared" si="32"/>
        <v>25600</v>
      </c>
      <c r="T93" s="123"/>
      <c r="U93" s="123"/>
      <c r="V93" s="123"/>
      <c r="AM93" s="155"/>
      <c r="AN93" s="156"/>
      <c r="AO93" s="174"/>
      <c r="AP93" s="153"/>
      <c r="AQ93" s="154"/>
      <c r="AR93" s="123"/>
      <c r="AS93" s="123"/>
      <c r="AT93" s="123"/>
    </row>
    <row r="94" spans="1:50" ht="21.95" customHeight="1">
      <c r="A94" s="155">
        <f t="shared" si="33"/>
        <v>42461</v>
      </c>
      <c r="B94" s="156">
        <f>IF(OR(Main!$AN$10=4,A94=$C$9),1,2)</f>
        <v>1</v>
      </c>
      <c r="C94" s="174">
        <f t="shared" ref="C94:C101" si="38">D93</f>
        <v>42125</v>
      </c>
      <c r="D94" s="153">
        <f>DATE(YEAR(D93),MONTH(D93)+1,1)</f>
        <v>42156</v>
      </c>
      <c r="E94" s="154">
        <f t="shared" si="34"/>
        <v>25600</v>
      </c>
      <c r="F94" s="123"/>
      <c r="G94" s="123"/>
      <c r="H94" s="123"/>
      <c r="O94" s="155">
        <f t="shared" si="35"/>
        <v>42461</v>
      </c>
      <c r="P94" s="156">
        <f>IF(OR(Main!$AN$10=4,O94=$Q$9),1,2)</f>
        <v>1</v>
      </c>
      <c r="Q94" s="174">
        <f t="shared" si="36"/>
        <v>42064</v>
      </c>
      <c r="R94" s="153">
        <f t="shared" si="37"/>
        <v>42095</v>
      </c>
      <c r="S94" s="154">
        <f t="shared" si="32"/>
        <v>25600</v>
      </c>
      <c r="T94" s="123"/>
      <c r="U94" s="123"/>
      <c r="V94" s="123"/>
      <c r="AM94" s="155"/>
      <c r="AN94" s="156"/>
      <c r="AO94" s="174"/>
      <c r="AP94" s="153"/>
      <c r="AQ94" s="154"/>
      <c r="AR94" s="123"/>
      <c r="AS94" s="123"/>
      <c r="AT94" s="123"/>
    </row>
    <row r="95" spans="1:50" ht="21.95" customHeight="1">
      <c r="A95" s="155">
        <f t="shared" si="33"/>
        <v>42461</v>
      </c>
      <c r="B95" s="156">
        <f>IF(OR(Main!$AN$10=4,A95=$C$9),1,2)</f>
        <v>1</v>
      </c>
      <c r="C95" s="174">
        <f t="shared" si="38"/>
        <v>42156</v>
      </c>
      <c r="D95" s="153">
        <f t="shared" ref="D95:D102" si="39">DATE(YEAR(D94),MONTH(D94)+1,1)</f>
        <v>42186</v>
      </c>
      <c r="E95" s="154">
        <f t="shared" si="34"/>
        <v>25600</v>
      </c>
      <c r="F95" s="123"/>
      <c r="G95" s="123"/>
      <c r="H95" s="123"/>
      <c r="O95" s="155">
        <f t="shared" si="35"/>
        <v>42461</v>
      </c>
      <c r="P95" s="156">
        <f>IF(OR(Main!$AN$10=4,O95=$Q$9),1,2)</f>
        <v>1</v>
      </c>
      <c r="Q95" s="174">
        <f t="shared" si="36"/>
        <v>42095</v>
      </c>
      <c r="R95" s="153">
        <f t="shared" si="37"/>
        <v>42125</v>
      </c>
      <c r="S95" s="154">
        <f t="shared" si="32"/>
        <v>25600</v>
      </c>
      <c r="T95" s="123"/>
      <c r="U95" s="123"/>
      <c r="V95" s="123"/>
      <c r="AM95" s="155"/>
      <c r="AN95" s="156"/>
      <c r="AO95" s="174"/>
      <c r="AP95" s="153"/>
      <c r="AQ95" s="154"/>
      <c r="AR95" s="123"/>
      <c r="AS95" s="123"/>
      <c r="AT95" s="123"/>
    </row>
    <row r="96" spans="1:50" ht="21.95" customHeight="1">
      <c r="A96" s="155">
        <f t="shared" si="33"/>
        <v>42461</v>
      </c>
      <c r="B96" s="156">
        <f>IF(OR(Main!$AN$10=4,A96=$C$9),1,2)</f>
        <v>1</v>
      </c>
      <c r="C96" s="174">
        <f t="shared" si="38"/>
        <v>42186</v>
      </c>
      <c r="D96" s="153">
        <f t="shared" si="39"/>
        <v>42217</v>
      </c>
      <c r="E96" s="154">
        <f t="shared" si="34"/>
        <v>25600</v>
      </c>
      <c r="F96" s="123"/>
      <c r="G96" s="123"/>
      <c r="H96" s="123"/>
      <c r="O96" s="155">
        <f t="shared" si="35"/>
        <v>42461</v>
      </c>
      <c r="P96" s="156">
        <f>IF(OR(Main!$AN$10=4,O96=$Q$9),1,2)</f>
        <v>1</v>
      </c>
      <c r="Q96" s="174">
        <f t="shared" si="36"/>
        <v>42125</v>
      </c>
      <c r="R96" s="153">
        <f t="shared" si="37"/>
        <v>42156</v>
      </c>
      <c r="S96" s="154">
        <f t="shared" si="32"/>
        <v>25600</v>
      </c>
      <c r="T96" s="123"/>
      <c r="U96" s="123"/>
      <c r="V96" s="123"/>
      <c r="AM96" s="155"/>
      <c r="AN96" s="156"/>
      <c r="AO96" s="174"/>
      <c r="AP96" s="153"/>
      <c r="AQ96" s="154"/>
      <c r="AR96" s="123"/>
      <c r="AS96" s="123"/>
      <c r="AT96" s="123"/>
    </row>
    <row r="97" spans="1:46" ht="21.95" customHeight="1">
      <c r="A97" s="155">
        <f t="shared" si="33"/>
        <v>42461</v>
      </c>
      <c r="B97" s="156">
        <f>IF(OR(Main!$AN$10=4,A97=$C$9),1,2)</f>
        <v>1</v>
      </c>
      <c r="C97" s="174">
        <f t="shared" si="38"/>
        <v>42217</v>
      </c>
      <c r="D97" s="153">
        <f t="shared" si="39"/>
        <v>42248</v>
      </c>
      <c r="E97" s="154">
        <f t="shared" si="34"/>
        <v>26300</v>
      </c>
      <c r="F97" s="123"/>
      <c r="G97" s="123"/>
      <c r="H97" s="123"/>
      <c r="O97" s="155">
        <f t="shared" si="35"/>
        <v>42461</v>
      </c>
      <c r="P97" s="156">
        <f>IF(OR(Main!$AN$10=4,O97=$Q$9),1,2)</f>
        <v>1</v>
      </c>
      <c r="Q97" s="174">
        <f t="shared" si="36"/>
        <v>42156</v>
      </c>
      <c r="R97" s="153">
        <f t="shared" si="37"/>
        <v>42186</v>
      </c>
      <c r="S97" s="154">
        <f t="shared" si="32"/>
        <v>25600</v>
      </c>
      <c r="T97" s="123"/>
      <c r="U97" s="123"/>
      <c r="V97" s="123"/>
      <c r="AM97" s="155"/>
      <c r="AN97" s="156"/>
      <c r="AO97" s="174"/>
      <c r="AP97" s="153"/>
      <c r="AQ97" s="154"/>
      <c r="AR97" s="123"/>
      <c r="AS97" s="123"/>
      <c r="AT97" s="123"/>
    </row>
    <row r="98" spans="1:46" ht="21.95" customHeight="1">
      <c r="A98" s="123"/>
      <c r="C98" s="174">
        <f t="shared" si="38"/>
        <v>42248</v>
      </c>
      <c r="D98" s="153">
        <f t="shared" si="39"/>
        <v>42278</v>
      </c>
      <c r="E98" s="154">
        <f t="shared" si="34"/>
        <v>26300</v>
      </c>
      <c r="F98" s="123"/>
      <c r="G98" s="123"/>
      <c r="H98" s="123"/>
      <c r="O98" s="123"/>
      <c r="Q98" s="174">
        <f t="shared" si="36"/>
        <v>42186</v>
      </c>
      <c r="R98" s="153">
        <f t="shared" si="37"/>
        <v>42217</v>
      </c>
      <c r="S98" s="154">
        <f t="shared" si="32"/>
        <v>25600</v>
      </c>
      <c r="T98" s="123"/>
      <c r="U98" s="123"/>
      <c r="V98" s="123"/>
      <c r="AM98" s="123"/>
      <c r="AO98" s="174"/>
      <c r="AP98" s="153"/>
      <c r="AQ98" s="154"/>
      <c r="AR98" s="123"/>
      <c r="AS98" s="123"/>
      <c r="AT98" s="123"/>
    </row>
    <row r="99" spans="1:46" ht="21.95" customHeight="1">
      <c r="A99" s="123"/>
      <c r="C99" s="174">
        <f t="shared" si="38"/>
        <v>42278</v>
      </c>
      <c r="D99" s="153">
        <f t="shared" si="39"/>
        <v>42309</v>
      </c>
      <c r="E99" s="154">
        <f t="shared" si="34"/>
        <v>26300</v>
      </c>
      <c r="F99" s="123"/>
      <c r="G99" s="123"/>
      <c r="H99" s="123"/>
      <c r="O99" s="123"/>
      <c r="Q99" s="174">
        <f t="shared" si="36"/>
        <v>42217</v>
      </c>
      <c r="R99" s="153">
        <f t="shared" si="37"/>
        <v>42248</v>
      </c>
      <c r="S99" s="154">
        <f t="shared" si="32"/>
        <v>26300</v>
      </c>
      <c r="T99" s="123"/>
      <c r="U99" s="123"/>
      <c r="V99" s="123"/>
      <c r="AM99" s="123"/>
      <c r="AO99" s="174"/>
      <c r="AP99" s="153"/>
      <c r="AQ99" s="154"/>
      <c r="AR99" s="123"/>
      <c r="AS99" s="123"/>
      <c r="AT99" s="123"/>
    </row>
    <row r="100" spans="1:46" ht="21.95" customHeight="1">
      <c r="A100" s="123"/>
      <c r="C100" s="174">
        <f t="shared" si="38"/>
        <v>42309</v>
      </c>
      <c r="D100" s="153">
        <f t="shared" si="39"/>
        <v>42339</v>
      </c>
      <c r="E100" s="154">
        <f t="shared" si="34"/>
        <v>26300</v>
      </c>
      <c r="F100" s="123"/>
      <c r="G100" s="123"/>
      <c r="H100" s="123"/>
      <c r="O100" s="123"/>
      <c r="Q100" s="174">
        <f t="shared" si="36"/>
        <v>42248</v>
      </c>
      <c r="R100" s="153">
        <f t="shared" si="37"/>
        <v>42278</v>
      </c>
      <c r="S100" s="154">
        <f t="shared" si="32"/>
        <v>26300</v>
      </c>
      <c r="T100" s="123"/>
      <c r="U100" s="123"/>
      <c r="V100" s="123"/>
      <c r="AM100" s="123"/>
      <c r="AO100" s="174"/>
      <c r="AP100" s="153"/>
      <c r="AQ100" s="154"/>
      <c r="AR100" s="123"/>
      <c r="AS100" s="123"/>
      <c r="AT100" s="123"/>
    </row>
    <row r="101" spans="1:46" ht="21.95" customHeight="1">
      <c r="A101" s="123"/>
      <c r="C101" s="174">
        <f t="shared" si="38"/>
        <v>42339</v>
      </c>
      <c r="D101" s="153">
        <f t="shared" si="39"/>
        <v>42370</v>
      </c>
      <c r="E101" s="154">
        <f t="shared" si="34"/>
        <v>26300</v>
      </c>
      <c r="F101" s="123"/>
      <c r="G101" s="123"/>
      <c r="H101" s="123"/>
      <c r="O101" s="123"/>
      <c r="Q101" s="174">
        <f t="shared" si="36"/>
        <v>42278</v>
      </c>
      <c r="R101" s="153">
        <f t="shared" si="37"/>
        <v>42309</v>
      </c>
      <c r="S101" s="154">
        <f t="shared" si="32"/>
        <v>26300</v>
      </c>
      <c r="T101" s="123"/>
      <c r="U101" s="123"/>
      <c r="V101" s="123"/>
      <c r="AM101" s="123"/>
      <c r="AO101" s="174"/>
      <c r="AP101" s="153"/>
      <c r="AQ101" s="154"/>
      <c r="AR101" s="123"/>
      <c r="AS101" s="123"/>
      <c r="AT101" s="123"/>
    </row>
    <row r="102" spans="1:46" ht="21.95" customHeight="1">
      <c r="A102" s="123"/>
      <c r="C102" s="174">
        <f>D101</f>
        <v>42370</v>
      </c>
      <c r="D102" s="153">
        <f t="shared" si="39"/>
        <v>42401</v>
      </c>
      <c r="E102" s="154">
        <f t="shared" si="34"/>
        <v>26300</v>
      </c>
      <c r="F102" s="123"/>
      <c r="G102" s="123"/>
      <c r="H102" s="123"/>
      <c r="O102" s="123"/>
      <c r="Q102" s="174">
        <f t="shared" si="36"/>
        <v>42309</v>
      </c>
      <c r="R102" s="153">
        <f t="shared" si="37"/>
        <v>42339</v>
      </c>
      <c r="S102" s="154">
        <f t="shared" si="32"/>
        <v>26300</v>
      </c>
      <c r="T102" s="123"/>
      <c r="U102" s="123"/>
      <c r="V102" s="123"/>
      <c r="AM102" s="123"/>
      <c r="AO102" s="174"/>
      <c r="AP102" s="153"/>
      <c r="AQ102" s="154"/>
      <c r="AR102" s="123"/>
      <c r="AS102" s="123"/>
      <c r="AT102" s="123"/>
    </row>
    <row r="103" spans="1:46" ht="21.95" customHeight="1">
      <c r="A103" s="123"/>
      <c r="B103" s="1132" t="s">
        <v>1552</v>
      </c>
      <c r="C103" s="1132"/>
      <c r="D103" s="123"/>
      <c r="E103" s="123"/>
      <c r="F103" s="123"/>
      <c r="G103" s="123"/>
      <c r="H103" s="123"/>
      <c r="Q103" s="34">
        <v>1</v>
      </c>
      <c r="R103" s="34">
        <v>2</v>
      </c>
      <c r="S103" s="34">
        <v>3</v>
      </c>
      <c r="T103" s="34">
        <v>4</v>
      </c>
      <c r="W103" s="157"/>
      <c r="AM103" s="123"/>
      <c r="AN103" s="1132"/>
      <c r="AO103" s="1132"/>
      <c r="AP103" s="123"/>
      <c r="AQ103" s="123"/>
      <c r="AR103" s="123"/>
      <c r="AS103" s="123"/>
      <c r="AT103" s="123"/>
    </row>
    <row r="104" spans="1:46" ht="21.95" customHeight="1">
      <c r="A104" s="123"/>
      <c r="B104" s="149">
        <f>B70</f>
        <v>42005</v>
      </c>
      <c r="C104" s="175">
        <f>B71</f>
        <v>42248</v>
      </c>
      <c r="D104" s="123"/>
      <c r="E104" s="123"/>
      <c r="F104" s="123"/>
      <c r="G104" s="123"/>
      <c r="H104" s="123"/>
      <c r="Q104" s="1133" t="s">
        <v>1558</v>
      </c>
      <c r="R104" s="1133"/>
      <c r="S104" s="1133" t="s">
        <v>1593</v>
      </c>
      <c r="T104" s="1134"/>
      <c r="X104" s="157" t="s">
        <v>1915</v>
      </c>
      <c r="AM104" s="123"/>
      <c r="AN104" s="149"/>
      <c r="AO104" s="175"/>
      <c r="AP104" s="123"/>
      <c r="AQ104" s="123"/>
      <c r="AR104" s="123"/>
      <c r="AS104" s="123"/>
      <c r="AT104" s="123"/>
    </row>
    <row r="105" spans="1:46" ht="21.95" customHeight="1">
      <c r="A105" s="123"/>
      <c r="B105" s="149">
        <f t="shared" ref="B105:B113" si="40">B71</f>
        <v>42248</v>
      </c>
      <c r="C105" s="175">
        <f t="shared" ref="C105:C114" si="41">B72</f>
        <v>42461</v>
      </c>
      <c r="D105" s="123"/>
      <c r="E105" s="123"/>
      <c r="F105" s="123"/>
      <c r="G105" s="123"/>
      <c r="H105" s="123"/>
      <c r="P105" s="725" t="s">
        <v>34</v>
      </c>
      <c r="Q105" s="725">
        <v>1</v>
      </c>
      <c r="R105" s="725">
        <v>2</v>
      </c>
      <c r="S105" s="726">
        <v>1</v>
      </c>
      <c r="T105" s="726">
        <v>2</v>
      </c>
      <c r="U105" s="34" t="s">
        <v>1594</v>
      </c>
      <c r="V105" s="34" t="s">
        <v>1595</v>
      </c>
      <c r="W105" s="34" t="s">
        <v>1596</v>
      </c>
      <c r="AM105" s="123"/>
      <c r="AN105" s="149"/>
      <c r="AO105" s="175"/>
      <c r="AP105" s="123"/>
      <c r="AQ105" s="123"/>
      <c r="AR105" s="123"/>
      <c r="AS105" s="123"/>
      <c r="AT105" s="123"/>
    </row>
    <row r="106" spans="1:46" ht="21.95" customHeight="1">
      <c r="A106" s="123"/>
      <c r="B106" s="149">
        <f t="shared" si="40"/>
        <v>42461</v>
      </c>
      <c r="C106" s="175">
        <f t="shared" si="41"/>
        <v>42461</v>
      </c>
      <c r="D106" s="123"/>
      <c r="E106" s="123"/>
      <c r="F106" s="123"/>
      <c r="G106" s="123"/>
      <c r="H106" s="123"/>
      <c r="P106" s="207">
        <f>MIN(B19,P19,P22,R69)</f>
        <v>42005</v>
      </c>
      <c r="Q106" s="726">
        <f>VLOOKUP(P106,$B$30:$E$41,4)</f>
        <v>25600</v>
      </c>
      <c r="R106" s="726">
        <f>VLOOKUP(P106,$P$30:$S$41,4)</f>
        <v>25600</v>
      </c>
      <c r="S106" s="208">
        <f>VLOOKUP(P106,$B$54:$E$65,4)</f>
        <v>25600</v>
      </c>
      <c r="T106" s="726">
        <f>VLOOKUP(P106,$P$54:$S$65,4)</f>
        <v>25600</v>
      </c>
      <c r="U106" s="34" t="b">
        <f>EXACT(Q106,R106)</f>
        <v>1</v>
      </c>
      <c r="V106" s="34" t="b">
        <f>EXACT(S106,T106)</f>
        <v>1</v>
      </c>
      <c r="W106" s="34" t="b">
        <f>EXACT(R106,S106)</f>
        <v>1</v>
      </c>
      <c r="AM106" s="123"/>
      <c r="AN106" s="149"/>
      <c r="AO106" s="175"/>
      <c r="AP106" s="123"/>
      <c r="AQ106" s="123"/>
      <c r="AR106" s="123"/>
      <c r="AS106" s="123"/>
      <c r="AT106" s="123"/>
    </row>
    <row r="107" spans="1:46" ht="21.95" customHeight="1">
      <c r="A107" s="123"/>
      <c r="B107" s="149">
        <f t="shared" si="40"/>
        <v>42461</v>
      </c>
      <c r="C107" s="175">
        <f t="shared" si="41"/>
        <v>42461</v>
      </c>
      <c r="D107" s="123"/>
      <c r="E107" s="123"/>
      <c r="F107" s="123"/>
      <c r="G107" s="123"/>
      <c r="H107" s="123"/>
      <c r="P107" s="207">
        <f>MIN(IF($B$19&gt;P106,$B$19,$C$9),IF($P$19&gt;P106,$P$19,$C$9),IF($B$24&gt;P106,$B$24,$C$9),IF($P$24&gt;P106,$P$24,$C$9),IF($B$23&gt;P106,$B$23,$C$9),IF($P$23&gt;P106,$P$23,$C$9),IF($P$9&gt;P106,$P$9,$Q$9),DATE(YEAR(P106),MONTH(P106)+1,1))</f>
        <v>42036</v>
      </c>
      <c r="Q107" s="726">
        <f t="shared" ref="Q107:Q144" si="42">VLOOKUP(P107,$B$30:$E$41,4)</f>
        <v>25600</v>
      </c>
      <c r="R107" s="726">
        <f t="shared" ref="R107:R144" si="43">VLOOKUP(P107,$P$30:$S$41,4)</f>
        <v>25600</v>
      </c>
      <c r="S107" s="208">
        <f t="shared" ref="S107:S144" si="44">VLOOKUP(P107,$B$54:$E$65,4)</f>
        <v>25600</v>
      </c>
      <c r="T107" s="726">
        <f t="shared" ref="T107:T144" si="45">VLOOKUP(P107,$P$54:$S$65,4)</f>
        <v>25600</v>
      </c>
      <c r="U107" s="34" t="b">
        <f t="shared" ref="U107:U144" si="46">EXACT(Q107,R107)</f>
        <v>1</v>
      </c>
      <c r="V107" s="34" t="b">
        <f t="shared" ref="V107:V144" si="47">EXACT(S107,T107)</f>
        <v>1</v>
      </c>
      <c r="W107" s="34" t="b">
        <f t="shared" ref="W107:W144" si="48">EXACT(R107,S107)</f>
        <v>1</v>
      </c>
      <c r="AM107" s="123"/>
      <c r="AN107" s="149"/>
      <c r="AO107" s="175"/>
      <c r="AP107" s="123"/>
      <c r="AQ107" s="123"/>
      <c r="AR107" s="123"/>
      <c r="AS107" s="123"/>
      <c r="AT107" s="123"/>
    </row>
    <row r="108" spans="1:46" ht="21.95" customHeight="1">
      <c r="A108" s="123"/>
      <c r="B108" s="149">
        <f t="shared" si="40"/>
        <v>42461</v>
      </c>
      <c r="C108" s="175">
        <f t="shared" si="41"/>
        <v>42461</v>
      </c>
      <c r="D108" s="123"/>
      <c r="E108" s="123"/>
      <c r="F108" s="123"/>
      <c r="G108" s="123"/>
      <c r="H108" s="123"/>
      <c r="P108" s="207">
        <f t="shared" ref="P108:P144" si="49">MIN(IF($B$19&gt;P107,$B$19,$C$9),IF($P$19&gt;P107,$P$19,$C$9),IF($B$24&gt;P107,$B$24,$C$9),IF($P$24&gt;P107,$P$24,$C$9),IF($B$23&gt;P107,$B$23,$C$9),IF($P$23&gt;P107,$P$23,$C$9),IF($P$9&gt;P107,$P$9,$Q$9),DATE(YEAR(P107),MONTH(P107)+1,1))</f>
        <v>42064</v>
      </c>
      <c r="Q108" s="726">
        <f t="shared" si="42"/>
        <v>25600</v>
      </c>
      <c r="R108" s="726">
        <f t="shared" si="43"/>
        <v>25600</v>
      </c>
      <c r="S108" s="208">
        <f t="shared" si="44"/>
        <v>25600</v>
      </c>
      <c r="T108" s="726">
        <f t="shared" si="45"/>
        <v>25600</v>
      </c>
      <c r="U108" s="34" t="b">
        <f t="shared" si="46"/>
        <v>1</v>
      </c>
      <c r="V108" s="34" t="b">
        <f t="shared" si="47"/>
        <v>1</v>
      </c>
      <c r="W108" s="34" t="b">
        <f t="shared" si="48"/>
        <v>1</v>
      </c>
      <c r="AM108" s="123"/>
      <c r="AN108" s="149"/>
      <c r="AO108" s="175"/>
      <c r="AP108" s="123"/>
      <c r="AQ108" s="123"/>
      <c r="AR108" s="123"/>
      <c r="AS108" s="123"/>
      <c r="AT108" s="123"/>
    </row>
    <row r="109" spans="1:46" ht="21.95" customHeight="1">
      <c r="A109" s="123"/>
      <c r="B109" s="149">
        <f t="shared" si="40"/>
        <v>42461</v>
      </c>
      <c r="C109" s="175">
        <f t="shared" si="41"/>
        <v>42461</v>
      </c>
      <c r="D109" s="123"/>
      <c r="E109" s="123"/>
      <c r="F109" s="123"/>
      <c r="G109" s="123"/>
      <c r="H109" s="123"/>
      <c r="P109" s="207">
        <f t="shared" si="49"/>
        <v>42095</v>
      </c>
      <c r="Q109" s="726">
        <f t="shared" si="42"/>
        <v>25600</v>
      </c>
      <c r="R109" s="726">
        <f t="shared" si="43"/>
        <v>25600</v>
      </c>
      <c r="S109" s="208">
        <f t="shared" si="44"/>
        <v>25600</v>
      </c>
      <c r="T109" s="726">
        <f t="shared" si="45"/>
        <v>25600</v>
      </c>
      <c r="U109" s="34" t="b">
        <f t="shared" si="46"/>
        <v>1</v>
      </c>
      <c r="V109" s="34" t="b">
        <f t="shared" si="47"/>
        <v>1</v>
      </c>
      <c r="W109" s="34" t="b">
        <f t="shared" si="48"/>
        <v>1</v>
      </c>
      <c r="AM109" s="123"/>
      <c r="AN109" s="149"/>
      <c r="AO109" s="175"/>
      <c r="AP109" s="123"/>
      <c r="AQ109" s="123"/>
      <c r="AR109" s="123"/>
      <c r="AS109" s="123"/>
      <c r="AT109" s="123"/>
    </row>
    <row r="110" spans="1:46" ht="21.95" customHeight="1">
      <c r="A110" s="123"/>
      <c r="B110" s="149">
        <f t="shared" si="40"/>
        <v>42461</v>
      </c>
      <c r="C110" s="175">
        <f t="shared" si="41"/>
        <v>42461</v>
      </c>
      <c r="D110" s="123"/>
      <c r="E110" s="123"/>
      <c r="F110" s="123"/>
      <c r="G110" s="123"/>
      <c r="H110" s="123"/>
      <c r="P110" s="207">
        <f t="shared" si="49"/>
        <v>42125</v>
      </c>
      <c r="Q110" s="726">
        <f t="shared" si="42"/>
        <v>25600</v>
      </c>
      <c r="R110" s="726">
        <f t="shared" si="43"/>
        <v>25600</v>
      </c>
      <c r="S110" s="208">
        <f t="shared" si="44"/>
        <v>25600</v>
      </c>
      <c r="T110" s="726">
        <f t="shared" si="45"/>
        <v>25600</v>
      </c>
      <c r="U110" s="34" t="b">
        <f t="shared" si="46"/>
        <v>1</v>
      </c>
      <c r="V110" s="34" t="b">
        <f t="shared" si="47"/>
        <v>1</v>
      </c>
      <c r="W110" s="34" t="b">
        <f t="shared" si="48"/>
        <v>1</v>
      </c>
      <c r="AM110" s="123"/>
      <c r="AN110" s="149"/>
      <c r="AO110" s="175"/>
      <c r="AP110" s="123"/>
      <c r="AQ110" s="123"/>
      <c r="AR110" s="123"/>
      <c r="AS110" s="123"/>
      <c r="AT110" s="123"/>
    </row>
    <row r="111" spans="1:46" ht="21.95" customHeight="1">
      <c r="A111" s="123"/>
      <c r="B111" s="149">
        <f t="shared" si="40"/>
        <v>42461</v>
      </c>
      <c r="C111" s="175">
        <f t="shared" si="41"/>
        <v>42461</v>
      </c>
      <c r="D111" s="123"/>
      <c r="E111" s="123"/>
      <c r="F111" s="123"/>
      <c r="G111" s="123"/>
      <c r="H111" s="123"/>
      <c r="P111" s="207">
        <f t="shared" si="49"/>
        <v>42156</v>
      </c>
      <c r="Q111" s="726">
        <f t="shared" si="42"/>
        <v>25600</v>
      </c>
      <c r="R111" s="726">
        <f t="shared" si="43"/>
        <v>25600</v>
      </c>
      <c r="S111" s="208">
        <f t="shared" si="44"/>
        <v>25600</v>
      </c>
      <c r="T111" s="726">
        <f t="shared" si="45"/>
        <v>25600</v>
      </c>
      <c r="U111" s="34" t="b">
        <f t="shared" si="46"/>
        <v>1</v>
      </c>
      <c r="V111" s="34" t="b">
        <f t="shared" si="47"/>
        <v>1</v>
      </c>
      <c r="W111" s="34" t="b">
        <f t="shared" si="48"/>
        <v>1</v>
      </c>
      <c r="AM111" s="123"/>
      <c r="AN111" s="149"/>
      <c r="AO111" s="175"/>
      <c r="AP111" s="123"/>
      <c r="AQ111" s="123"/>
      <c r="AR111" s="123"/>
      <c r="AS111" s="123"/>
      <c r="AT111" s="123"/>
    </row>
    <row r="112" spans="1:46" ht="21.95" customHeight="1">
      <c r="A112" s="123"/>
      <c r="B112" s="149">
        <f t="shared" si="40"/>
        <v>42461</v>
      </c>
      <c r="C112" s="175">
        <f t="shared" si="41"/>
        <v>42461</v>
      </c>
      <c r="D112" s="123"/>
      <c r="E112" s="123"/>
      <c r="F112" s="123"/>
      <c r="G112" s="123"/>
      <c r="H112" s="123"/>
      <c r="P112" s="207">
        <f t="shared" si="49"/>
        <v>42186</v>
      </c>
      <c r="Q112" s="726">
        <f t="shared" si="42"/>
        <v>25600</v>
      </c>
      <c r="R112" s="726">
        <f t="shared" si="43"/>
        <v>25600</v>
      </c>
      <c r="S112" s="208">
        <f t="shared" si="44"/>
        <v>25600</v>
      </c>
      <c r="T112" s="726">
        <f t="shared" si="45"/>
        <v>25600</v>
      </c>
      <c r="U112" s="34" t="b">
        <f t="shared" si="46"/>
        <v>1</v>
      </c>
      <c r="V112" s="34" t="b">
        <f t="shared" si="47"/>
        <v>1</v>
      </c>
      <c r="W112" s="34" t="b">
        <f>EXACT(R112,S112)</f>
        <v>1</v>
      </c>
      <c r="AM112" s="123"/>
      <c r="AN112" s="149"/>
      <c r="AO112" s="175"/>
      <c r="AP112" s="123"/>
      <c r="AQ112" s="123"/>
      <c r="AR112" s="123"/>
      <c r="AS112" s="123"/>
      <c r="AT112" s="123"/>
    </row>
    <row r="113" spans="1:46" ht="21.95" customHeight="1">
      <c r="A113" s="123"/>
      <c r="B113" s="149">
        <f t="shared" si="40"/>
        <v>42461</v>
      </c>
      <c r="C113" s="175">
        <f t="shared" si="41"/>
        <v>42461</v>
      </c>
      <c r="D113" s="123"/>
      <c r="E113" s="123"/>
      <c r="F113" s="123"/>
      <c r="G113" s="123"/>
      <c r="H113" s="123"/>
      <c r="P113" s="207">
        <f t="shared" si="49"/>
        <v>42217</v>
      </c>
      <c r="Q113" s="726">
        <f t="shared" si="42"/>
        <v>25600</v>
      </c>
      <c r="R113" s="726">
        <f t="shared" si="43"/>
        <v>25600</v>
      </c>
      <c r="S113" s="208">
        <f t="shared" si="44"/>
        <v>25600</v>
      </c>
      <c r="T113" s="726">
        <f t="shared" si="45"/>
        <v>25600</v>
      </c>
      <c r="U113" s="34" t="b">
        <f t="shared" si="46"/>
        <v>1</v>
      </c>
      <c r="V113" s="34" t="b">
        <f t="shared" si="47"/>
        <v>1</v>
      </c>
      <c r="W113" s="34" t="b">
        <f t="shared" si="48"/>
        <v>1</v>
      </c>
      <c r="AM113" s="123"/>
      <c r="AN113" s="149"/>
      <c r="AO113" s="175"/>
      <c r="AP113" s="123"/>
      <c r="AQ113" s="123"/>
      <c r="AR113" s="123"/>
      <c r="AS113" s="123"/>
      <c r="AT113" s="123"/>
    </row>
    <row r="114" spans="1:46" ht="21.95" customHeight="1">
      <c r="A114" s="123"/>
      <c r="B114" s="149">
        <f>B80</f>
        <v>42461</v>
      </c>
      <c r="C114" s="175">
        <f t="shared" si="41"/>
        <v>42461</v>
      </c>
      <c r="D114" s="123"/>
      <c r="E114" s="123"/>
      <c r="F114" s="123"/>
      <c r="G114" s="123"/>
      <c r="H114" s="123"/>
      <c r="P114" s="207">
        <f t="shared" si="49"/>
        <v>42248</v>
      </c>
      <c r="Q114" s="726">
        <f t="shared" si="42"/>
        <v>26300</v>
      </c>
      <c r="R114" s="726">
        <f t="shared" si="43"/>
        <v>26300</v>
      </c>
      <c r="S114" s="208">
        <f t="shared" si="44"/>
        <v>26300</v>
      </c>
      <c r="T114" s="726">
        <f t="shared" si="45"/>
        <v>26300</v>
      </c>
      <c r="U114" s="34" t="b">
        <f t="shared" si="46"/>
        <v>1</v>
      </c>
      <c r="V114" s="34" t="b">
        <f t="shared" si="47"/>
        <v>1</v>
      </c>
      <c r="W114" s="34" t="b">
        <f t="shared" si="48"/>
        <v>1</v>
      </c>
      <c r="AM114" s="123"/>
      <c r="AN114" s="149"/>
      <c r="AO114" s="175"/>
      <c r="AP114" s="123"/>
      <c r="AQ114" s="123"/>
      <c r="AR114" s="123"/>
      <c r="AS114" s="123"/>
      <c r="AT114" s="123"/>
    </row>
    <row r="115" spans="1:46" ht="21.95" customHeight="1">
      <c r="A115" s="123"/>
      <c r="B115" s="149"/>
      <c r="C115" s="123"/>
      <c r="D115" s="123"/>
      <c r="E115" s="123"/>
      <c r="F115" s="123"/>
      <c r="G115" s="123"/>
      <c r="H115" s="123"/>
      <c r="P115" s="207">
        <f t="shared" si="49"/>
        <v>42278</v>
      </c>
      <c r="Q115" s="726">
        <f t="shared" si="42"/>
        <v>26300</v>
      </c>
      <c r="R115" s="726">
        <f t="shared" si="43"/>
        <v>26300</v>
      </c>
      <c r="S115" s="208">
        <f>VLOOKUP(P115,$B$54:$E$65,4)</f>
        <v>26300</v>
      </c>
      <c r="T115" s="726">
        <f t="shared" si="45"/>
        <v>26300</v>
      </c>
      <c r="U115" s="34" t="b">
        <f t="shared" si="46"/>
        <v>1</v>
      </c>
      <c r="V115" s="34" t="b">
        <f t="shared" si="47"/>
        <v>1</v>
      </c>
      <c r="W115" s="34" t="b">
        <f t="shared" si="48"/>
        <v>1</v>
      </c>
      <c r="AM115" s="123"/>
      <c r="AN115" s="149"/>
      <c r="AO115" s="123"/>
      <c r="AP115" s="123"/>
      <c r="AQ115" s="123"/>
      <c r="AR115" s="123"/>
      <c r="AS115" s="123"/>
      <c r="AT115" s="123"/>
    </row>
    <row r="116" spans="1:46">
      <c r="A116" s="123"/>
      <c r="B116" s="123"/>
      <c r="C116" s="123"/>
      <c r="D116" s="123"/>
      <c r="E116" s="123"/>
      <c r="F116" s="123"/>
      <c r="G116" s="123"/>
      <c r="H116" s="123"/>
      <c r="P116" s="207">
        <f t="shared" si="49"/>
        <v>42309</v>
      </c>
      <c r="Q116" s="726">
        <f t="shared" si="42"/>
        <v>26300</v>
      </c>
      <c r="R116" s="726">
        <f t="shared" si="43"/>
        <v>26300</v>
      </c>
      <c r="S116" s="208">
        <f t="shared" si="44"/>
        <v>26300</v>
      </c>
      <c r="T116" s="726">
        <f t="shared" si="45"/>
        <v>26300</v>
      </c>
      <c r="U116" s="34" t="b">
        <f t="shared" si="46"/>
        <v>1</v>
      </c>
      <c r="V116" s="34" t="b">
        <f t="shared" si="47"/>
        <v>1</v>
      </c>
      <c r="W116" s="34" t="b">
        <f t="shared" si="48"/>
        <v>1</v>
      </c>
      <c r="AM116" s="123"/>
      <c r="AN116" s="123"/>
      <c r="AO116" s="123"/>
      <c r="AP116" s="123"/>
      <c r="AQ116" s="123"/>
      <c r="AR116" s="123"/>
      <c r="AS116" s="123"/>
      <c r="AT116" s="123"/>
    </row>
    <row r="117" spans="1:46">
      <c r="A117" s="123"/>
      <c r="B117" s="123"/>
      <c r="C117" s="123"/>
      <c r="D117" s="123"/>
      <c r="E117" s="123"/>
      <c r="F117" s="123"/>
      <c r="G117" s="123"/>
      <c r="H117" s="123"/>
      <c r="P117" s="207">
        <f t="shared" si="49"/>
        <v>42339</v>
      </c>
      <c r="Q117" s="726">
        <f t="shared" si="42"/>
        <v>26300</v>
      </c>
      <c r="R117" s="726">
        <f t="shared" si="43"/>
        <v>26300</v>
      </c>
      <c r="S117" s="208">
        <f t="shared" si="44"/>
        <v>26300</v>
      </c>
      <c r="T117" s="726">
        <f t="shared" si="45"/>
        <v>26300</v>
      </c>
      <c r="U117" s="34" t="b">
        <f>EXACT(Q117,R117)</f>
        <v>1</v>
      </c>
      <c r="V117" s="34" t="b">
        <f t="shared" si="47"/>
        <v>1</v>
      </c>
      <c r="W117" s="34" t="b">
        <f t="shared" si="48"/>
        <v>1</v>
      </c>
    </row>
    <row r="118" spans="1:46">
      <c r="A118" s="123"/>
      <c r="B118" s="123"/>
      <c r="C118" s="123"/>
      <c r="D118" s="123"/>
      <c r="E118" s="123"/>
      <c r="F118" s="123"/>
      <c r="G118" s="123"/>
      <c r="H118" s="123"/>
      <c r="P118" s="207">
        <f t="shared" si="49"/>
        <v>42370</v>
      </c>
      <c r="Q118" s="726">
        <f t="shared" si="42"/>
        <v>26300</v>
      </c>
      <c r="R118" s="726">
        <f t="shared" si="43"/>
        <v>26300</v>
      </c>
      <c r="S118" s="208">
        <f t="shared" si="44"/>
        <v>26300</v>
      </c>
      <c r="T118" s="726">
        <f t="shared" si="45"/>
        <v>26300</v>
      </c>
      <c r="U118" s="34" t="b">
        <f t="shared" si="46"/>
        <v>1</v>
      </c>
      <c r="V118" s="34" t="b">
        <f t="shared" si="47"/>
        <v>1</v>
      </c>
      <c r="W118" s="34" t="b">
        <f t="shared" si="48"/>
        <v>1</v>
      </c>
    </row>
    <row r="119" spans="1:46">
      <c r="P119" s="207">
        <f>MIN(IF($B$19&gt;P118,$B$19,$C$9),IF($P$19&gt;P118,$P$19,$C$9),IF($B$24&gt;P118,$B$24,$C$9),IF($P$24&gt;P118,$P$24,$C$9),IF($B$23&gt;P118,$B$23,$C$9),IF($P$23&gt;P118,$P$23,$C$9),IF($P$9&gt;P118,$P$9,$Q$9),DATE(YEAR(P118),MONTH(P118)+1,1))</f>
        <v>42401</v>
      </c>
      <c r="Q119" s="726">
        <f t="shared" si="42"/>
        <v>26300</v>
      </c>
      <c r="R119" s="726">
        <f t="shared" si="43"/>
        <v>26300</v>
      </c>
      <c r="S119" s="208">
        <f t="shared" si="44"/>
        <v>26300</v>
      </c>
      <c r="T119" s="726">
        <f t="shared" si="45"/>
        <v>26300</v>
      </c>
      <c r="U119" s="34" t="b">
        <f t="shared" si="46"/>
        <v>1</v>
      </c>
      <c r="V119" s="34" t="b">
        <f t="shared" si="47"/>
        <v>1</v>
      </c>
      <c r="W119" s="34" t="b">
        <f t="shared" si="48"/>
        <v>1</v>
      </c>
    </row>
    <row r="120" spans="1:46">
      <c r="P120" s="207">
        <f>MIN(IF($B$19&gt;P119,$B$19,$C$9),IF($P$19&gt;P119,$P$19,$C$9),IF($B$24&gt;P119,$B$24,$C$9),IF($P$24&gt;P119,$P$24,$C$9),IF($B$23&gt;P119,$B$23,$C$9),IF($P$23&gt;P119,$P$23,$C$9),IF($P$9&gt;P119,$P$9,$Q$9),DATE(YEAR(P119),MONTH(P119)+1,1))</f>
        <v>42430</v>
      </c>
      <c r="Q120" s="726">
        <f t="shared" si="42"/>
        <v>26300</v>
      </c>
      <c r="R120" s="726">
        <f t="shared" si="43"/>
        <v>26300</v>
      </c>
      <c r="S120" s="208">
        <f t="shared" si="44"/>
        <v>26300</v>
      </c>
      <c r="T120" s="726">
        <f t="shared" si="45"/>
        <v>26300</v>
      </c>
      <c r="U120" s="34" t="b">
        <f t="shared" si="46"/>
        <v>1</v>
      </c>
      <c r="V120" s="34" t="b">
        <f t="shared" si="47"/>
        <v>1</v>
      </c>
      <c r="W120" s="34" t="b">
        <f t="shared" si="48"/>
        <v>1</v>
      </c>
    </row>
    <row r="121" spans="1:46">
      <c r="P121" s="207">
        <f t="shared" si="49"/>
        <v>42461</v>
      </c>
      <c r="Q121" s="726">
        <f t="shared" si="42"/>
        <v>26300</v>
      </c>
      <c r="R121" s="726">
        <f t="shared" si="43"/>
        <v>26300</v>
      </c>
      <c r="S121" s="208">
        <f>VLOOKUP(P121,$B$54:$E$65,4)</f>
        <v>26300</v>
      </c>
      <c r="T121" s="726">
        <f>VLOOKUP(P121,$P$54:$S$65,4)</f>
        <v>26300</v>
      </c>
      <c r="U121" s="34" t="b">
        <f>EXACT(Q121,R121)</f>
        <v>1</v>
      </c>
      <c r="V121" s="34" t="b">
        <f t="shared" si="47"/>
        <v>1</v>
      </c>
      <c r="W121" s="34" t="b">
        <f t="shared" si="48"/>
        <v>1</v>
      </c>
    </row>
    <row r="122" spans="1:46">
      <c r="P122" s="207">
        <f t="shared" si="49"/>
        <v>42461</v>
      </c>
      <c r="Q122" s="726">
        <f t="shared" si="42"/>
        <v>26300</v>
      </c>
      <c r="R122" s="726">
        <f t="shared" si="43"/>
        <v>26300</v>
      </c>
      <c r="S122" s="208">
        <f t="shared" si="44"/>
        <v>26300</v>
      </c>
      <c r="T122" s="726">
        <f t="shared" si="45"/>
        <v>26300</v>
      </c>
      <c r="U122" s="34" t="b">
        <f t="shared" si="46"/>
        <v>1</v>
      </c>
      <c r="V122" s="34" t="b">
        <f t="shared" si="47"/>
        <v>1</v>
      </c>
      <c r="W122" s="34" t="b">
        <f t="shared" si="48"/>
        <v>1</v>
      </c>
    </row>
    <row r="123" spans="1:46">
      <c r="P123" s="207">
        <f t="shared" si="49"/>
        <v>42461</v>
      </c>
      <c r="Q123" s="726">
        <f t="shared" si="42"/>
        <v>26300</v>
      </c>
      <c r="R123" s="726">
        <f t="shared" si="43"/>
        <v>26300</v>
      </c>
      <c r="S123" s="208">
        <f t="shared" si="44"/>
        <v>26300</v>
      </c>
      <c r="T123" s="726">
        <f t="shared" si="45"/>
        <v>26300</v>
      </c>
      <c r="U123" s="34" t="b">
        <f t="shared" si="46"/>
        <v>1</v>
      </c>
      <c r="V123" s="34" t="b">
        <f t="shared" si="47"/>
        <v>1</v>
      </c>
      <c r="W123" s="34" t="b">
        <f t="shared" si="48"/>
        <v>1</v>
      </c>
    </row>
    <row r="124" spans="1:46">
      <c r="P124" s="207">
        <f t="shared" si="49"/>
        <v>42461</v>
      </c>
      <c r="Q124" s="726">
        <f t="shared" si="42"/>
        <v>26300</v>
      </c>
      <c r="R124" s="726">
        <f t="shared" si="43"/>
        <v>26300</v>
      </c>
      <c r="S124" s="208">
        <f t="shared" si="44"/>
        <v>26300</v>
      </c>
      <c r="T124" s="726">
        <f t="shared" si="45"/>
        <v>26300</v>
      </c>
      <c r="U124" s="34" t="b">
        <f t="shared" si="46"/>
        <v>1</v>
      </c>
      <c r="V124" s="34" t="b">
        <f t="shared" si="47"/>
        <v>1</v>
      </c>
      <c r="W124" s="34" t="b">
        <f t="shared" si="48"/>
        <v>1</v>
      </c>
    </row>
    <row r="125" spans="1:46">
      <c r="P125" s="207">
        <f t="shared" si="49"/>
        <v>42461</v>
      </c>
      <c r="Q125" s="726">
        <f t="shared" si="42"/>
        <v>26300</v>
      </c>
      <c r="R125" s="726">
        <f t="shared" si="43"/>
        <v>26300</v>
      </c>
      <c r="S125" s="208">
        <f t="shared" si="44"/>
        <v>26300</v>
      </c>
      <c r="T125" s="726">
        <f t="shared" si="45"/>
        <v>26300</v>
      </c>
      <c r="U125" s="34" t="b">
        <f t="shared" si="46"/>
        <v>1</v>
      </c>
      <c r="V125" s="34" t="b">
        <f t="shared" si="47"/>
        <v>1</v>
      </c>
      <c r="W125" s="34" t="b">
        <f t="shared" si="48"/>
        <v>1</v>
      </c>
    </row>
    <row r="126" spans="1:46">
      <c r="P126" s="207">
        <f t="shared" si="49"/>
        <v>42461</v>
      </c>
      <c r="Q126" s="726">
        <f t="shared" si="42"/>
        <v>26300</v>
      </c>
      <c r="R126" s="726">
        <f t="shared" si="43"/>
        <v>26300</v>
      </c>
      <c r="S126" s="208">
        <f t="shared" si="44"/>
        <v>26300</v>
      </c>
      <c r="T126" s="726">
        <f t="shared" si="45"/>
        <v>26300</v>
      </c>
      <c r="U126" s="34" t="b">
        <f t="shared" si="46"/>
        <v>1</v>
      </c>
      <c r="V126" s="34" t="b">
        <f t="shared" si="47"/>
        <v>1</v>
      </c>
      <c r="W126" s="34" t="b">
        <f t="shared" si="48"/>
        <v>1</v>
      </c>
    </row>
    <row r="127" spans="1:46">
      <c r="P127" s="207">
        <f t="shared" si="49"/>
        <v>42461</v>
      </c>
      <c r="Q127" s="726">
        <f t="shared" si="42"/>
        <v>26300</v>
      </c>
      <c r="R127" s="726">
        <f t="shared" si="43"/>
        <v>26300</v>
      </c>
      <c r="S127" s="208">
        <f t="shared" si="44"/>
        <v>26300</v>
      </c>
      <c r="T127" s="726">
        <f t="shared" si="45"/>
        <v>26300</v>
      </c>
      <c r="U127" s="34" t="b">
        <f t="shared" si="46"/>
        <v>1</v>
      </c>
      <c r="V127" s="34" t="b">
        <f t="shared" si="47"/>
        <v>1</v>
      </c>
      <c r="W127" s="34" t="b">
        <f t="shared" si="48"/>
        <v>1</v>
      </c>
    </row>
    <row r="128" spans="1:46">
      <c r="P128" s="207">
        <f t="shared" si="49"/>
        <v>42461</v>
      </c>
      <c r="Q128" s="726">
        <f t="shared" si="42"/>
        <v>26300</v>
      </c>
      <c r="R128" s="726">
        <f t="shared" si="43"/>
        <v>26300</v>
      </c>
      <c r="S128" s="208">
        <f t="shared" si="44"/>
        <v>26300</v>
      </c>
      <c r="T128" s="726">
        <f t="shared" si="45"/>
        <v>26300</v>
      </c>
      <c r="U128" s="34" t="b">
        <f t="shared" si="46"/>
        <v>1</v>
      </c>
      <c r="V128" s="34" t="b">
        <f t="shared" si="47"/>
        <v>1</v>
      </c>
      <c r="W128" s="34" t="b">
        <f t="shared" si="48"/>
        <v>1</v>
      </c>
    </row>
    <row r="129" spans="16:23">
      <c r="P129" s="207">
        <f t="shared" si="49"/>
        <v>42461</v>
      </c>
      <c r="Q129" s="726">
        <f t="shared" si="42"/>
        <v>26300</v>
      </c>
      <c r="R129" s="726">
        <f t="shared" si="43"/>
        <v>26300</v>
      </c>
      <c r="S129" s="208">
        <f t="shared" si="44"/>
        <v>26300</v>
      </c>
      <c r="T129" s="726">
        <f t="shared" si="45"/>
        <v>26300</v>
      </c>
      <c r="U129" s="34" t="b">
        <f t="shared" si="46"/>
        <v>1</v>
      </c>
      <c r="V129" s="34" t="b">
        <f t="shared" si="47"/>
        <v>1</v>
      </c>
      <c r="W129" s="34" t="b">
        <f t="shared" si="48"/>
        <v>1</v>
      </c>
    </row>
    <row r="130" spans="16:23">
      <c r="P130" s="207">
        <f t="shared" si="49"/>
        <v>42461</v>
      </c>
      <c r="Q130" s="726">
        <f t="shared" si="42"/>
        <v>26300</v>
      </c>
      <c r="R130" s="726">
        <f t="shared" si="43"/>
        <v>26300</v>
      </c>
      <c r="S130" s="208">
        <f t="shared" si="44"/>
        <v>26300</v>
      </c>
      <c r="T130" s="726">
        <f t="shared" si="45"/>
        <v>26300</v>
      </c>
      <c r="U130" s="34" t="b">
        <f t="shared" si="46"/>
        <v>1</v>
      </c>
      <c r="V130" s="34" t="b">
        <f t="shared" si="47"/>
        <v>1</v>
      </c>
      <c r="W130" s="34" t="b">
        <f t="shared" si="48"/>
        <v>1</v>
      </c>
    </row>
    <row r="131" spans="16:23">
      <c r="P131" s="207">
        <f t="shared" si="49"/>
        <v>42461</v>
      </c>
      <c r="Q131" s="726">
        <f t="shared" si="42"/>
        <v>26300</v>
      </c>
      <c r="R131" s="726">
        <f t="shared" si="43"/>
        <v>26300</v>
      </c>
      <c r="S131" s="208">
        <f t="shared" si="44"/>
        <v>26300</v>
      </c>
      <c r="T131" s="726">
        <f t="shared" si="45"/>
        <v>26300</v>
      </c>
      <c r="U131" s="34" t="b">
        <f t="shared" si="46"/>
        <v>1</v>
      </c>
      <c r="V131" s="34" t="b">
        <f t="shared" si="47"/>
        <v>1</v>
      </c>
      <c r="W131" s="34" t="b">
        <f t="shared" si="48"/>
        <v>1</v>
      </c>
    </row>
    <row r="132" spans="16:23">
      <c r="P132" s="207">
        <f t="shared" si="49"/>
        <v>42461</v>
      </c>
      <c r="Q132" s="726">
        <f t="shared" si="42"/>
        <v>26300</v>
      </c>
      <c r="R132" s="726">
        <f t="shared" si="43"/>
        <v>26300</v>
      </c>
      <c r="S132" s="208">
        <f t="shared" si="44"/>
        <v>26300</v>
      </c>
      <c r="T132" s="726">
        <f t="shared" si="45"/>
        <v>26300</v>
      </c>
      <c r="U132" s="34" t="b">
        <f t="shared" si="46"/>
        <v>1</v>
      </c>
      <c r="V132" s="34" t="b">
        <f t="shared" si="47"/>
        <v>1</v>
      </c>
      <c r="W132" s="34" t="b">
        <f t="shared" si="48"/>
        <v>1</v>
      </c>
    </row>
    <row r="133" spans="16:23">
      <c r="P133" s="207">
        <f t="shared" si="49"/>
        <v>42461</v>
      </c>
      <c r="Q133" s="726">
        <f t="shared" si="42"/>
        <v>26300</v>
      </c>
      <c r="R133" s="726">
        <f t="shared" si="43"/>
        <v>26300</v>
      </c>
      <c r="S133" s="208">
        <f t="shared" si="44"/>
        <v>26300</v>
      </c>
      <c r="T133" s="726">
        <f t="shared" si="45"/>
        <v>26300</v>
      </c>
      <c r="U133" s="34" t="b">
        <f t="shared" si="46"/>
        <v>1</v>
      </c>
      <c r="V133" s="34" t="b">
        <f t="shared" si="47"/>
        <v>1</v>
      </c>
      <c r="W133" s="34" t="b">
        <f t="shared" si="48"/>
        <v>1</v>
      </c>
    </row>
    <row r="134" spans="16:23">
      <c r="P134" s="207">
        <f t="shared" si="49"/>
        <v>42461</v>
      </c>
      <c r="Q134" s="726">
        <f t="shared" si="42"/>
        <v>26300</v>
      </c>
      <c r="R134" s="726">
        <f t="shared" si="43"/>
        <v>26300</v>
      </c>
      <c r="S134" s="208">
        <f t="shared" si="44"/>
        <v>26300</v>
      </c>
      <c r="T134" s="726">
        <f t="shared" si="45"/>
        <v>26300</v>
      </c>
      <c r="U134" s="34" t="b">
        <f t="shared" si="46"/>
        <v>1</v>
      </c>
      <c r="V134" s="34" t="b">
        <f t="shared" si="47"/>
        <v>1</v>
      </c>
      <c r="W134" s="34" t="b">
        <f t="shared" si="48"/>
        <v>1</v>
      </c>
    </row>
    <row r="135" spans="16:23">
      <c r="P135" s="207">
        <f t="shared" si="49"/>
        <v>42461</v>
      </c>
      <c r="Q135" s="726">
        <f t="shared" si="42"/>
        <v>26300</v>
      </c>
      <c r="R135" s="726">
        <f t="shared" si="43"/>
        <v>26300</v>
      </c>
      <c r="S135" s="208">
        <f t="shared" si="44"/>
        <v>26300</v>
      </c>
      <c r="T135" s="726">
        <f t="shared" si="45"/>
        <v>26300</v>
      </c>
      <c r="U135" s="34" t="b">
        <f t="shared" si="46"/>
        <v>1</v>
      </c>
      <c r="V135" s="34" t="b">
        <f t="shared" si="47"/>
        <v>1</v>
      </c>
      <c r="W135" s="34" t="b">
        <f t="shared" si="48"/>
        <v>1</v>
      </c>
    </row>
    <row r="136" spans="16:23">
      <c r="P136" s="207">
        <f t="shared" si="49"/>
        <v>42461</v>
      </c>
      <c r="Q136" s="726">
        <f t="shared" si="42"/>
        <v>26300</v>
      </c>
      <c r="R136" s="726">
        <f t="shared" si="43"/>
        <v>26300</v>
      </c>
      <c r="S136" s="208">
        <f t="shared" si="44"/>
        <v>26300</v>
      </c>
      <c r="T136" s="726">
        <f t="shared" si="45"/>
        <v>26300</v>
      </c>
      <c r="U136" s="34" t="b">
        <f t="shared" si="46"/>
        <v>1</v>
      </c>
      <c r="V136" s="34" t="b">
        <f t="shared" si="47"/>
        <v>1</v>
      </c>
      <c r="W136" s="34" t="b">
        <f t="shared" si="48"/>
        <v>1</v>
      </c>
    </row>
    <row r="137" spans="16:23">
      <c r="P137" s="207">
        <f t="shared" si="49"/>
        <v>42461</v>
      </c>
      <c r="Q137" s="726">
        <f t="shared" si="42"/>
        <v>26300</v>
      </c>
      <c r="R137" s="726">
        <f t="shared" si="43"/>
        <v>26300</v>
      </c>
      <c r="S137" s="208">
        <f t="shared" si="44"/>
        <v>26300</v>
      </c>
      <c r="T137" s="726">
        <f t="shared" si="45"/>
        <v>26300</v>
      </c>
      <c r="U137" s="34" t="b">
        <f t="shared" si="46"/>
        <v>1</v>
      </c>
      <c r="V137" s="34" t="b">
        <f t="shared" si="47"/>
        <v>1</v>
      </c>
      <c r="W137" s="34" t="b">
        <f t="shared" si="48"/>
        <v>1</v>
      </c>
    </row>
    <row r="138" spans="16:23">
      <c r="P138" s="207">
        <f t="shared" si="49"/>
        <v>42461</v>
      </c>
      <c r="Q138" s="726">
        <f t="shared" si="42"/>
        <v>26300</v>
      </c>
      <c r="R138" s="726">
        <f t="shared" si="43"/>
        <v>26300</v>
      </c>
      <c r="S138" s="208">
        <f t="shared" si="44"/>
        <v>26300</v>
      </c>
      <c r="T138" s="726">
        <f t="shared" si="45"/>
        <v>26300</v>
      </c>
      <c r="U138" s="34" t="b">
        <f t="shared" si="46"/>
        <v>1</v>
      </c>
      <c r="V138" s="34" t="b">
        <f t="shared" si="47"/>
        <v>1</v>
      </c>
      <c r="W138" s="34" t="b">
        <f t="shared" si="48"/>
        <v>1</v>
      </c>
    </row>
    <row r="139" spans="16:23">
      <c r="P139" s="207">
        <f t="shared" si="49"/>
        <v>42461</v>
      </c>
      <c r="Q139" s="726">
        <f t="shared" si="42"/>
        <v>26300</v>
      </c>
      <c r="R139" s="726">
        <f t="shared" si="43"/>
        <v>26300</v>
      </c>
      <c r="S139" s="208">
        <f t="shared" si="44"/>
        <v>26300</v>
      </c>
      <c r="T139" s="726">
        <f t="shared" si="45"/>
        <v>26300</v>
      </c>
      <c r="U139" s="34" t="b">
        <f t="shared" si="46"/>
        <v>1</v>
      </c>
      <c r="V139" s="34" t="b">
        <f t="shared" si="47"/>
        <v>1</v>
      </c>
      <c r="W139" s="34" t="b">
        <f t="shared" si="48"/>
        <v>1</v>
      </c>
    </row>
    <row r="140" spans="16:23">
      <c r="P140" s="207">
        <f t="shared" si="49"/>
        <v>42461</v>
      </c>
      <c r="Q140" s="726">
        <f t="shared" si="42"/>
        <v>26300</v>
      </c>
      <c r="R140" s="726">
        <f t="shared" si="43"/>
        <v>26300</v>
      </c>
      <c r="S140" s="208">
        <f t="shared" si="44"/>
        <v>26300</v>
      </c>
      <c r="T140" s="726">
        <f t="shared" si="45"/>
        <v>26300</v>
      </c>
      <c r="U140" s="34" t="b">
        <f t="shared" si="46"/>
        <v>1</v>
      </c>
      <c r="V140" s="34" t="b">
        <f t="shared" si="47"/>
        <v>1</v>
      </c>
      <c r="W140" s="34" t="b">
        <f t="shared" si="48"/>
        <v>1</v>
      </c>
    </row>
    <row r="141" spans="16:23">
      <c r="P141" s="207">
        <f t="shared" si="49"/>
        <v>42461</v>
      </c>
      <c r="Q141" s="726">
        <f t="shared" si="42"/>
        <v>26300</v>
      </c>
      <c r="R141" s="726">
        <f t="shared" si="43"/>
        <v>26300</v>
      </c>
      <c r="S141" s="208">
        <f t="shared" si="44"/>
        <v>26300</v>
      </c>
      <c r="T141" s="726">
        <f t="shared" si="45"/>
        <v>26300</v>
      </c>
      <c r="U141" s="34" t="b">
        <f t="shared" si="46"/>
        <v>1</v>
      </c>
      <c r="V141" s="34" t="b">
        <f t="shared" si="47"/>
        <v>1</v>
      </c>
      <c r="W141" s="34" t="b">
        <f t="shared" si="48"/>
        <v>1</v>
      </c>
    </row>
    <row r="142" spans="16:23">
      <c r="P142" s="207">
        <f t="shared" si="49"/>
        <v>42461</v>
      </c>
      <c r="Q142" s="726">
        <f t="shared" si="42"/>
        <v>26300</v>
      </c>
      <c r="R142" s="726">
        <f>VLOOKUP(P142,$P$30:$S$41,4)</f>
        <v>26300</v>
      </c>
      <c r="S142" s="208">
        <f t="shared" si="44"/>
        <v>26300</v>
      </c>
      <c r="T142" s="726">
        <f t="shared" si="45"/>
        <v>26300</v>
      </c>
      <c r="U142" s="34" t="b">
        <f t="shared" si="46"/>
        <v>1</v>
      </c>
      <c r="V142" s="34" t="b">
        <f t="shared" si="47"/>
        <v>1</v>
      </c>
      <c r="W142" s="34" t="b">
        <f t="shared" si="48"/>
        <v>1</v>
      </c>
    </row>
    <row r="143" spans="16:23">
      <c r="P143" s="207">
        <f t="shared" si="49"/>
        <v>42461</v>
      </c>
      <c r="Q143" s="726">
        <f t="shared" si="42"/>
        <v>26300</v>
      </c>
      <c r="R143" s="726">
        <f t="shared" si="43"/>
        <v>26300</v>
      </c>
      <c r="S143" s="208">
        <f t="shared" si="44"/>
        <v>26300</v>
      </c>
      <c r="T143" s="726">
        <f t="shared" si="45"/>
        <v>26300</v>
      </c>
      <c r="U143" s="34" t="b">
        <f t="shared" si="46"/>
        <v>1</v>
      </c>
      <c r="V143" s="34" t="b">
        <f t="shared" si="47"/>
        <v>1</v>
      </c>
      <c r="W143" s="34" t="b">
        <f t="shared" si="48"/>
        <v>1</v>
      </c>
    </row>
    <row r="144" spans="16:23">
      <c r="P144" s="207">
        <f t="shared" si="49"/>
        <v>42461</v>
      </c>
      <c r="Q144" s="726">
        <f t="shared" si="42"/>
        <v>26300</v>
      </c>
      <c r="R144" s="726">
        <f t="shared" si="43"/>
        <v>26300</v>
      </c>
      <c r="S144" s="208">
        <f t="shared" si="44"/>
        <v>26300</v>
      </c>
      <c r="T144" s="726">
        <f t="shared" si="45"/>
        <v>26300</v>
      </c>
      <c r="U144" s="34" t="b">
        <f t="shared" si="46"/>
        <v>1</v>
      </c>
      <c r="V144" s="34" t="b">
        <f t="shared" si="47"/>
        <v>1</v>
      </c>
      <c r="W144" s="34" t="b">
        <f t="shared" si="48"/>
        <v>1</v>
      </c>
    </row>
    <row r="145" spans="16:20">
      <c r="P145" s="148"/>
      <c r="Q145" s="726"/>
      <c r="R145" s="726"/>
      <c r="S145" s="726"/>
      <c r="T145" s="726"/>
    </row>
    <row r="146" spans="16:20">
      <c r="P146" s="148"/>
      <c r="Q146" s="726"/>
      <c r="R146" s="726"/>
      <c r="S146" s="725" t="s">
        <v>1597</v>
      </c>
      <c r="T146" s="726"/>
    </row>
    <row r="147" spans="16:20">
      <c r="P147" s="204">
        <f>R91</f>
        <v>42005</v>
      </c>
      <c r="Q147" s="208">
        <f>VLOOKUP(P147,$P$106:$U$144,4)</f>
        <v>25600</v>
      </c>
      <c r="R147" s="726"/>
      <c r="S147" s="726"/>
      <c r="T147" s="726"/>
    </row>
    <row r="148" spans="16:20">
      <c r="P148" s="1128" t="s">
        <v>1598</v>
      </c>
      <c r="Q148" s="1128"/>
      <c r="R148" s="726"/>
      <c r="S148" s="726"/>
      <c r="T148" s="726"/>
    </row>
    <row r="149" spans="16:20">
      <c r="P149" s="746">
        <f>Main!BL4</f>
        <v>42064</v>
      </c>
      <c r="Q149" s="208">
        <f>IF(AND(Main!$L$6&gt;=$P$147,P149&lt;Main!$L$8),VLOOKUP(P149,$P$106:$U$144,5),VLOOKUP(P149,$P$106:$U$144,4))</f>
        <v>25600</v>
      </c>
      <c r="R149" s="726"/>
    </row>
    <row r="150" spans="16:20">
      <c r="P150" s="746">
        <f>MIN(DATE(YEAR(P149),MONTH(P149)+1,1))</f>
        <v>42095</v>
      </c>
      <c r="Q150" s="208">
        <f>IF(AND(Main!$L$6&gt;=$P$147,P150&lt;Main!$L$8),VLOOKUP(P150,$P$106:$U$144,5),VLOOKUP(P150,$P$106:$U$144,4))</f>
        <v>25600</v>
      </c>
      <c r="R150" s="726"/>
      <c r="S150" s="726"/>
      <c r="T150" s="726"/>
    </row>
    <row r="151" spans="16:20">
      <c r="P151" s="746">
        <f t="shared" ref="P151:P160" si="50">MIN(DATE(YEAR(P150),MONTH(P150)+1,1))</f>
        <v>42125</v>
      </c>
      <c r="Q151" s="208">
        <f>IF(AND(Main!$L$6&gt;=$P$147,P151&lt;Main!$L$8),VLOOKUP(P151,$P$106:$U$144,5),VLOOKUP(P151,$P$106:$U$144,4))</f>
        <v>25600</v>
      </c>
      <c r="R151" s="726"/>
      <c r="S151" s="726"/>
      <c r="T151" s="726"/>
    </row>
    <row r="152" spans="16:20">
      <c r="P152" s="746">
        <f t="shared" si="50"/>
        <v>42156</v>
      </c>
      <c r="Q152" s="208">
        <f>IF(AND(Main!$L$6&gt;=$P$147,P152&lt;Main!$L$8),VLOOKUP(P152,$P$106:$U$144,5),VLOOKUP(P152,$P$106:$U$144,4))</f>
        <v>25600</v>
      </c>
      <c r="R152" s="726"/>
      <c r="S152" s="726"/>
      <c r="T152" s="726"/>
    </row>
    <row r="153" spans="16:20">
      <c r="P153" s="746">
        <f t="shared" si="50"/>
        <v>42186</v>
      </c>
      <c r="Q153" s="208">
        <f>IF(AND(Main!$L$6&gt;=$P$147,P153&lt;Main!$L$8),VLOOKUP(P153,$P$106:$U$144,5),VLOOKUP(P153,$P$106:$U$144,4))</f>
        <v>25600</v>
      </c>
      <c r="R153" s="726"/>
      <c r="S153" s="726"/>
      <c r="T153" s="726"/>
    </row>
    <row r="154" spans="16:20">
      <c r="P154" s="746">
        <f t="shared" si="50"/>
        <v>42217</v>
      </c>
      <c r="Q154" s="208">
        <f>IF(AND(Main!$L$6&gt;=$P$147,P154&lt;Main!$L$8),VLOOKUP(P154,$P$106:$U$144,5),VLOOKUP(P154,$P$106:$U$144,4))</f>
        <v>25600</v>
      </c>
      <c r="R154" s="726"/>
      <c r="S154" s="726"/>
      <c r="T154" s="726"/>
    </row>
    <row r="155" spans="16:20">
      <c r="P155" s="746">
        <f t="shared" si="50"/>
        <v>42248</v>
      </c>
      <c r="Q155" s="208">
        <f>IF(AND(Main!$L$6&gt;=$P$147,P155&lt;Main!$L$8),VLOOKUP(P155,$P$106:$U$144,5),VLOOKUP(P155,$P$106:$U$144,4))</f>
        <v>26300</v>
      </c>
      <c r="R155" s="726"/>
      <c r="S155" s="726"/>
      <c r="T155" s="726"/>
    </row>
    <row r="156" spans="16:20">
      <c r="P156" s="746">
        <f t="shared" si="50"/>
        <v>42278</v>
      </c>
      <c r="Q156" s="208">
        <f>IF(AND(Main!$L$6&gt;=$P$147,P156&lt;Main!$L$8),VLOOKUP(P156,$P$106:$U$144,5),VLOOKUP(P156,$P$106:$U$144,4))</f>
        <v>26300</v>
      </c>
      <c r="R156" s="726"/>
      <c r="S156" s="726"/>
    </row>
    <row r="157" spans="16:20">
      <c r="P157" s="746">
        <f t="shared" si="50"/>
        <v>42309</v>
      </c>
      <c r="Q157" s="208">
        <f>IF(AND(Main!$L$6&gt;=$P$147,P157&lt;Main!$L$8),VLOOKUP(P157,$P$106:$U$144,5),VLOOKUP(P157,$P$106:$U$144,4))</f>
        <v>26300</v>
      </c>
      <c r="R157" s="726"/>
      <c r="S157" s="726"/>
    </row>
    <row r="158" spans="16:20">
      <c r="P158" s="746">
        <f t="shared" si="50"/>
        <v>42339</v>
      </c>
      <c r="Q158" s="208">
        <f>IF(AND(Main!$L$6&gt;=$P$147,P158&lt;Main!$L$8),VLOOKUP(P158,$P$106:$U$144,5),VLOOKUP(P158,$P$106:$U$144,4))</f>
        <v>26300</v>
      </c>
      <c r="R158" s="726"/>
      <c r="S158" s="726"/>
    </row>
    <row r="159" spans="16:20">
      <c r="P159" s="746">
        <f t="shared" si="50"/>
        <v>42370</v>
      </c>
      <c r="Q159" s="208">
        <f>IF(AND(Main!$L$6&gt;=$P$147,P159&lt;Main!$L$8),VLOOKUP(P159,$P$106:$U$144,5),VLOOKUP(P159,$P$106:$U$144,4))</f>
        <v>26300</v>
      </c>
      <c r="R159" s="726"/>
      <c r="S159" s="726"/>
    </row>
    <row r="160" spans="16:20">
      <c r="P160" s="746">
        <f t="shared" si="50"/>
        <v>42401</v>
      </c>
      <c r="Q160" s="208">
        <f>IF(AND(Main!$L$6&gt;=$P$147,P160&lt;Main!$L$8),VLOOKUP(P160,$P$106:$U$144,5),VLOOKUP(P160,$P$106:$U$144,4))</f>
        <v>26300</v>
      </c>
      <c r="R160" s="726"/>
      <c r="S160" s="726"/>
    </row>
    <row r="161" spans="15:19">
      <c r="P161" s="148"/>
      <c r="Q161" s="726"/>
      <c r="R161" s="726"/>
      <c r="S161" s="34">
        <f>IF(AND(Main!$H$7&gt;=DATE(2011,1,1),OR(Main!$AN$10=2,Main!$AN$10=5),'IN RPS-2010'!P164&lt;Main!$L$4),VLOOKUP(P164,$P$106:$U$144,3),VLOOKUP(P164,$P$106:$U$144,2))</f>
        <v>25600</v>
      </c>
    </row>
    <row r="162" spans="15:19">
      <c r="P162" s="724" t="s">
        <v>1599</v>
      </c>
      <c r="Q162" s="726"/>
      <c r="R162" s="209">
        <f>VLOOKUP(DATE(2016,1,1),P164:R202,3)</f>
        <v>26300</v>
      </c>
      <c r="S162" s="726"/>
    </row>
    <row r="163" spans="15:19">
      <c r="P163" s="148" t="s">
        <v>34</v>
      </c>
      <c r="Q163" s="725" t="s">
        <v>1600</v>
      </c>
      <c r="R163" s="725" t="s">
        <v>1593</v>
      </c>
      <c r="S163" s="726"/>
    </row>
    <row r="164" spans="15:19">
      <c r="P164" s="738">
        <f>P106</f>
        <v>42005</v>
      </c>
      <c r="Q164" s="221">
        <f>VLOOKUP(P164,$P$106:$U$144,2)</f>
        <v>25600</v>
      </c>
      <c r="R164" s="221">
        <f>IF(AND(Main!$H$7&gt;=DATE(2011,1,1),OR(Main!$AN$10=2,Main!$AN$10=5),'IN RPS-2010'!P164&lt;Main!$L$4),VLOOKUP(P164,$P$106:$U$144,3),VLOOKUP(P164,$P$106:$U$144,4))</f>
        <v>25600</v>
      </c>
      <c r="S164" s="221" t="b">
        <f>EXACT(Q164,R164)</f>
        <v>1</v>
      </c>
    </row>
    <row r="165" spans="15:19">
      <c r="O165" s="174">
        <f>P164</f>
        <v>42005</v>
      </c>
      <c r="P165" s="738">
        <f t="shared" ref="P165:P202" si="51">P107</f>
        <v>42036</v>
      </c>
      <c r="Q165" s="221">
        <f>VLOOKUP(P165,$P$106:$U$144,2)</f>
        <v>25600</v>
      </c>
      <c r="R165" s="221">
        <f>IF(AND(Main!$H$7&gt;=DATE(2011,1,1),OR(Main!$AN$10=2,Main!$AN$10=5),'IN RPS-2010'!P165&lt;Main!$L$4),VLOOKUP(P165,$P$106:$U$144,3),VLOOKUP(P165,$P$106:$U$144,4))</f>
        <v>25600</v>
      </c>
      <c r="S165" s="221" t="b">
        <f t="shared" ref="S165:S202" si="52">EXACT(Q165,R165)</f>
        <v>1</v>
      </c>
    </row>
    <row r="166" spans="15:19">
      <c r="O166" s="174">
        <f t="shared" ref="O166:O202" si="53">P165</f>
        <v>42036</v>
      </c>
      <c r="P166" s="738">
        <f t="shared" si="51"/>
        <v>42064</v>
      </c>
      <c r="Q166" s="221">
        <f t="shared" ref="Q166:Q202" si="54">VLOOKUP(P166,$P$106:$U$144,2)</f>
        <v>25600</v>
      </c>
      <c r="R166" s="221">
        <f>IF(AND(Main!$H$7&gt;=DATE(2011,1,1),OR(Main!$AN$10=2,Main!$AN$10=5),'IN RPS-2010'!P166&lt;Main!$L$4),VLOOKUP(P166,$P$106:$U$144,3),VLOOKUP(P166,$P$106:$U$144,4))</f>
        <v>25600</v>
      </c>
      <c r="S166" s="221" t="b">
        <f t="shared" si="52"/>
        <v>1</v>
      </c>
    </row>
    <row r="167" spans="15:19">
      <c r="O167" s="174">
        <f t="shared" si="53"/>
        <v>42064</v>
      </c>
      <c r="P167" s="738">
        <f t="shared" si="51"/>
        <v>42095</v>
      </c>
      <c r="Q167" s="221">
        <f t="shared" si="54"/>
        <v>25600</v>
      </c>
      <c r="R167" s="221">
        <f>IF(AND(Main!$H$7&gt;=DATE(2011,1,1),OR(Main!$AN$10=2,Main!$AN$10=5),'IN RPS-2010'!P167&lt;Main!$L$4),VLOOKUP(P167,$P$106:$U$144,3),VLOOKUP(P167,$P$106:$U$144,4))</f>
        <v>25600</v>
      </c>
      <c r="S167" s="221" t="b">
        <f t="shared" si="52"/>
        <v>1</v>
      </c>
    </row>
    <row r="168" spans="15:19">
      <c r="O168" s="174">
        <f t="shared" si="53"/>
        <v>42095</v>
      </c>
      <c r="P168" s="738">
        <f t="shared" si="51"/>
        <v>42125</v>
      </c>
      <c r="Q168" s="221">
        <f t="shared" si="54"/>
        <v>25600</v>
      </c>
      <c r="R168" s="221">
        <f>IF(AND(Main!$H$7&gt;=DATE(2011,1,1),OR(Main!$AN$10=2,Main!$AN$10=5),'IN RPS-2010'!P168&lt;Main!$L$4),VLOOKUP(P168,$P$106:$U$144,3),VLOOKUP(P168,$P$106:$U$144,4))</f>
        <v>25600</v>
      </c>
      <c r="S168" s="221" t="b">
        <f t="shared" si="52"/>
        <v>1</v>
      </c>
    </row>
    <row r="169" spans="15:19">
      <c r="O169" s="174">
        <f t="shared" si="53"/>
        <v>42125</v>
      </c>
      <c r="P169" s="738">
        <f t="shared" si="51"/>
        <v>42156</v>
      </c>
      <c r="Q169" s="221">
        <f t="shared" si="54"/>
        <v>25600</v>
      </c>
      <c r="R169" s="221">
        <f>IF(AND(Main!$H$7&gt;=DATE(2011,1,1),OR(Main!$AN$10=2,Main!$AN$10=5),'IN RPS-2010'!P169&lt;Main!$L$4),VLOOKUP(P169,$P$106:$U$144,3),VLOOKUP(P169,$P$106:$U$144,4))</f>
        <v>25600</v>
      </c>
      <c r="S169" s="221" t="b">
        <f t="shared" si="52"/>
        <v>1</v>
      </c>
    </row>
    <row r="170" spans="15:19">
      <c r="O170" s="174">
        <f t="shared" si="53"/>
        <v>42156</v>
      </c>
      <c r="P170" s="738">
        <f t="shared" si="51"/>
        <v>42186</v>
      </c>
      <c r="Q170" s="221">
        <f t="shared" si="54"/>
        <v>25600</v>
      </c>
      <c r="R170" s="221">
        <f>IF(AND(Main!$H$7&gt;=DATE(2011,1,1),OR(Main!$AN$10=2,Main!$AN$10=5),'IN RPS-2010'!P170&lt;Main!$L$4),VLOOKUP(P170,$P$106:$U$144,3),VLOOKUP(P170,$P$106:$U$144,4))</f>
        <v>25600</v>
      </c>
      <c r="S170" s="221" t="b">
        <f t="shared" si="52"/>
        <v>1</v>
      </c>
    </row>
    <row r="171" spans="15:19">
      <c r="O171" s="174">
        <f t="shared" si="53"/>
        <v>42186</v>
      </c>
      <c r="P171" s="738">
        <f t="shared" si="51"/>
        <v>42217</v>
      </c>
      <c r="Q171" s="221">
        <f t="shared" si="54"/>
        <v>25600</v>
      </c>
      <c r="R171" s="221">
        <f>IF(AND(Main!$H$7&gt;=DATE(2011,1,1),OR(Main!$AN$10=2,Main!$AN$10=5),'IN RPS-2010'!P171&lt;Main!$L$4),VLOOKUP(P171,$P$106:$U$144,3),VLOOKUP(P171,$P$106:$U$144,4))</f>
        <v>25600</v>
      </c>
      <c r="S171" s="221" t="b">
        <f t="shared" si="52"/>
        <v>1</v>
      </c>
    </row>
    <row r="172" spans="15:19">
      <c r="O172" s="174">
        <f t="shared" si="53"/>
        <v>42217</v>
      </c>
      <c r="P172" s="738">
        <f t="shared" si="51"/>
        <v>42248</v>
      </c>
      <c r="Q172" s="221">
        <f t="shared" si="54"/>
        <v>26300</v>
      </c>
      <c r="R172" s="221">
        <f>IF(AND(Main!$H$7&gt;=DATE(2011,1,1),OR(Main!$AN$10=2,Main!$AN$10=5),'IN RPS-2010'!P172&lt;Main!$L$4),VLOOKUP(P172,$P$106:$U$144,3),VLOOKUP(P172,$P$106:$U$144,4))</f>
        <v>26300</v>
      </c>
      <c r="S172" s="221" t="b">
        <f t="shared" si="52"/>
        <v>1</v>
      </c>
    </row>
    <row r="173" spans="15:19">
      <c r="O173" s="174">
        <f t="shared" si="53"/>
        <v>42248</v>
      </c>
      <c r="P173" s="738">
        <f t="shared" si="51"/>
        <v>42278</v>
      </c>
      <c r="Q173" s="221">
        <f t="shared" si="54"/>
        <v>26300</v>
      </c>
      <c r="R173" s="221">
        <f>IF(AND(Main!$H$7&gt;=DATE(2011,1,1),OR(Main!$AN$10=2,Main!$AN$10=5),'IN RPS-2010'!P173&lt;Main!$L$4),VLOOKUP(P173,$P$106:$U$144,3),VLOOKUP(P173,$P$106:$U$144,4))</f>
        <v>26300</v>
      </c>
      <c r="S173" s="221" t="b">
        <f t="shared" si="52"/>
        <v>1</v>
      </c>
    </row>
    <row r="174" spans="15:19">
      <c r="O174" s="174">
        <f t="shared" si="53"/>
        <v>42278</v>
      </c>
      <c r="P174" s="738">
        <f t="shared" si="51"/>
        <v>42309</v>
      </c>
      <c r="Q174" s="221">
        <f t="shared" si="54"/>
        <v>26300</v>
      </c>
      <c r="R174" s="221">
        <f>IF(AND(Main!$H$7&gt;=DATE(2011,1,1),OR(Main!$AN$10=2,Main!$AN$10=5),'IN RPS-2010'!P174&lt;Main!$L$4),VLOOKUP(P174,$P$106:$U$144,3),VLOOKUP(P174,$P$106:$U$144,4))</f>
        <v>26300</v>
      </c>
      <c r="S174" s="221" t="b">
        <f>EXACT(Q174,R174)</f>
        <v>1</v>
      </c>
    </row>
    <row r="175" spans="15:19">
      <c r="O175" s="174">
        <f t="shared" si="53"/>
        <v>42309</v>
      </c>
      <c r="P175" s="738">
        <f t="shared" si="51"/>
        <v>42339</v>
      </c>
      <c r="Q175" s="221">
        <f t="shared" si="54"/>
        <v>26300</v>
      </c>
      <c r="R175" s="221">
        <f>IF(AND(Main!$H$7&gt;=DATE(2011,1,1),OR(Main!$AN$10=2,Main!$AN$10=5),'IN RPS-2010'!P175&lt;Main!$L$4),VLOOKUP(P175,$P$106:$U$144,3),VLOOKUP(P175,$P$106:$U$144,4))</f>
        <v>26300</v>
      </c>
      <c r="S175" s="221" t="b">
        <f t="shared" si="52"/>
        <v>1</v>
      </c>
    </row>
    <row r="176" spans="15:19">
      <c r="O176" s="174">
        <f t="shared" si="53"/>
        <v>42339</v>
      </c>
      <c r="P176" s="738">
        <f t="shared" si="51"/>
        <v>42370</v>
      </c>
      <c r="Q176" s="221">
        <f t="shared" si="54"/>
        <v>26300</v>
      </c>
      <c r="R176" s="221">
        <f>IF(AND(Main!$H$7&gt;=DATE(2011,1,1),OR(Main!$AN$10=2,Main!$AN$10=5),'IN RPS-2010'!P176&lt;Main!$L$4),VLOOKUP(P176,$P$106:$U$144,3),VLOOKUP(P176,$P$106:$U$144,4))</f>
        <v>26300</v>
      </c>
      <c r="S176" s="221" t="b">
        <f t="shared" si="52"/>
        <v>1</v>
      </c>
    </row>
    <row r="177" spans="15:19">
      <c r="O177" s="174">
        <f t="shared" si="53"/>
        <v>42370</v>
      </c>
      <c r="P177" s="738">
        <f t="shared" si="51"/>
        <v>42401</v>
      </c>
      <c r="Q177" s="221">
        <f t="shared" si="54"/>
        <v>26300</v>
      </c>
      <c r="R177" s="221">
        <f>IF(AND(Main!$H$7&gt;=DATE(2011,1,1),OR(Main!$AN$10=2,Main!$AN$10=5),'IN RPS-2010'!P177&lt;Main!$L$4),VLOOKUP(P177,$P$106:$U$144,3),VLOOKUP(P177,$P$106:$U$144,4))</f>
        <v>26300</v>
      </c>
      <c r="S177" s="221" t="b">
        <f t="shared" si="52"/>
        <v>1</v>
      </c>
    </row>
    <row r="178" spans="15:19">
      <c r="O178" s="174">
        <f t="shared" si="53"/>
        <v>42401</v>
      </c>
      <c r="P178" s="738">
        <f t="shared" si="51"/>
        <v>42430</v>
      </c>
      <c r="Q178" s="221">
        <f t="shared" si="54"/>
        <v>26300</v>
      </c>
      <c r="R178" s="221">
        <f>IF(AND(Main!$H$7&gt;=DATE(2011,1,1),OR(Main!$AN$10=2,Main!$AN$10=5),'IN RPS-2010'!P178&lt;Main!$L$4),VLOOKUP(P178,$P$106:$U$144,3),VLOOKUP(P178,$P$106:$U$144,4))</f>
        <v>26300</v>
      </c>
      <c r="S178" s="221" t="b">
        <f t="shared" si="52"/>
        <v>1</v>
      </c>
    </row>
    <row r="179" spans="15:19">
      <c r="O179" s="174">
        <f t="shared" si="53"/>
        <v>42430</v>
      </c>
      <c r="P179" s="738">
        <f t="shared" si="51"/>
        <v>42461</v>
      </c>
      <c r="Q179" s="221">
        <f t="shared" si="54"/>
        <v>26300</v>
      </c>
      <c r="R179" s="221">
        <f>IF(AND(Main!$H$7&gt;=DATE(2011,1,1),OR(Main!$AN$10=2,Main!$AN$10=5),'IN RPS-2010'!P179&lt;Main!$L$4),VLOOKUP(P179,$P$106:$U$144,3),VLOOKUP(P179,$P$106:$U$144,4))</f>
        <v>26300</v>
      </c>
      <c r="S179" s="221" t="b">
        <f t="shared" si="52"/>
        <v>1</v>
      </c>
    </row>
    <row r="180" spans="15:19">
      <c r="O180" s="174">
        <f t="shared" si="53"/>
        <v>42461</v>
      </c>
      <c r="P180" s="738">
        <f t="shared" si="51"/>
        <v>42461</v>
      </c>
      <c r="Q180" s="221">
        <f t="shared" si="54"/>
        <v>26300</v>
      </c>
      <c r="R180" s="221">
        <f>IF(AND(Main!$H$7&gt;=DATE(2011,1,1),OR(Main!$AN$10=2,Main!$AN$10=5),'IN RPS-2010'!P180&lt;Main!$L$4),VLOOKUP(P180,$P$106:$U$144,3),VLOOKUP(P180,$P$106:$U$144,4))</f>
        <v>26300</v>
      </c>
      <c r="S180" s="221" t="b">
        <f t="shared" si="52"/>
        <v>1</v>
      </c>
    </row>
    <row r="181" spans="15:19">
      <c r="O181" s="174">
        <f t="shared" si="53"/>
        <v>42461</v>
      </c>
      <c r="P181" s="738">
        <f t="shared" si="51"/>
        <v>42461</v>
      </c>
      <c r="Q181" s="221">
        <f t="shared" si="54"/>
        <v>26300</v>
      </c>
      <c r="R181" s="221">
        <f>IF(AND(Main!$H$7&gt;=DATE(2011,1,1),OR(Main!$AN$10=2,Main!$AN$10=5),'IN RPS-2010'!P181&lt;Main!$L$4),VLOOKUP(P181,$P$106:$U$144,3),VLOOKUP(P181,$P$106:$U$144,4))</f>
        <v>26300</v>
      </c>
      <c r="S181" s="221" t="b">
        <f t="shared" si="52"/>
        <v>1</v>
      </c>
    </row>
    <row r="182" spans="15:19">
      <c r="O182" s="174">
        <f t="shared" si="53"/>
        <v>42461</v>
      </c>
      <c r="P182" s="738">
        <f t="shared" si="51"/>
        <v>42461</v>
      </c>
      <c r="Q182" s="221">
        <f t="shared" si="54"/>
        <v>26300</v>
      </c>
      <c r="R182" s="221">
        <f>IF(AND(Main!$H$7&gt;=DATE(2011,1,1),OR(Main!$AN$10=2,Main!$AN$10=5),'IN RPS-2010'!P182&lt;Main!$L$4),VLOOKUP(P182,$P$106:$U$144,3),VLOOKUP(P182,$P$106:$U$144,4))</f>
        <v>26300</v>
      </c>
      <c r="S182" s="221" t="b">
        <f t="shared" si="52"/>
        <v>1</v>
      </c>
    </row>
    <row r="183" spans="15:19">
      <c r="O183" s="174">
        <f t="shared" si="53"/>
        <v>42461</v>
      </c>
      <c r="P183" s="738">
        <f t="shared" si="51"/>
        <v>42461</v>
      </c>
      <c r="Q183" s="221">
        <f t="shared" si="54"/>
        <v>26300</v>
      </c>
      <c r="R183" s="221">
        <f>IF(AND(Main!$H$7&gt;=DATE(2011,1,1),OR(Main!$AN$10=2,Main!$AN$10=5),'IN RPS-2010'!P183&lt;Main!$L$4),VLOOKUP(P183,$P$106:$U$144,3),VLOOKUP(P183,$P$106:$U$144,4))</f>
        <v>26300</v>
      </c>
      <c r="S183" s="221" t="b">
        <f t="shared" si="52"/>
        <v>1</v>
      </c>
    </row>
    <row r="184" spans="15:19">
      <c r="O184" s="174">
        <f t="shared" si="53"/>
        <v>42461</v>
      </c>
      <c r="P184" s="738">
        <f t="shared" si="51"/>
        <v>42461</v>
      </c>
      <c r="Q184" s="221">
        <f t="shared" si="54"/>
        <v>26300</v>
      </c>
      <c r="R184" s="221">
        <f>IF(AND(Main!$H$7&gt;=DATE(2011,1,1),OR(Main!$AN$10=2,Main!$AN$10=5),'IN RPS-2010'!P184&lt;Main!$L$4),VLOOKUP(P184,$P$106:$U$144,3),VLOOKUP(P184,$P$106:$U$144,4))</f>
        <v>26300</v>
      </c>
      <c r="S184" s="221" t="b">
        <f t="shared" si="52"/>
        <v>1</v>
      </c>
    </row>
    <row r="185" spans="15:19">
      <c r="O185" s="174">
        <f t="shared" si="53"/>
        <v>42461</v>
      </c>
      <c r="P185" s="738">
        <f t="shared" si="51"/>
        <v>42461</v>
      </c>
      <c r="Q185" s="221">
        <f t="shared" si="54"/>
        <v>26300</v>
      </c>
      <c r="R185" s="221">
        <f>IF(AND(Main!$H$7&gt;=DATE(2011,1,1),OR(Main!$AN$10=2,Main!$AN$10=5),'IN RPS-2010'!P185&lt;Main!$L$4),VLOOKUP(P185,$P$106:$U$144,3),VLOOKUP(P185,$P$106:$U$144,4))</f>
        <v>26300</v>
      </c>
      <c r="S185" s="221" t="b">
        <f t="shared" si="52"/>
        <v>1</v>
      </c>
    </row>
    <row r="186" spans="15:19">
      <c r="O186" s="174">
        <f t="shared" si="53"/>
        <v>42461</v>
      </c>
      <c r="P186" s="738">
        <f t="shared" si="51"/>
        <v>42461</v>
      </c>
      <c r="Q186" s="221">
        <f t="shared" si="54"/>
        <v>26300</v>
      </c>
      <c r="R186" s="221">
        <f>IF(AND(Main!$H$7&gt;=DATE(2011,1,1),OR(Main!$AN$10=2,Main!$AN$10=5),'IN RPS-2010'!P186&lt;Main!$L$4),VLOOKUP(P186,$P$106:$U$144,3),VLOOKUP(P186,$P$106:$U$144,4))</f>
        <v>26300</v>
      </c>
      <c r="S186" s="221" t="b">
        <f t="shared" si="52"/>
        <v>1</v>
      </c>
    </row>
    <row r="187" spans="15:19">
      <c r="O187" s="174">
        <f t="shared" si="53"/>
        <v>42461</v>
      </c>
      <c r="P187" s="738">
        <f t="shared" si="51"/>
        <v>42461</v>
      </c>
      <c r="Q187" s="221">
        <f t="shared" si="54"/>
        <v>26300</v>
      </c>
      <c r="R187" s="221">
        <f>IF(AND(Main!$H$7&gt;=DATE(2011,1,1),OR(Main!$AN$10=2,Main!$AN$10=5),'IN RPS-2010'!P187&lt;Main!$L$4),VLOOKUP(P187,$P$106:$U$144,3),VLOOKUP(P187,$P$106:$U$144,4))</f>
        <v>26300</v>
      </c>
      <c r="S187" s="221" t="b">
        <f t="shared" si="52"/>
        <v>1</v>
      </c>
    </row>
    <row r="188" spans="15:19">
      <c r="O188" s="174">
        <f t="shared" si="53"/>
        <v>42461</v>
      </c>
      <c r="P188" s="738">
        <f t="shared" si="51"/>
        <v>42461</v>
      </c>
      <c r="Q188" s="221">
        <f t="shared" si="54"/>
        <v>26300</v>
      </c>
      <c r="R188" s="221">
        <f>IF(AND(Main!$H$7&gt;=DATE(2011,1,1),OR(Main!$AN$10=2,Main!$AN$10=5),'IN RPS-2010'!P188&lt;Main!$L$4),VLOOKUP(P188,$P$106:$U$144,3),VLOOKUP(P188,$P$106:$U$144,4))</f>
        <v>26300</v>
      </c>
      <c r="S188" s="221" t="b">
        <f t="shared" si="52"/>
        <v>1</v>
      </c>
    </row>
    <row r="189" spans="15:19">
      <c r="O189" s="174">
        <f t="shared" si="53"/>
        <v>42461</v>
      </c>
      <c r="P189" s="738">
        <f t="shared" si="51"/>
        <v>42461</v>
      </c>
      <c r="Q189" s="221">
        <f t="shared" si="54"/>
        <v>26300</v>
      </c>
      <c r="R189" s="221">
        <f>IF(AND(Main!$H$7&gt;=DATE(2011,1,1),OR(Main!$AN$10=2,Main!$AN$10=5),'IN RPS-2010'!P189&lt;Main!$L$4),VLOOKUP(P189,$P$106:$U$144,3),VLOOKUP(P189,$P$106:$U$144,4))</f>
        <v>26300</v>
      </c>
      <c r="S189" s="221" t="b">
        <f t="shared" si="52"/>
        <v>1</v>
      </c>
    </row>
    <row r="190" spans="15:19">
      <c r="O190" s="174">
        <f t="shared" si="53"/>
        <v>42461</v>
      </c>
      <c r="P190" s="738">
        <f t="shared" si="51"/>
        <v>42461</v>
      </c>
      <c r="Q190" s="221">
        <f t="shared" si="54"/>
        <v>26300</v>
      </c>
      <c r="R190" s="221">
        <f>IF(AND(Main!$H$7&gt;=DATE(2011,1,1),OR(Main!$AN$10=2,Main!$AN$10=5),'IN RPS-2010'!P190&lt;Main!$L$4),VLOOKUP(P190,$P$106:$U$144,3),VLOOKUP(P190,$P$106:$U$144,4))</f>
        <v>26300</v>
      </c>
      <c r="S190" s="221" t="b">
        <f t="shared" si="52"/>
        <v>1</v>
      </c>
    </row>
    <row r="191" spans="15:19">
      <c r="O191" s="174">
        <f t="shared" si="53"/>
        <v>42461</v>
      </c>
      <c r="P191" s="738">
        <f t="shared" si="51"/>
        <v>42461</v>
      </c>
      <c r="Q191" s="221">
        <f t="shared" si="54"/>
        <v>26300</v>
      </c>
      <c r="R191" s="221">
        <f>IF(AND(Main!$H$7&gt;=DATE(2011,1,1),OR(Main!$AN$10=2,Main!$AN$10=5),'IN RPS-2010'!P191&lt;Main!$L$4),VLOOKUP(P191,$P$106:$U$144,3),VLOOKUP(P191,$P$106:$U$144,4))</f>
        <v>26300</v>
      </c>
      <c r="S191" s="221" t="b">
        <f t="shared" si="52"/>
        <v>1</v>
      </c>
    </row>
    <row r="192" spans="15:19">
      <c r="O192" s="174">
        <f t="shared" si="53"/>
        <v>42461</v>
      </c>
      <c r="P192" s="738">
        <f t="shared" si="51"/>
        <v>42461</v>
      </c>
      <c r="Q192" s="221">
        <f t="shared" si="54"/>
        <v>26300</v>
      </c>
      <c r="R192" s="221">
        <f>IF(AND(Main!$H$7&gt;=DATE(2011,1,1),OR(Main!$AN$10=2,Main!$AN$10=5),'IN RPS-2010'!P192&lt;Main!$L$4),VLOOKUP(P192,$P$106:$U$144,3),VLOOKUP(P192,$P$106:$U$144,4))</f>
        <v>26300</v>
      </c>
      <c r="S192" s="221" t="b">
        <f t="shared" si="52"/>
        <v>1</v>
      </c>
    </row>
    <row r="193" spans="15:24">
      <c r="O193" s="174">
        <f t="shared" si="53"/>
        <v>42461</v>
      </c>
      <c r="P193" s="738">
        <f t="shared" si="51"/>
        <v>42461</v>
      </c>
      <c r="Q193" s="221">
        <f t="shared" si="54"/>
        <v>26300</v>
      </c>
      <c r="R193" s="221">
        <f>IF(AND(Main!$H$7&gt;=DATE(2011,1,1),OR(Main!$AN$10=2,Main!$AN$10=5),'IN RPS-2010'!P193&lt;Main!$L$4),VLOOKUP(P193,$P$106:$U$144,3),VLOOKUP(P193,$P$106:$U$144,4))</f>
        <v>26300</v>
      </c>
      <c r="S193" s="221" t="b">
        <f t="shared" si="52"/>
        <v>1</v>
      </c>
    </row>
    <row r="194" spans="15:24">
      <c r="O194" s="174">
        <f t="shared" si="53"/>
        <v>42461</v>
      </c>
      <c r="P194" s="738">
        <f t="shared" si="51"/>
        <v>42461</v>
      </c>
      <c r="Q194" s="221">
        <f t="shared" si="54"/>
        <v>26300</v>
      </c>
      <c r="R194" s="221">
        <f>IF(AND(Main!$H$7&gt;=DATE(2011,1,1),OR(Main!$AN$10=2,Main!$AN$10=5),'IN RPS-2010'!P194&lt;Main!$L$4),VLOOKUP(P194,$P$106:$U$144,3),VLOOKUP(P194,$P$106:$U$144,4))</f>
        <v>26300</v>
      </c>
      <c r="S194" s="221" t="b">
        <f t="shared" si="52"/>
        <v>1</v>
      </c>
    </row>
    <row r="195" spans="15:24">
      <c r="O195" s="174">
        <f t="shared" si="53"/>
        <v>42461</v>
      </c>
      <c r="P195" s="738">
        <f t="shared" si="51"/>
        <v>42461</v>
      </c>
      <c r="Q195" s="221">
        <f t="shared" si="54"/>
        <v>26300</v>
      </c>
      <c r="R195" s="221">
        <f>IF(AND(Main!$H$7&gt;=DATE(2011,1,1),OR(Main!$AN$10=2,Main!$AN$10=5),'IN RPS-2010'!P195&lt;Main!$L$4),VLOOKUP(P195,$P$106:$U$144,3),VLOOKUP(P195,$P$106:$U$144,4))</f>
        <v>26300</v>
      </c>
      <c r="S195" s="221" t="b">
        <f t="shared" si="52"/>
        <v>1</v>
      </c>
    </row>
    <row r="196" spans="15:24">
      <c r="O196" s="174">
        <f t="shared" si="53"/>
        <v>42461</v>
      </c>
      <c r="P196" s="738">
        <f t="shared" si="51"/>
        <v>42461</v>
      </c>
      <c r="Q196" s="221">
        <f t="shared" si="54"/>
        <v>26300</v>
      </c>
      <c r="R196" s="221">
        <f>IF(AND(Main!$H$7&gt;=DATE(2011,1,1),OR(Main!$AN$10=2,Main!$AN$10=5),'IN RPS-2010'!P196&lt;Main!$L$4),VLOOKUP(P196,$P$106:$U$144,3),VLOOKUP(P196,$P$106:$U$144,4))</f>
        <v>26300</v>
      </c>
      <c r="S196" s="221" t="b">
        <f t="shared" si="52"/>
        <v>1</v>
      </c>
    </row>
    <row r="197" spans="15:24">
      <c r="O197" s="174">
        <f t="shared" si="53"/>
        <v>42461</v>
      </c>
      <c r="P197" s="738">
        <f t="shared" si="51"/>
        <v>42461</v>
      </c>
      <c r="Q197" s="221">
        <f t="shared" si="54"/>
        <v>26300</v>
      </c>
      <c r="R197" s="221">
        <f>IF(AND(Main!$H$7&gt;=DATE(2011,1,1),OR(Main!$AN$10=2,Main!$AN$10=5),'IN RPS-2010'!P197&lt;Main!$L$4),VLOOKUP(P197,$P$106:$U$144,3),VLOOKUP(P197,$P$106:$U$144,4))</f>
        <v>26300</v>
      </c>
      <c r="S197" s="221" t="b">
        <f t="shared" si="52"/>
        <v>1</v>
      </c>
    </row>
    <row r="198" spans="15:24">
      <c r="O198" s="174">
        <f t="shared" si="53"/>
        <v>42461</v>
      </c>
      <c r="P198" s="738">
        <f t="shared" si="51"/>
        <v>42461</v>
      </c>
      <c r="Q198" s="221">
        <f t="shared" si="54"/>
        <v>26300</v>
      </c>
      <c r="R198" s="221">
        <f>IF(AND(Main!$H$7&gt;=DATE(2011,1,1),OR(Main!$AN$10=2,Main!$AN$10=5),'IN RPS-2010'!P198&lt;Main!$L$4),VLOOKUP(P198,$P$106:$U$144,3),VLOOKUP(P198,$P$106:$U$144,4))</f>
        <v>26300</v>
      </c>
      <c r="S198" s="221" t="b">
        <f t="shared" si="52"/>
        <v>1</v>
      </c>
    </row>
    <row r="199" spans="15:24">
      <c r="O199" s="174">
        <f t="shared" si="53"/>
        <v>42461</v>
      </c>
      <c r="P199" s="738">
        <f t="shared" si="51"/>
        <v>42461</v>
      </c>
      <c r="Q199" s="221">
        <f t="shared" si="54"/>
        <v>26300</v>
      </c>
      <c r="R199" s="221">
        <f>IF(AND(Main!$H$7&gt;=DATE(2011,1,1),OR(Main!$AN$10=2,Main!$AN$10=5),'IN RPS-2010'!P199&lt;Main!$L$4),VLOOKUP(P199,$P$106:$U$144,3),VLOOKUP(P199,$P$106:$U$144,4))</f>
        <v>26300</v>
      </c>
      <c r="S199" s="221" t="b">
        <f t="shared" si="52"/>
        <v>1</v>
      </c>
    </row>
    <row r="200" spans="15:24">
      <c r="O200" s="174">
        <f t="shared" si="53"/>
        <v>42461</v>
      </c>
      <c r="P200" s="738">
        <f t="shared" si="51"/>
        <v>42461</v>
      </c>
      <c r="Q200" s="221">
        <f t="shared" si="54"/>
        <v>26300</v>
      </c>
      <c r="R200" s="221">
        <f>IF(AND(Main!$H$7&gt;=DATE(2011,1,1),OR(Main!$AN$10=2,Main!$AN$10=5),'IN RPS-2010'!P200&lt;Main!$L$4),VLOOKUP(P200,$P$106:$U$144,3),VLOOKUP(P200,$P$106:$U$144,4))</f>
        <v>26300</v>
      </c>
      <c r="S200" s="221" t="b">
        <f t="shared" si="52"/>
        <v>1</v>
      </c>
    </row>
    <row r="201" spans="15:24">
      <c r="O201" s="174">
        <f t="shared" si="53"/>
        <v>42461</v>
      </c>
      <c r="P201" s="738">
        <f t="shared" si="51"/>
        <v>42461</v>
      </c>
      <c r="Q201" s="221">
        <f t="shared" si="54"/>
        <v>26300</v>
      </c>
      <c r="R201" s="221">
        <f>IF(AND(Main!$H$7&gt;=DATE(2011,1,1),OR(Main!$AN$10=2,Main!$AN$10=5),'IN RPS-2010'!P201&lt;Main!$L$4),VLOOKUP(P201,$P$106:$U$144,3),VLOOKUP(P201,$P$106:$U$144,4))</f>
        <v>26300</v>
      </c>
      <c r="S201" s="221" t="b">
        <f>EXACT(Q201,R201)</f>
        <v>1</v>
      </c>
    </row>
    <row r="202" spans="15:24">
      <c r="O202" s="174">
        <f t="shared" si="53"/>
        <v>42461</v>
      </c>
      <c r="P202" s="738">
        <f t="shared" si="51"/>
        <v>42461</v>
      </c>
      <c r="Q202" s="221">
        <f t="shared" si="54"/>
        <v>26300</v>
      </c>
      <c r="R202" s="221">
        <f>IF(AND(Main!$H$7&gt;=DATE(2011,1,1),OR(Main!$AN$10=2,Main!$AN$10=5),'IN RPS-2010'!P202&lt;Main!$L$4),VLOOKUP(P202,$P$106:$U$144,3),VLOOKUP(P202,$P$106:$U$144,4))</f>
        <v>26300</v>
      </c>
      <c r="S202" s="221" t="b">
        <f t="shared" si="52"/>
        <v>1</v>
      </c>
    </row>
    <row r="203" spans="15:24">
      <c r="P203" s="148"/>
    </row>
    <row r="204" spans="15:24">
      <c r="P204" s="148"/>
    </row>
    <row r="205" spans="15:24">
      <c r="P205" s="1129"/>
      <c r="Q205" s="1129"/>
      <c r="R205" s="1129"/>
      <c r="S205" s="1129"/>
      <c r="T205" s="1129" t="s">
        <v>1430</v>
      </c>
      <c r="U205" s="1129"/>
      <c r="V205" s="1129"/>
      <c r="W205" s="1129"/>
      <c r="X205" s="274"/>
    </row>
    <row r="206" spans="15:24">
      <c r="P206" s="148"/>
      <c r="Q206" s="274"/>
      <c r="R206" s="274"/>
      <c r="T206" s="148"/>
      <c r="U206" s="274" t="s">
        <v>1600</v>
      </c>
      <c r="V206" s="274" t="s">
        <v>1593</v>
      </c>
    </row>
    <row r="207" spans="15:24">
      <c r="P207" s="148"/>
      <c r="Q207" s="726"/>
      <c r="R207" s="737">
        <f>P5</f>
        <v>0</v>
      </c>
      <c r="T207" s="278">
        <f>IF(P5&gt;0,P5,Q9)</f>
        <v>42461</v>
      </c>
      <c r="U207" s="221">
        <f>IF(AND(Main!$H$7&gt;=DATE(2011,1,1),OR(Main!$AN$10=2,Main!$AN$10=5),T207&lt;Main!$L$4),VLOOKUP(T207,$P$106:$U$144,3),VLOOKUP(T207,$P$106:$U$144,2))</f>
        <v>26300</v>
      </c>
      <c r="V207" s="34">
        <f>IF(AND(Main!$H$7&gt;=DATE(2011,1,1),OR(Main!$AN$10=2,Main!$AN$10=5),T207&lt;Main!$L$4),VLOOKUP(T207,$P$106:$U$144,4),VLOOKUP(T207,$P$106:$U$144,5))</f>
        <v>26300</v>
      </c>
      <c r="W207" s="34" t="b">
        <f>EXACT(U207,V207)</f>
        <v>1</v>
      </c>
    </row>
    <row r="208" spans="15:24">
      <c r="P208" s="277"/>
      <c r="Q208" s="726" t="s">
        <v>1429</v>
      </c>
      <c r="R208" s="737">
        <f>C11</f>
        <v>42462</v>
      </c>
      <c r="T208" s="277">
        <f>MIN(IF($B$19&gt;T207,$B$19,$C$9),IF($P$19&gt;T207,$P$19,$C$9),IF($B$24&gt;T207,$B$24,$C$9),IF($P$24&gt;T207,$P$24,$C$9),IF($B$23&gt;T207,$B$23,$C$9),IF($P$23&gt;T207,$P$23,$C$9),IF($P$9&gt;T207,$P$9,$Q$9),DATE(YEAR(T207),MONTH(T207)+1,1))</f>
        <v>42461</v>
      </c>
      <c r="U208" s="221">
        <f>IF(AND(Main!$H$7&gt;=DATE(2011,1,1),OR(Main!$AN$10=2,Main!$AN$10=5),T208&lt;Main!$L$4),VLOOKUP(T208,$P$106:$U$144,3),VLOOKUP(T208,$P$106:$U$144,2))</f>
        <v>26300</v>
      </c>
      <c r="V208" s="34">
        <f>IF(AND(Main!$H$7&gt;=DATE(2011,1,1),OR(Main!$AN$10=2,Main!$AN$10=5),T208&lt;Main!$L$4),VLOOKUP(T208,$P$106:$U$144,4),VLOOKUP(T208,$P$106:$U$144,5))</f>
        <v>26300</v>
      </c>
      <c r="W208" s="34" t="b">
        <f t="shared" ref="W208:W222" si="55">EXACT(U208,V208)</f>
        <v>1</v>
      </c>
    </row>
    <row r="209" spans="16:23">
      <c r="P209" s="277"/>
      <c r="Q209" s="34" t="s">
        <v>1916</v>
      </c>
      <c r="R209" s="737">
        <f>S11</f>
        <v>42462</v>
      </c>
      <c r="T209" s="277">
        <f t="shared" ref="T209:T222" si="56">MIN(IF($B$19&gt;T208,$B$19,$C$9),IF($P$19&gt;T208,$P$19,$C$9),IF($B$24&gt;T208,$B$24,$C$9),IF($P$24&gt;T208,$P$24,$C$9),IF($B$23&gt;T208,$B$23,$C$9),IF($P$23&gt;T208,$P$23,$C$9),IF($P$9&gt;T208,$P$9,$Q$9),DATE(YEAR(T208),MONTH(T208)+1,1))</f>
        <v>42461</v>
      </c>
      <c r="U209" s="221">
        <f>IF(AND(Main!$H$7&gt;=DATE(2011,1,1),OR(Main!$AN$10=2,Main!$AN$10=5),T209&lt;Main!$L$4),VLOOKUP(T209,$P$106:$U$144,3),VLOOKUP(T209,$P$106:$U$144,2))</f>
        <v>26300</v>
      </c>
      <c r="V209" s="34">
        <f>IF(AND(Main!$H$7&gt;=DATE(2011,1,1),OR(Main!$AN$10=2,Main!$AN$10=5),T209&lt;Main!$L$4),VLOOKUP(T209,$P$106:$U$144,4),VLOOKUP(T209,$P$106:$U$144,5))</f>
        <v>26300</v>
      </c>
      <c r="W209" s="34" t="b">
        <f t="shared" si="55"/>
        <v>1</v>
      </c>
    </row>
    <row r="210" spans="16:23">
      <c r="P210" s="277"/>
      <c r="Q210" s="726" t="s">
        <v>1884</v>
      </c>
      <c r="R210" s="737">
        <f>Main!C27</f>
        <v>42186</v>
      </c>
      <c r="T210" s="277">
        <f t="shared" si="56"/>
        <v>42461</v>
      </c>
      <c r="U210" s="221">
        <f>IF(AND(Main!$H$7&gt;=DATE(2011,1,1),OR(Main!$AN$10=2,Main!$AN$10=5),T210&lt;Main!$L$4),VLOOKUP(T210,$P$106:$U$144,3),VLOOKUP(T210,$P$106:$U$144,2))</f>
        <v>26300</v>
      </c>
      <c r="V210" s="34">
        <f>IF(AND(Main!$H$7&gt;=DATE(2011,1,1),OR(Main!$AN$10=2,Main!$AN$10=5),T210&lt;Main!$L$4),VLOOKUP(T210,$P$106:$U$144,4),VLOOKUP(T210,$P$106:$U$144,5))</f>
        <v>26300</v>
      </c>
      <c r="W210" s="34" t="b">
        <f t="shared" si="55"/>
        <v>1</v>
      </c>
    </row>
    <row r="211" spans="16:23">
      <c r="P211" s="277"/>
      <c r="Q211" s="726"/>
      <c r="T211" s="277">
        <f t="shared" si="56"/>
        <v>42461</v>
      </c>
      <c r="U211" s="221">
        <f>IF(AND(Main!$H$7&gt;=DATE(2011,1,1),OR(Main!$AN$10=2,Main!$AN$10=5),T211&lt;Main!$L$4),VLOOKUP(T211,$P$106:$U$144,3),VLOOKUP(T211,$P$106:$U$144,2))</f>
        <v>26300</v>
      </c>
      <c r="V211" s="34">
        <f>IF(AND(Main!$H$7&gt;=DATE(2011,1,1),OR(Main!$AN$10=2,Main!$AN$10=5),T211&lt;Main!$L$4),VLOOKUP(T211,$P$106:$U$144,4),VLOOKUP(T211,$P$106:$U$144,5))</f>
        <v>26300</v>
      </c>
      <c r="W211" s="34" t="b">
        <f t="shared" si="55"/>
        <v>1</v>
      </c>
    </row>
    <row r="212" spans="16:23">
      <c r="P212" s="277"/>
      <c r="T212" s="277">
        <f t="shared" si="56"/>
        <v>42461</v>
      </c>
      <c r="U212" s="221">
        <f>IF(AND(Main!$H$7&gt;=DATE(2011,1,1),OR(Main!$AN$10=2,Main!$AN$10=5),T212&lt;Main!$L$4),VLOOKUP(T212,$P$106:$U$144,3),VLOOKUP(T212,$P$106:$U$144,2))</f>
        <v>26300</v>
      </c>
      <c r="V212" s="34">
        <f>IF(AND(Main!$H$7&gt;=DATE(2011,1,1),OR(Main!$AN$10=2,Main!$AN$10=5),T212&lt;Main!$L$4),VLOOKUP(T212,$P$106:$U$144,4),VLOOKUP(T212,$P$106:$U$144,5))</f>
        <v>26300</v>
      </c>
      <c r="W212" s="34" t="b">
        <f t="shared" si="55"/>
        <v>1</v>
      </c>
    </row>
    <row r="213" spans="16:23">
      <c r="P213" s="277"/>
      <c r="Q213" s="726" t="s">
        <v>307</v>
      </c>
      <c r="T213" s="277">
        <f t="shared" si="56"/>
        <v>42461</v>
      </c>
      <c r="U213" s="221">
        <f>IF(AND(Main!$H$7&gt;=DATE(2011,1,1),OR(Main!$AN$10=2,Main!$AN$10=5),T213&lt;Main!$L$4),VLOOKUP(T213,$P$106:$U$144,3),VLOOKUP(T213,$P$106:$U$144,2))</f>
        <v>26300</v>
      </c>
      <c r="V213" s="34">
        <f>IF(AND(Main!$H$7&gt;=DATE(2011,1,1),OR(Main!$AN$10=2,Main!$AN$10=5),T213&lt;Main!$L$4),VLOOKUP(T213,$P$106:$U$144,4),VLOOKUP(T213,$P$106:$U$144,5))</f>
        <v>26300</v>
      </c>
      <c r="W213" s="34" t="b">
        <f t="shared" si="55"/>
        <v>1</v>
      </c>
    </row>
    <row r="214" spans="16:23">
      <c r="P214" s="277"/>
      <c r="Q214" s="748" t="s">
        <v>1429</v>
      </c>
      <c r="R214" s="748" t="s">
        <v>1430</v>
      </c>
      <c r="T214" s="277">
        <f t="shared" si="56"/>
        <v>42461</v>
      </c>
      <c r="U214" s="221">
        <f>IF(AND(Main!$H$7&gt;=DATE(2011,1,1),OR(Main!$AN$10=2,Main!$AN$10=5),T214&lt;Main!$L$4),VLOOKUP(T214,$P$106:$U$144,3),VLOOKUP(T214,$P$106:$U$144,2))</f>
        <v>26300</v>
      </c>
      <c r="V214" s="34">
        <f>IF(AND(Main!$H$7&gt;=DATE(2011,1,1),OR(Main!$AN$10=2,Main!$AN$10=5),T214&lt;Main!$L$4),VLOOKUP(T214,$P$106:$U$144,4),VLOOKUP(T214,$P$106:$U$144,5))</f>
        <v>26300</v>
      </c>
      <c r="W214" s="34" t="b">
        <f t="shared" si="55"/>
        <v>1</v>
      </c>
    </row>
    <row r="215" spans="16:23">
      <c r="P215" s="277">
        <f>P164</f>
        <v>42005</v>
      </c>
      <c r="Q215" s="726">
        <f t="shared" ref="Q215:Q253" si="57">IF($R$208&lt;=$R$210,Q164,R164)</f>
        <v>25600</v>
      </c>
      <c r="R215" s="34">
        <f t="shared" ref="R215:R253" si="58">IF($R$209&lt;=$R$210,Q164,R164)</f>
        <v>25600</v>
      </c>
      <c r="S215" s="668">
        <f>IF(Main!$H$7=Main!$AM$3,Q215,IF(P164&lt;$R$207,Q215,R215))</f>
        <v>25600</v>
      </c>
      <c r="T215" s="277">
        <f t="shared" si="56"/>
        <v>42461</v>
      </c>
      <c r="U215" s="221">
        <f>IF(AND(Main!$H$7&gt;=DATE(2011,1,1),OR(Main!$AN$10=2,Main!$AN$10=5),T215&lt;Main!$L$4),VLOOKUP(T215,$P$106:$U$144,3),VLOOKUP(T215,$P$106:$U$144,2))</f>
        <v>26300</v>
      </c>
      <c r="V215" s="34">
        <f>IF(AND(Main!$H$7&gt;=DATE(2011,1,1),OR(Main!$AN$10=2,Main!$AN$10=5),T215&lt;Main!$L$4),VLOOKUP(T215,$P$106:$U$144,4),VLOOKUP(T215,$P$106:$U$144,5))</f>
        <v>26300</v>
      </c>
      <c r="W215" s="34" t="b">
        <f t="shared" si="55"/>
        <v>1</v>
      </c>
    </row>
    <row r="216" spans="16:23">
      <c r="P216" s="277">
        <f t="shared" ref="P216:P253" si="59">P165</f>
        <v>42036</v>
      </c>
      <c r="Q216" s="749">
        <f t="shared" si="57"/>
        <v>25600</v>
      </c>
      <c r="R216" s="34">
        <f t="shared" si="58"/>
        <v>25600</v>
      </c>
      <c r="S216" s="668">
        <f>IF(Main!$H$7=Main!$AM$3,Q216,IF(P165&lt;$R$207,Q216,R216))</f>
        <v>25600</v>
      </c>
      <c r="T216" s="277">
        <f t="shared" si="56"/>
        <v>42461</v>
      </c>
      <c r="U216" s="221">
        <f>IF(AND(Main!$H$7&gt;=DATE(2011,1,1),OR(Main!$AN$10=2,Main!$AN$10=5),T216&lt;Main!$L$4),VLOOKUP(T216,$P$106:$U$144,3),VLOOKUP(T216,$P$106:$U$144,2))</f>
        <v>26300</v>
      </c>
      <c r="V216" s="34">
        <f>IF(AND(Main!$H$7&gt;=DATE(2011,1,1),OR(Main!$AN$10=2,Main!$AN$10=5),T216&lt;Main!$L$4),VLOOKUP(T216,$P$106:$U$144,4),VLOOKUP(T216,$P$106:$U$144,5))</f>
        <v>26300</v>
      </c>
      <c r="W216" s="34" t="b">
        <f t="shared" si="55"/>
        <v>1</v>
      </c>
    </row>
    <row r="217" spans="16:23">
      <c r="P217" s="277">
        <f t="shared" si="59"/>
        <v>42064</v>
      </c>
      <c r="Q217" s="749">
        <f t="shared" si="57"/>
        <v>25600</v>
      </c>
      <c r="R217" s="34">
        <f t="shared" si="58"/>
        <v>25600</v>
      </c>
      <c r="S217" s="668">
        <f>IF(Main!$H$7=Main!$AM$3,Q217,IF(P166&lt;$R$207,Q217,R217))</f>
        <v>25600</v>
      </c>
      <c r="T217" s="277">
        <f t="shared" si="56"/>
        <v>42461</v>
      </c>
      <c r="U217" s="221">
        <f>IF(AND(Main!$H$7&gt;=DATE(2011,1,1),OR(Main!$AN$10=2,Main!$AN$10=5),T217&lt;Main!$L$4),VLOOKUP(T217,$P$106:$U$144,3),VLOOKUP(T217,$P$106:$U$144,2))</f>
        <v>26300</v>
      </c>
      <c r="V217" s="34">
        <f>IF(AND(Main!$H$7&gt;=DATE(2011,1,1),OR(Main!$AN$10=2,Main!$AN$10=5),T217&lt;Main!$L$4),VLOOKUP(T217,$P$106:$U$144,4),VLOOKUP(T217,$P$106:$U$144,5))</f>
        <v>26300</v>
      </c>
      <c r="W217" s="34" t="b">
        <f t="shared" si="55"/>
        <v>1</v>
      </c>
    </row>
    <row r="218" spans="16:23">
      <c r="P218" s="277">
        <f t="shared" si="59"/>
        <v>42095</v>
      </c>
      <c r="Q218" s="749">
        <f t="shared" si="57"/>
        <v>25600</v>
      </c>
      <c r="R218" s="34">
        <f t="shared" si="58"/>
        <v>25600</v>
      </c>
      <c r="S218" s="668">
        <f>IF(Main!$H$7=Main!$AM$3,Q218,IF(P167&lt;$R$207,Q218,R218))</f>
        <v>25600</v>
      </c>
      <c r="T218" s="277">
        <f t="shared" si="56"/>
        <v>42461</v>
      </c>
      <c r="U218" s="221">
        <f>IF(AND(Main!$H$7&gt;=DATE(2011,1,1),OR(Main!$AN$10=2,Main!$AN$10=5),T218&lt;Main!$L$4),VLOOKUP(T218,$P$106:$U$144,3),VLOOKUP(T218,$P$106:$U$144,2))</f>
        <v>26300</v>
      </c>
      <c r="V218" s="34">
        <f>IF(AND(Main!$H$7&gt;=DATE(2011,1,1),OR(Main!$AN$10=2,Main!$AN$10=5),T218&lt;Main!$L$4),VLOOKUP(T218,$P$106:$U$144,4),VLOOKUP(T218,$P$106:$U$144,5))</f>
        <v>26300</v>
      </c>
      <c r="W218" s="34" t="b">
        <f t="shared" si="55"/>
        <v>1</v>
      </c>
    </row>
    <row r="219" spans="16:23">
      <c r="P219" s="277">
        <f t="shared" si="59"/>
        <v>42125</v>
      </c>
      <c r="Q219" s="749">
        <f t="shared" si="57"/>
        <v>25600</v>
      </c>
      <c r="R219" s="34">
        <f t="shared" si="58"/>
        <v>25600</v>
      </c>
      <c r="S219" s="668">
        <f>IF(Main!$H$7=Main!$AM$3,Q219,IF(P168&lt;$R$207,Q219,R219))</f>
        <v>25600</v>
      </c>
      <c r="T219" s="277">
        <f t="shared" si="56"/>
        <v>42461</v>
      </c>
      <c r="U219" s="221">
        <f>IF(AND(Main!$H$7&gt;=DATE(2011,1,1),OR(Main!$AN$10=2,Main!$AN$10=5),T219&lt;Main!$L$4),VLOOKUP(T219,$P$106:$U$144,3),VLOOKUP(T219,$P$106:$U$144,2))</f>
        <v>26300</v>
      </c>
      <c r="V219" s="34">
        <f>IF(AND(Main!$H$7&gt;=DATE(2011,1,1),OR(Main!$AN$10=2,Main!$AN$10=5),T219&lt;Main!$L$4),VLOOKUP(T219,$P$106:$U$144,4),VLOOKUP(T219,$P$106:$U$144,5))</f>
        <v>26300</v>
      </c>
      <c r="W219" s="34" t="b">
        <f t="shared" si="55"/>
        <v>1</v>
      </c>
    </row>
    <row r="220" spans="16:23">
      <c r="P220" s="277">
        <f t="shared" si="59"/>
        <v>42156</v>
      </c>
      <c r="Q220" s="749">
        <f t="shared" si="57"/>
        <v>25600</v>
      </c>
      <c r="R220" s="34">
        <f t="shared" si="58"/>
        <v>25600</v>
      </c>
      <c r="S220" s="668">
        <f>IF(Main!$H$7=Main!$AM$3,Q220,IF(P169&lt;$R$207,Q220,R220))</f>
        <v>25600</v>
      </c>
      <c r="T220" s="277">
        <f t="shared" si="56"/>
        <v>42461</v>
      </c>
      <c r="U220" s="221">
        <f>IF(AND(Main!$H$7&gt;=DATE(2011,1,1),OR(Main!$AN$10=2,Main!$AN$10=5),T220&lt;Main!$L$4),VLOOKUP(T220,$P$106:$U$144,3),VLOOKUP(T220,$P$106:$U$144,2))</f>
        <v>26300</v>
      </c>
      <c r="V220" s="34">
        <f>IF(AND(Main!$H$7&gt;=DATE(2011,1,1),OR(Main!$AN$10=2,Main!$AN$10=5),T220&lt;Main!$L$4),VLOOKUP(T220,$P$106:$U$144,4),VLOOKUP(T220,$P$106:$U$144,5))</f>
        <v>26300</v>
      </c>
      <c r="W220" s="34" t="b">
        <f t="shared" si="55"/>
        <v>1</v>
      </c>
    </row>
    <row r="221" spans="16:23">
      <c r="P221" s="277">
        <f t="shared" si="59"/>
        <v>42186</v>
      </c>
      <c r="Q221" s="749">
        <f t="shared" si="57"/>
        <v>25600</v>
      </c>
      <c r="R221" s="34">
        <f t="shared" si="58"/>
        <v>25600</v>
      </c>
      <c r="S221" s="668">
        <f>IF(Main!$H$7=Main!$AM$3,Q221,IF(P170&lt;$R$207,Q221,R221))</f>
        <v>25600</v>
      </c>
      <c r="T221" s="277">
        <f t="shared" si="56"/>
        <v>42461</v>
      </c>
      <c r="U221" s="221">
        <f>IF(AND(Main!$H$7&gt;=DATE(2011,1,1),OR(Main!$AN$10=2,Main!$AN$10=5),T221&lt;Main!$L$4),VLOOKUP(T221,$P$106:$U$144,3),VLOOKUP(T221,$P$106:$U$144,2))</f>
        <v>26300</v>
      </c>
      <c r="V221" s="34">
        <f>IF(AND(Main!$H$7&gt;=DATE(2011,1,1),OR(Main!$AN$10=2,Main!$AN$10=5),T221&lt;Main!$L$4),VLOOKUP(T221,$P$106:$U$144,4),VLOOKUP(T221,$P$106:$U$144,5))</f>
        <v>26300</v>
      </c>
      <c r="W221" s="34" t="b">
        <f t="shared" si="55"/>
        <v>1</v>
      </c>
    </row>
    <row r="222" spans="16:23">
      <c r="P222" s="277">
        <f t="shared" si="59"/>
        <v>42217</v>
      </c>
      <c r="Q222" s="749">
        <f t="shared" si="57"/>
        <v>25600</v>
      </c>
      <c r="R222" s="34">
        <f t="shared" si="58"/>
        <v>25600</v>
      </c>
      <c r="S222" s="668">
        <f>IF(Main!$H$7=Main!$AM$3,Q222,IF(P171&lt;$R$207,Q222,R222))</f>
        <v>25600</v>
      </c>
      <c r="T222" s="277">
        <f t="shared" si="56"/>
        <v>42461</v>
      </c>
      <c r="U222" s="221">
        <f>IF(AND(Main!$H$7&gt;=DATE(2011,1,1),OR(Main!$AN$10=2,Main!$AN$10=5),T222&lt;Main!$L$4),VLOOKUP(T222,$P$106:$U$144,3),VLOOKUP(T222,$P$106:$U$144,2))</f>
        <v>26300</v>
      </c>
      <c r="V222" s="34">
        <f>IF(AND(Main!$H$7&gt;=DATE(2011,1,1),OR(Main!$AN$10=2,Main!$AN$10=5),T222&lt;Main!$L$4),VLOOKUP(T222,$P$106:$U$144,4),VLOOKUP(T222,$P$106:$U$144,5))</f>
        <v>26300</v>
      </c>
      <c r="W222" s="34" t="b">
        <f t="shared" si="55"/>
        <v>1</v>
      </c>
    </row>
    <row r="223" spans="16:23">
      <c r="P223" s="277">
        <f t="shared" si="59"/>
        <v>42248</v>
      </c>
      <c r="Q223" s="749">
        <f t="shared" si="57"/>
        <v>26300</v>
      </c>
      <c r="R223" s="34">
        <f t="shared" si="58"/>
        <v>26300</v>
      </c>
      <c r="S223" s="668">
        <f>IF(Main!$H$7=Main!$AM$3,Q223,IF(P172&lt;$R$207,Q223,R223))</f>
        <v>26300</v>
      </c>
    </row>
    <row r="224" spans="16:23">
      <c r="P224" s="277">
        <f t="shared" si="59"/>
        <v>42278</v>
      </c>
      <c r="Q224" s="749">
        <f t="shared" si="57"/>
        <v>26300</v>
      </c>
      <c r="R224" s="34">
        <f t="shared" si="58"/>
        <v>26300</v>
      </c>
      <c r="S224" s="668">
        <f>IF(Main!$H$7=Main!$AM$3,Q224,IF(P173&lt;$R$207,Q224,R224))</f>
        <v>26300</v>
      </c>
    </row>
    <row r="225" spans="16:19">
      <c r="P225" s="277">
        <f t="shared" si="59"/>
        <v>42309</v>
      </c>
      <c r="Q225" s="749">
        <f t="shared" si="57"/>
        <v>26300</v>
      </c>
      <c r="R225" s="34">
        <f t="shared" si="58"/>
        <v>26300</v>
      </c>
      <c r="S225" s="668">
        <f>IF(Main!$H$7=Main!$AM$3,Q225,IF(P174&lt;$R$207,Q225,R225))</f>
        <v>26300</v>
      </c>
    </row>
    <row r="226" spans="16:19">
      <c r="P226" s="277">
        <f t="shared" si="59"/>
        <v>42339</v>
      </c>
      <c r="Q226" s="749">
        <f t="shared" si="57"/>
        <v>26300</v>
      </c>
      <c r="R226" s="34">
        <f t="shared" si="58"/>
        <v>26300</v>
      </c>
      <c r="S226" s="668">
        <f>IF(Main!$H$7=Main!$AM$3,Q226,IF(P175&lt;$R$207,Q226,R226))</f>
        <v>26300</v>
      </c>
    </row>
    <row r="227" spans="16:19">
      <c r="P227" s="277">
        <f t="shared" si="59"/>
        <v>42370</v>
      </c>
      <c r="Q227" s="749">
        <f t="shared" si="57"/>
        <v>26300</v>
      </c>
      <c r="R227" s="34">
        <f t="shared" si="58"/>
        <v>26300</v>
      </c>
      <c r="S227" s="668">
        <f>IF(Main!$H$7=Main!$AM$3,Q227,IF(P176&lt;$R$207,Q227,R227))</f>
        <v>26300</v>
      </c>
    </row>
    <row r="228" spans="16:19">
      <c r="P228" s="277">
        <f t="shared" si="59"/>
        <v>42401</v>
      </c>
      <c r="Q228" s="749">
        <f t="shared" si="57"/>
        <v>26300</v>
      </c>
      <c r="R228" s="34">
        <f t="shared" si="58"/>
        <v>26300</v>
      </c>
      <c r="S228" s="668">
        <f>IF(Main!$H$7=Main!$AM$3,Q228,IF(P177&lt;$R$207,Q228,R228))</f>
        <v>26300</v>
      </c>
    </row>
    <row r="229" spans="16:19">
      <c r="P229" s="277">
        <f t="shared" si="59"/>
        <v>42430</v>
      </c>
      <c r="Q229" s="749">
        <f t="shared" si="57"/>
        <v>26300</v>
      </c>
      <c r="R229" s="34">
        <f t="shared" si="58"/>
        <v>26300</v>
      </c>
      <c r="S229" s="668">
        <f>IF(Main!$H$7=Main!$AM$3,Q229,IF(P178&lt;$R$207,Q229,R229))</f>
        <v>26300</v>
      </c>
    </row>
    <row r="230" spans="16:19">
      <c r="P230" s="277">
        <f t="shared" si="59"/>
        <v>42461</v>
      </c>
      <c r="Q230" s="749">
        <f t="shared" si="57"/>
        <v>26300</v>
      </c>
      <c r="R230" s="34">
        <f t="shared" si="58"/>
        <v>26300</v>
      </c>
      <c r="S230" s="668">
        <f>IF(Main!$H$7=Main!$AM$3,Q230,IF(P179&lt;$R$207,Q230,R230))</f>
        <v>26300</v>
      </c>
    </row>
    <row r="231" spans="16:19">
      <c r="P231" s="277">
        <f t="shared" si="59"/>
        <v>42461</v>
      </c>
      <c r="Q231" s="749">
        <f t="shared" si="57"/>
        <v>26300</v>
      </c>
      <c r="R231" s="34">
        <f t="shared" si="58"/>
        <v>26300</v>
      </c>
      <c r="S231" s="668">
        <f>IF(Main!$H$7=Main!$AM$3,Q231,IF(P180&lt;$R$207,Q231,R231))</f>
        <v>26300</v>
      </c>
    </row>
    <row r="232" spans="16:19">
      <c r="P232" s="277">
        <f t="shared" si="59"/>
        <v>42461</v>
      </c>
      <c r="Q232" s="749">
        <f t="shared" si="57"/>
        <v>26300</v>
      </c>
      <c r="R232" s="34">
        <f t="shared" si="58"/>
        <v>26300</v>
      </c>
      <c r="S232" s="668">
        <f>IF(Main!$H$7=Main!$AM$3,Q232,IF(P181&lt;$R$207,Q232,R232))</f>
        <v>26300</v>
      </c>
    </row>
    <row r="233" spans="16:19">
      <c r="P233" s="277">
        <f t="shared" si="59"/>
        <v>42461</v>
      </c>
      <c r="Q233" s="749">
        <f t="shared" si="57"/>
        <v>26300</v>
      </c>
      <c r="R233" s="34">
        <f t="shared" si="58"/>
        <v>26300</v>
      </c>
      <c r="S233" s="668">
        <f>IF(Main!$H$7=Main!$AM$3,Q233,IF(P182&lt;$R$207,Q233,R233))</f>
        <v>26300</v>
      </c>
    </row>
    <row r="234" spans="16:19">
      <c r="P234" s="277">
        <f t="shared" si="59"/>
        <v>42461</v>
      </c>
      <c r="Q234" s="749">
        <f t="shared" si="57"/>
        <v>26300</v>
      </c>
      <c r="R234" s="34">
        <f t="shared" si="58"/>
        <v>26300</v>
      </c>
      <c r="S234" s="668">
        <f>IF(Main!$H$7=Main!$AM$3,Q234,IF(P183&lt;$R$207,Q234,R234))</f>
        <v>26300</v>
      </c>
    </row>
    <row r="235" spans="16:19">
      <c r="P235" s="277">
        <f t="shared" si="59"/>
        <v>42461</v>
      </c>
      <c r="Q235" s="749">
        <f t="shared" si="57"/>
        <v>26300</v>
      </c>
      <c r="R235" s="34">
        <f t="shared" si="58"/>
        <v>26300</v>
      </c>
      <c r="S235" s="668">
        <f>IF(Main!$H$7=Main!$AM$3,Q235,IF(P184&lt;$R$207,Q235,R235))</f>
        <v>26300</v>
      </c>
    </row>
    <row r="236" spans="16:19">
      <c r="P236" s="277">
        <f t="shared" si="59"/>
        <v>42461</v>
      </c>
      <c r="Q236" s="749">
        <f t="shared" si="57"/>
        <v>26300</v>
      </c>
      <c r="R236" s="34">
        <f t="shared" si="58"/>
        <v>26300</v>
      </c>
      <c r="S236" s="668">
        <f>IF(Main!$H$7=Main!$AM$3,Q236,IF(P185&lt;$R$207,Q236,R236))</f>
        <v>26300</v>
      </c>
    </row>
    <row r="237" spans="16:19">
      <c r="P237" s="277">
        <f t="shared" si="59"/>
        <v>42461</v>
      </c>
      <c r="Q237" s="749">
        <f t="shared" si="57"/>
        <v>26300</v>
      </c>
      <c r="R237" s="34">
        <f t="shared" si="58"/>
        <v>26300</v>
      </c>
      <c r="S237" s="668">
        <f>IF(Main!$H$7=Main!$AM$3,Q237,IF(P186&lt;$R$207,Q237,R237))</f>
        <v>26300</v>
      </c>
    </row>
    <row r="238" spans="16:19">
      <c r="P238" s="277">
        <f t="shared" si="59"/>
        <v>42461</v>
      </c>
      <c r="Q238" s="749">
        <f t="shared" si="57"/>
        <v>26300</v>
      </c>
      <c r="R238" s="34">
        <f t="shared" si="58"/>
        <v>26300</v>
      </c>
      <c r="S238" s="668">
        <f>IF(Main!$H$7=Main!$AM$3,Q238,IF(P187&lt;$R$207,Q238,R238))</f>
        <v>26300</v>
      </c>
    </row>
    <row r="239" spans="16:19">
      <c r="P239" s="277">
        <f t="shared" si="59"/>
        <v>42461</v>
      </c>
      <c r="Q239" s="749">
        <f t="shared" si="57"/>
        <v>26300</v>
      </c>
      <c r="R239" s="34">
        <f t="shared" si="58"/>
        <v>26300</v>
      </c>
      <c r="S239" s="668">
        <f>IF(Main!$H$7=Main!$AM$3,Q239,IF(P188&lt;$R$207,Q239,R239))</f>
        <v>26300</v>
      </c>
    </row>
    <row r="240" spans="16:19">
      <c r="P240" s="277">
        <f t="shared" si="59"/>
        <v>42461</v>
      </c>
      <c r="Q240" s="749">
        <f t="shared" si="57"/>
        <v>26300</v>
      </c>
      <c r="R240" s="34">
        <f t="shared" si="58"/>
        <v>26300</v>
      </c>
      <c r="S240" s="668">
        <f>IF(Main!$H$7=Main!$AM$3,Q240,IF(P189&lt;$R$207,Q240,R240))</f>
        <v>26300</v>
      </c>
    </row>
    <row r="241" spans="16:19">
      <c r="P241" s="277">
        <f t="shared" si="59"/>
        <v>42461</v>
      </c>
      <c r="Q241" s="749">
        <f t="shared" si="57"/>
        <v>26300</v>
      </c>
      <c r="R241" s="34">
        <f t="shared" si="58"/>
        <v>26300</v>
      </c>
      <c r="S241" s="668">
        <f>IF(Main!$H$7=Main!$AM$3,Q241,IF(P190&lt;$R$207,Q241,R241))</f>
        <v>26300</v>
      </c>
    </row>
    <row r="242" spans="16:19">
      <c r="P242" s="277">
        <f t="shared" si="59"/>
        <v>42461</v>
      </c>
      <c r="Q242" s="749">
        <f t="shared" si="57"/>
        <v>26300</v>
      </c>
      <c r="R242" s="34">
        <f t="shared" si="58"/>
        <v>26300</v>
      </c>
      <c r="S242" s="668">
        <f>IF(Main!$H$7=Main!$AM$3,Q242,IF(P191&lt;$R$207,Q242,R242))</f>
        <v>26300</v>
      </c>
    </row>
    <row r="243" spans="16:19">
      <c r="P243" s="277">
        <f t="shared" si="59"/>
        <v>42461</v>
      </c>
      <c r="Q243" s="749">
        <f t="shared" si="57"/>
        <v>26300</v>
      </c>
      <c r="R243" s="34">
        <f t="shared" si="58"/>
        <v>26300</v>
      </c>
      <c r="S243" s="668">
        <f>IF(Main!$H$7=Main!$AM$3,Q243,IF(P192&lt;$R$207,Q243,R243))</f>
        <v>26300</v>
      </c>
    </row>
    <row r="244" spans="16:19">
      <c r="P244" s="277">
        <f t="shared" si="59"/>
        <v>42461</v>
      </c>
      <c r="Q244" s="749">
        <f t="shared" si="57"/>
        <v>26300</v>
      </c>
      <c r="R244" s="34">
        <f t="shared" si="58"/>
        <v>26300</v>
      </c>
      <c r="S244" s="668">
        <f>IF(Main!$H$7=Main!$AM$3,Q244,IF(P193&lt;$R$207,Q244,R244))</f>
        <v>26300</v>
      </c>
    </row>
    <row r="245" spans="16:19">
      <c r="P245" s="277">
        <f t="shared" si="59"/>
        <v>42461</v>
      </c>
      <c r="Q245" s="749">
        <f t="shared" si="57"/>
        <v>26300</v>
      </c>
      <c r="R245" s="34">
        <f t="shared" si="58"/>
        <v>26300</v>
      </c>
      <c r="S245" s="668">
        <f>IF(Main!$H$7=Main!$AM$3,Q245,IF(P194&lt;$R$207,Q245,R245))</f>
        <v>26300</v>
      </c>
    </row>
    <row r="246" spans="16:19">
      <c r="P246" s="277">
        <f t="shared" si="59"/>
        <v>42461</v>
      </c>
      <c r="Q246" s="749">
        <f t="shared" si="57"/>
        <v>26300</v>
      </c>
      <c r="R246" s="34">
        <f t="shared" si="58"/>
        <v>26300</v>
      </c>
      <c r="S246" s="668">
        <f>IF(Main!$H$7=Main!$AM$3,Q246,IF(P195&lt;$R$207,Q246,R246))</f>
        <v>26300</v>
      </c>
    </row>
    <row r="247" spans="16:19">
      <c r="P247" s="277">
        <f t="shared" si="59"/>
        <v>42461</v>
      </c>
      <c r="Q247" s="749">
        <f t="shared" si="57"/>
        <v>26300</v>
      </c>
      <c r="R247" s="34">
        <f t="shared" si="58"/>
        <v>26300</v>
      </c>
      <c r="S247" s="668">
        <f>IF(Main!$H$7=Main!$AM$3,Q247,IF(P196&lt;$R$207,Q247,R247))</f>
        <v>26300</v>
      </c>
    </row>
    <row r="248" spans="16:19">
      <c r="P248" s="277">
        <f t="shared" si="59"/>
        <v>42461</v>
      </c>
      <c r="Q248" s="749">
        <f t="shared" si="57"/>
        <v>26300</v>
      </c>
      <c r="R248" s="34">
        <f t="shared" si="58"/>
        <v>26300</v>
      </c>
      <c r="S248" s="668">
        <f>IF(Main!$H$7=Main!$AM$3,Q248,IF(P197&lt;$R$207,Q248,R248))</f>
        <v>26300</v>
      </c>
    </row>
    <row r="249" spans="16:19">
      <c r="P249" s="277">
        <f t="shared" si="59"/>
        <v>42461</v>
      </c>
      <c r="Q249" s="749">
        <f t="shared" si="57"/>
        <v>26300</v>
      </c>
      <c r="R249" s="34">
        <f t="shared" si="58"/>
        <v>26300</v>
      </c>
      <c r="S249" s="668">
        <f>IF(Main!$H$7=Main!$AM$3,Q249,IF(P198&lt;$R$207,Q249,R249))</f>
        <v>26300</v>
      </c>
    </row>
    <row r="250" spans="16:19">
      <c r="P250" s="277">
        <f t="shared" si="59"/>
        <v>42461</v>
      </c>
      <c r="Q250" s="749">
        <f t="shared" si="57"/>
        <v>26300</v>
      </c>
      <c r="R250" s="34">
        <f t="shared" si="58"/>
        <v>26300</v>
      </c>
      <c r="S250" s="668">
        <f>IF(Main!$H$7=Main!$AM$3,Q250,IF(P199&lt;$R$207,Q250,R250))</f>
        <v>26300</v>
      </c>
    </row>
    <row r="251" spans="16:19">
      <c r="P251" s="277">
        <f t="shared" si="59"/>
        <v>42461</v>
      </c>
      <c r="Q251" s="749">
        <f t="shared" si="57"/>
        <v>26300</v>
      </c>
      <c r="R251" s="34">
        <f t="shared" si="58"/>
        <v>26300</v>
      </c>
      <c r="S251" s="668">
        <f>IF(Main!$H$7=Main!$AM$3,Q251,IF(P200&lt;$R$207,Q251,R251))</f>
        <v>26300</v>
      </c>
    </row>
    <row r="252" spans="16:19">
      <c r="P252" s="277">
        <f t="shared" si="59"/>
        <v>42461</v>
      </c>
      <c r="Q252" s="749">
        <f t="shared" si="57"/>
        <v>26300</v>
      </c>
      <c r="R252" s="34">
        <f t="shared" si="58"/>
        <v>26300</v>
      </c>
      <c r="S252" s="668">
        <f>IF(Main!$H$7=Main!$AM$3,Q252,IF(P201&lt;$R$207,Q252,R252))</f>
        <v>26300</v>
      </c>
    </row>
    <row r="253" spans="16:19">
      <c r="P253" s="277">
        <f t="shared" si="59"/>
        <v>42461</v>
      </c>
      <c r="Q253" s="749">
        <f t="shared" si="57"/>
        <v>26300</v>
      </c>
      <c r="R253" s="34">
        <f t="shared" si="58"/>
        <v>26300</v>
      </c>
      <c r="S253" s="668">
        <f>IF(Main!$H$7=Main!$AM$3,Q253,IF(P202&lt;$R$207,Q253,R253))</f>
        <v>26300</v>
      </c>
    </row>
  </sheetData>
  <mergeCells count="10">
    <mergeCell ref="AM1:AX1"/>
    <mergeCell ref="B103:C103"/>
    <mergeCell ref="AN103:AO103"/>
    <mergeCell ref="Q104:R104"/>
    <mergeCell ref="S104:T104"/>
    <mergeCell ref="P148:Q148"/>
    <mergeCell ref="P205:S205"/>
    <mergeCell ref="T205:W205"/>
    <mergeCell ref="A1:L1"/>
    <mergeCell ref="O1:AA1"/>
  </mergeCells>
  <conditionalFormatting sqref="S164:S202">
    <cfRule type="cellIs" dxfId="36" priority="15" operator="equal">
      <formula>FALSE</formula>
    </cfRule>
  </conditionalFormatting>
  <conditionalFormatting sqref="Z105:Z144 U105:Y105 U138:Y144">
    <cfRule type="expression" dxfId="35" priority="14">
      <formula>FALSE</formula>
    </cfRule>
  </conditionalFormatting>
  <conditionalFormatting sqref="U106:W144">
    <cfRule type="cellIs" dxfId="34" priority="13" operator="equal">
      <formula>FALSE</formula>
    </cfRule>
  </conditionalFormatting>
  <conditionalFormatting sqref="W207:W222">
    <cfRule type="expression" dxfId="33" priority="11">
      <formula>FALSE</formula>
    </cfRule>
  </conditionalFormatting>
  <conditionalFormatting sqref="T207:W222">
    <cfRule type="cellIs" dxfId="32" priority="10" operator="equal">
      <formula>FALSE</formula>
    </cfRule>
  </conditionalFormatting>
  <conditionalFormatting sqref="X164:X202">
    <cfRule type="cellIs" dxfId="31" priority="9" operator="equal">
      <formula>FALSE</formula>
    </cfRule>
  </conditionalFormatting>
  <conditionalFormatting sqref="Z105:Z144 U105:Y105 U138:Y144">
    <cfRule type="expression" dxfId="30" priority="8">
      <formula>FALSE</formula>
    </cfRule>
  </conditionalFormatting>
  <conditionalFormatting sqref="U106:W144">
    <cfRule type="cellIs" dxfId="29" priority="7" operator="equal">
      <formula>FALSE</formula>
    </cfRule>
  </conditionalFormatting>
  <conditionalFormatting sqref="S164:S202">
    <cfRule type="cellIs" dxfId="28" priority="6" operator="equal">
      <formula>FALSE</formula>
    </cfRule>
  </conditionalFormatting>
  <conditionalFormatting sqref="Z105:Z144 U105:Y105 U138:Y144">
    <cfRule type="expression" dxfId="27" priority="5">
      <formula>FALSE</formula>
    </cfRule>
  </conditionalFormatting>
  <conditionalFormatting sqref="U106:W144">
    <cfRule type="cellIs" dxfId="26" priority="4" operator="equal">
      <formula>FALSE</formula>
    </cfRule>
  </conditionalFormatting>
  <conditionalFormatting sqref="W207:W222">
    <cfRule type="expression" dxfId="25" priority="2">
      <formula>FALSE</formula>
    </cfRule>
  </conditionalFormatting>
  <conditionalFormatting sqref="T207:W222">
    <cfRule type="cellIs" dxfId="24" priority="1" operator="equal">
      <formula>FALSE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Y253"/>
  <sheetViews>
    <sheetView topLeftCell="A22" zoomScale="106" zoomScaleNormal="106" workbookViewId="0">
      <selection activeCell="P112" sqref="P112"/>
    </sheetView>
  </sheetViews>
  <sheetFormatPr defaultColWidth="15.7109375" defaultRowHeight="12.75"/>
  <cols>
    <col min="1" max="16384" width="15.7109375" style="34"/>
  </cols>
  <sheetData>
    <row r="1" spans="1:51" ht="22.5" customHeight="1">
      <c r="A1" s="1130"/>
      <c r="B1" s="1130"/>
      <c r="C1" s="1130"/>
      <c r="D1" s="1130"/>
      <c r="E1" s="1130"/>
      <c r="F1" s="1130"/>
      <c r="G1" s="1130"/>
      <c r="H1" s="1130"/>
      <c r="I1" s="1130"/>
      <c r="J1" s="1130"/>
      <c r="K1" s="1130"/>
      <c r="L1" s="1130"/>
      <c r="O1" s="1131" t="s">
        <v>1580</v>
      </c>
      <c r="P1" s="1131"/>
      <c r="Q1" s="1131"/>
      <c r="R1" s="1131"/>
      <c r="S1" s="1131"/>
      <c r="T1" s="1131"/>
      <c r="U1" s="1131"/>
      <c r="V1" s="1131"/>
      <c r="W1" s="1131"/>
      <c r="X1" s="1131"/>
      <c r="Y1" s="1131"/>
      <c r="Z1" s="1131"/>
      <c r="AA1" s="1131"/>
      <c r="AM1" s="1131"/>
      <c r="AN1" s="1130"/>
      <c r="AO1" s="1130"/>
      <c r="AP1" s="1130"/>
      <c r="AQ1" s="1130"/>
      <c r="AR1" s="1130"/>
      <c r="AS1" s="1130"/>
      <c r="AT1" s="1130"/>
      <c r="AU1" s="1130"/>
      <c r="AV1" s="1130"/>
      <c r="AW1" s="1130"/>
      <c r="AX1" s="1130"/>
    </row>
    <row r="2" spans="1:51" ht="21">
      <c r="A2" s="127" t="s">
        <v>1306</v>
      </c>
      <c r="B2" s="139">
        <f>DATE(Main!K141,Main!J143,Main!J144)</f>
        <v>28399</v>
      </c>
      <c r="C2" s="129" t="s">
        <v>1518</v>
      </c>
      <c r="D2" s="120">
        <f>IF(Main!L4=Main!BM16,0,MONTH(CONCATENATE(Main!L4)))</f>
        <v>9</v>
      </c>
      <c r="E2" s="123"/>
      <c r="F2" s="123"/>
      <c r="G2" s="123"/>
      <c r="H2" s="1"/>
      <c r="I2" s="120">
        <v>3600</v>
      </c>
      <c r="J2" s="120">
        <v>4500</v>
      </c>
      <c r="K2" s="121">
        <v>11530</v>
      </c>
      <c r="L2" s="123">
        <v>11860</v>
      </c>
      <c r="M2" s="123" t="s">
        <v>326</v>
      </c>
      <c r="O2" s="127" t="s">
        <v>1306</v>
      </c>
      <c r="P2" s="139">
        <f>B2</f>
        <v>28399</v>
      </c>
      <c r="Q2" s="129" t="s">
        <v>1581</v>
      </c>
      <c r="R2" s="205">
        <f>'IN RPS-2015'!B5</f>
        <v>0</v>
      </c>
      <c r="S2" s="123"/>
      <c r="T2" s="123"/>
      <c r="U2" s="123"/>
      <c r="V2" s="1"/>
      <c r="W2" s="120">
        <v>3600</v>
      </c>
      <c r="X2" s="120">
        <v>4500</v>
      </c>
      <c r="Y2" s="121">
        <v>11530</v>
      </c>
      <c r="Z2" s="123">
        <v>11860</v>
      </c>
      <c r="AA2" s="123" t="s">
        <v>326</v>
      </c>
      <c r="AM2" s="127"/>
      <c r="AN2" s="139"/>
      <c r="AO2" s="129"/>
      <c r="AP2" s="120"/>
      <c r="AQ2" s="123"/>
      <c r="AR2" s="123"/>
      <c r="AS2" s="123"/>
      <c r="AT2" s="1"/>
      <c r="AU2" s="120"/>
      <c r="AV2" s="120"/>
      <c r="AW2" s="121"/>
      <c r="AX2" s="123"/>
      <c r="AY2" s="123"/>
    </row>
    <row r="3" spans="1:51" ht="21.95" customHeight="1">
      <c r="A3" s="138" t="s">
        <v>1577</v>
      </c>
      <c r="B3" s="141">
        <f>IF(Main!H5=Main!AK4,Main!L5+Main!M5-1,0)</f>
        <v>0</v>
      </c>
      <c r="C3" s="128" t="s">
        <v>1523</v>
      </c>
      <c r="D3" s="120">
        <f>IF(B3=0,D2,IF(F3&gt;G3,MONTH(A20),D2))</f>
        <v>9</v>
      </c>
      <c r="E3" s="124" t="s">
        <v>1519</v>
      </c>
      <c r="F3" s="120">
        <f>IF(B3=0,0,Main!H6)</f>
        <v>0</v>
      </c>
      <c r="G3" s="140">
        <f>C19</f>
        <v>55410</v>
      </c>
      <c r="H3" s="1"/>
      <c r="I3" s="120">
        <v>4400</v>
      </c>
      <c r="J3" s="120">
        <v>5400</v>
      </c>
      <c r="K3" s="121">
        <v>15700</v>
      </c>
      <c r="L3" s="123">
        <v>16150</v>
      </c>
      <c r="M3" s="123" t="s">
        <v>328</v>
      </c>
      <c r="O3" s="138" t="s">
        <v>1582</v>
      </c>
      <c r="P3" s="141">
        <f>MAX(P6:P7)</f>
        <v>0</v>
      </c>
      <c r="Q3" s="128" t="s">
        <v>1583</v>
      </c>
      <c r="R3" s="205">
        <f>IF(AND(R2&gt;0,Main!L8&lt;Main!L9),Main!L9,R2)</f>
        <v>0</v>
      </c>
      <c r="S3" s="124" t="s">
        <v>1519</v>
      </c>
      <c r="T3" s="120">
        <f>F3</f>
        <v>0</v>
      </c>
      <c r="U3" s="140"/>
      <c r="V3" s="1"/>
      <c r="W3" s="120">
        <v>4400</v>
      </c>
      <c r="X3" s="120">
        <v>5400</v>
      </c>
      <c r="Y3" s="121">
        <v>15700</v>
      </c>
      <c r="Z3" s="123">
        <v>16150</v>
      </c>
      <c r="AA3" s="123" t="s">
        <v>328</v>
      </c>
      <c r="AM3" s="138"/>
      <c r="AN3" s="141"/>
      <c r="AO3" s="128"/>
      <c r="AP3" s="120"/>
      <c r="AQ3" s="124"/>
      <c r="AR3" s="120"/>
      <c r="AS3" s="140"/>
      <c r="AT3" s="1"/>
      <c r="AU3" s="120"/>
      <c r="AV3" s="120"/>
      <c r="AW3" s="121"/>
      <c r="AX3" s="123"/>
      <c r="AY3" s="123"/>
    </row>
    <row r="4" spans="1:51" ht="21.95" customHeight="1">
      <c r="A4" s="123"/>
      <c r="B4" s="145"/>
      <c r="C4" s="128"/>
      <c r="D4" s="120"/>
      <c r="E4" s="124"/>
      <c r="F4" s="124"/>
      <c r="G4" s="124"/>
      <c r="H4" s="121"/>
      <c r="I4" s="120">
        <v>4500</v>
      </c>
      <c r="J4" s="120">
        <v>11530</v>
      </c>
      <c r="K4" s="121">
        <v>11860</v>
      </c>
      <c r="L4" s="123">
        <v>12190</v>
      </c>
      <c r="M4" s="12" t="s">
        <v>326</v>
      </c>
      <c r="O4" s="123" t="s">
        <v>1584</v>
      </c>
      <c r="P4" s="145">
        <f>IF(Main!H7=0,0,IF(OR(Main!AN10=2,AND(Main!AN10=5,Main!H7&gt;0)),Main!H7+Main!I7-1,0))</f>
        <v>0</v>
      </c>
      <c r="Q4" s="124" t="s">
        <v>1585</v>
      </c>
      <c r="R4" s="205">
        <f>IF('IN RPS-2015'!B23=$Q$9,0,'IN RPS-2015'!B23)</f>
        <v>0</v>
      </c>
      <c r="S4" s="124" t="str">
        <f>S3</f>
        <v>Min Sc Pay fixed</v>
      </c>
      <c r="T4" s="124">
        <f>T3</f>
        <v>0</v>
      </c>
      <c r="U4" s="124"/>
      <c r="V4" s="121"/>
      <c r="W4" s="120">
        <v>4500</v>
      </c>
      <c r="X4" s="120">
        <v>11530</v>
      </c>
      <c r="Y4" s="121">
        <v>11860</v>
      </c>
      <c r="Z4" s="123">
        <v>12190</v>
      </c>
      <c r="AA4" s="12" t="s">
        <v>326</v>
      </c>
      <c r="AM4" s="123"/>
      <c r="AN4" s="145"/>
      <c r="AO4" s="128"/>
      <c r="AP4" s="120"/>
      <c r="AQ4" s="124"/>
      <c r="AR4" s="124"/>
      <c r="AS4" s="124"/>
      <c r="AT4" s="121"/>
      <c r="AU4" s="120"/>
      <c r="AV4" s="120"/>
      <c r="AW4" s="121"/>
      <c r="AX4" s="123"/>
      <c r="AY4" s="12"/>
    </row>
    <row r="5" spans="1:51" ht="21.95" customHeight="1">
      <c r="A5" s="138" t="s">
        <v>1428</v>
      </c>
      <c r="B5" s="141">
        <f>IF(Main!H7=Main!AK3,0,Main!L7+Main!M7-1)</f>
        <v>0</v>
      </c>
      <c r="C5" s="124" t="s">
        <v>1520</v>
      </c>
      <c r="D5" s="130">
        <f>B24</f>
        <v>42461</v>
      </c>
      <c r="E5" s="120" t="s">
        <v>1522</v>
      </c>
      <c r="F5" s="124">
        <f>IF(B5=0,0,Main!H8)</f>
        <v>0</v>
      </c>
      <c r="G5" s="124"/>
      <c r="H5" s="121"/>
      <c r="I5" s="120">
        <v>5400</v>
      </c>
      <c r="J5" s="137">
        <v>15700</v>
      </c>
      <c r="K5" s="121">
        <v>16150</v>
      </c>
      <c r="L5" s="123">
        <v>16600</v>
      </c>
      <c r="M5" s="12" t="s">
        <v>328</v>
      </c>
      <c r="O5" s="138" t="s">
        <v>1428</v>
      </c>
      <c r="P5" s="141">
        <f>R2</f>
        <v>0</v>
      </c>
      <c r="Q5" s="157" t="s">
        <v>1586</v>
      </c>
      <c r="R5" s="130">
        <f>IF('IN RPS-2015'!B24=$Q$9,0,'IN RPS-2015'!B24)</f>
        <v>0</v>
      </c>
      <c r="S5" s="120" t="s">
        <v>1522</v>
      </c>
      <c r="T5" s="124">
        <f>IF(OR(Main!AN2=1,Main!AN10=4,P5=0),0,Main!H9)</f>
        <v>0</v>
      </c>
      <c r="U5" s="124"/>
      <c r="V5" s="121"/>
      <c r="W5" s="120">
        <v>5400</v>
      </c>
      <c r="X5" s="137">
        <v>15700</v>
      </c>
      <c r="Y5" s="121">
        <v>16150</v>
      </c>
      <c r="Z5" s="123">
        <v>16600</v>
      </c>
      <c r="AA5" s="12" t="s">
        <v>328</v>
      </c>
      <c r="AM5" s="138"/>
      <c r="AN5" s="141"/>
      <c r="AO5" s="124"/>
      <c r="AP5" s="130"/>
      <c r="AQ5" s="120"/>
      <c r="AR5" s="124"/>
      <c r="AS5" s="124"/>
      <c r="AT5" s="121"/>
      <c r="AU5" s="120"/>
      <c r="AV5" s="137"/>
      <c r="AW5" s="121"/>
      <c r="AX5" s="123"/>
      <c r="AY5" s="12"/>
    </row>
    <row r="6" spans="1:51" ht="21.95" customHeight="1">
      <c r="A6" s="134" t="s">
        <v>1578</v>
      </c>
      <c r="B6" s="132">
        <f>IF(Main!AM2=3,D5,IF(OR(Main!AM2=1,Main!AN10=4),0,B5))</f>
        <v>0</v>
      </c>
      <c r="C6" s="124" t="s">
        <v>1521</v>
      </c>
      <c r="D6" s="133">
        <f>B23</f>
        <v>42461</v>
      </c>
      <c r="E6" s="120"/>
      <c r="F6" s="124"/>
      <c r="G6" s="124"/>
      <c r="H6" s="121"/>
      <c r="I6" s="120">
        <v>11530</v>
      </c>
      <c r="J6" s="137">
        <v>11860</v>
      </c>
      <c r="K6" s="121">
        <v>12190</v>
      </c>
      <c r="L6" s="123">
        <v>12550</v>
      </c>
      <c r="O6" s="134" t="s">
        <v>1587</v>
      </c>
      <c r="P6" s="132">
        <f>B3</f>
        <v>0</v>
      </c>
      <c r="Q6" s="124"/>
      <c r="R6" s="133"/>
      <c r="S6" s="120"/>
      <c r="T6" s="124"/>
      <c r="U6" s="124"/>
      <c r="V6" s="121"/>
      <c r="W6" s="120">
        <v>11530</v>
      </c>
      <c r="X6" s="137">
        <v>11860</v>
      </c>
      <c r="Y6" s="121">
        <v>12190</v>
      </c>
      <c r="Z6" s="123">
        <v>12550</v>
      </c>
      <c r="AM6" s="134"/>
      <c r="AN6" s="132"/>
      <c r="AO6" s="124"/>
      <c r="AP6" s="133"/>
      <c r="AQ6" s="120"/>
      <c r="AR6" s="124"/>
      <c r="AS6" s="124"/>
      <c r="AT6" s="121"/>
      <c r="AU6" s="120"/>
      <c r="AV6" s="137"/>
      <c r="AW6" s="121"/>
      <c r="AX6" s="123"/>
    </row>
    <row r="7" spans="1:51" ht="21.95" customHeight="1">
      <c r="A7" s="134"/>
      <c r="B7" s="132"/>
      <c r="C7" s="124"/>
      <c r="D7" s="131"/>
      <c r="E7" s="135"/>
      <c r="F7" s="121"/>
      <c r="G7" s="124"/>
      <c r="H7" s="121"/>
      <c r="I7" s="120">
        <v>15700</v>
      </c>
      <c r="J7" s="137">
        <v>16150</v>
      </c>
      <c r="K7" s="121">
        <v>16600</v>
      </c>
      <c r="L7" s="123">
        <v>17050</v>
      </c>
      <c r="O7" s="134" t="s">
        <v>1568</v>
      </c>
      <c r="P7" s="132">
        <f>P6</f>
        <v>0</v>
      </c>
      <c r="Q7" s="124"/>
      <c r="R7" s="131"/>
      <c r="S7" s="135"/>
      <c r="T7" s="121"/>
      <c r="U7" s="124"/>
      <c r="V7" s="121"/>
      <c r="W7" s="120">
        <v>15700</v>
      </c>
      <c r="X7" s="137">
        <v>16150</v>
      </c>
      <c r="Y7" s="121">
        <v>16600</v>
      </c>
      <c r="Z7" s="123">
        <v>17050</v>
      </c>
      <c r="AM7" s="134"/>
      <c r="AN7" s="132"/>
      <c r="AO7" s="124"/>
      <c r="AP7" s="131"/>
      <c r="AQ7" s="135"/>
      <c r="AR7" s="121"/>
      <c r="AS7" s="124"/>
      <c r="AT7" s="121"/>
      <c r="AU7" s="120"/>
      <c r="AV7" s="137"/>
      <c r="AW7" s="121"/>
      <c r="AX7" s="123"/>
    </row>
    <row r="8" spans="1:51" ht="21.95" customHeight="1">
      <c r="A8" s="121"/>
      <c r="B8" s="121"/>
      <c r="C8" s="124"/>
      <c r="D8" s="131"/>
      <c r="E8" s="135"/>
      <c r="F8" s="121"/>
      <c r="G8" s="142"/>
      <c r="H8" s="121"/>
      <c r="I8" s="3">
        <f>IF(Main!$C$26="UGC",Main!J4,AB8)</f>
        <v>13000</v>
      </c>
      <c r="J8" s="3">
        <f t="shared" ref="J8:L9" si="0">I9</f>
        <v>13390</v>
      </c>
      <c r="K8" s="3">
        <f t="shared" si="0"/>
        <v>13780</v>
      </c>
      <c r="L8" s="3">
        <f t="shared" si="0"/>
        <v>14170</v>
      </c>
      <c r="O8" s="121" t="s">
        <v>1588</v>
      </c>
      <c r="P8" s="132">
        <f>C11</f>
        <v>42462</v>
      </c>
      <c r="Q8" s="124"/>
      <c r="R8" s="131"/>
      <c r="S8" s="135"/>
      <c r="T8" s="121"/>
      <c r="U8" s="142"/>
      <c r="V8" s="121"/>
      <c r="W8" s="3">
        <f>IF(Main!$C$26="UGC",Main!J4,AB8)</f>
        <v>13000</v>
      </c>
      <c r="X8" s="3">
        <f>W9</f>
        <v>13390</v>
      </c>
      <c r="Y8" s="3">
        <f>X9</f>
        <v>13780</v>
      </c>
      <c r="Z8" s="3">
        <f>Y9</f>
        <v>14170</v>
      </c>
      <c r="AB8" s="34">
        <v>13000</v>
      </c>
      <c r="AM8" s="121"/>
      <c r="AN8" s="121"/>
      <c r="AO8" s="124"/>
      <c r="AP8" s="131"/>
      <c r="AQ8" s="135"/>
      <c r="AR8" s="121"/>
      <c r="AS8" s="142"/>
      <c r="AT8" s="121"/>
      <c r="AU8" s="3"/>
      <c r="AV8" s="3"/>
      <c r="AW8" s="3"/>
      <c r="AX8" s="3"/>
    </row>
    <row r="9" spans="1:51" ht="21.95" customHeight="1">
      <c r="A9" s="6" t="s">
        <v>1507</v>
      </c>
      <c r="B9" s="126">
        <f>C9</f>
        <v>42461</v>
      </c>
      <c r="C9" s="150">
        <f>DATE(YEAR(Main!BL1),4,1)</f>
        <v>42461</v>
      </c>
      <c r="D9" s="124" t="s">
        <v>295</v>
      </c>
      <c r="E9" s="133">
        <f>Main!BL2</f>
        <v>42005</v>
      </c>
      <c r="F9" s="124">
        <f>Main!H4</f>
        <v>53950</v>
      </c>
      <c r="G9" s="124"/>
      <c r="H9" s="121"/>
      <c r="I9" s="3">
        <f>IF(Main!$C$26="UGC",SUM(I8,CEILING(I8*3%,10)),AB9)</f>
        <v>13390</v>
      </c>
      <c r="J9" s="3">
        <f t="shared" si="0"/>
        <v>13780</v>
      </c>
      <c r="K9" s="3">
        <f t="shared" si="0"/>
        <v>14170</v>
      </c>
      <c r="L9" s="3">
        <f t="shared" si="0"/>
        <v>14600</v>
      </c>
      <c r="O9" s="6" t="s">
        <v>1507</v>
      </c>
      <c r="P9" s="126">
        <f>B9</f>
        <v>42461</v>
      </c>
      <c r="Q9" s="150">
        <f>C9</f>
        <v>42461</v>
      </c>
      <c r="R9" s="124" t="s">
        <v>295</v>
      </c>
      <c r="S9" s="133">
        <f>DATE(2011,1,1)</f>
        <v>40544</v>
      </c>
      <c r="T9" s="124">
        <f>Main!H4</f>
        <v>53950</v>
      </c>
      <c r="U9" s="124"/>
      <c r="V9" s="121"/>
      <c r="W9" s="3">
        <f>IF(Main!$C$26="UGC",SUM(I8,CEILING(I8*3%,10)),AB9)</f>
        <v>13390</v>
      </c>
      <c r="X9" s="3">
        <f t="shared" ref="X9:Z40" si="1">W10</f>
        <v>13780</v>
      </c>
      <c r="Y9" s="3">
        <f t="shared" si="1"/>
        <v>14170</v>
      </c>
      <c r="Z9" s="3">
        <f t="shared" si="1"/>
        <v>14600</v>
      </c>
      <c r="AB9" s="34">
        <v>13390</v>
      </c>
      <c r="AM9" s="6"/>
      <c r="AN9" s="126"/>
      <c r="AO9" s="150"/>
      <c r="AP9" s="124"/>
      <c r="AQ9" s="133"/>
      <c r="AR9" s="124"/>
      <c r="AS9" s="124"/>
      <c r="AT9" s="121"/>
      <c r="AU9" s="3"/>
      <c r="AV9" s="3"/>
      <c r="AW9" s="3"/>
      <c r="AX9" s="3"/>
    </row>
    <row r="10" spans="1:51" ht="21.95" customHeight="1">
      <c r="A10" s="121"/>
      <c r="B10" s="125"/>
      <c r="C10" s="206"/>
      <c r="D10" s="133"/>
      <c r="E10" s="133"/>
      <c r="F10" s="124"/>
      <c r="G10" s="124"/>
      <c r="H10" s="121"/>
      <c r="I10" s="3">
        <f>IF(Main!$C$26="UGC",SUM(I9,CEILING(I9*3%,10)),AB10)</f>
        <v>13780</v>
      </c>
      <c r="J10" s="3">
        <f t="shared" ref="J10:L41" si="2">I11</f>
        <v>14170</v>
      </c>
      <c r="K10" s="3">
        <f t="shared" si="2"/>
        <v>14600</v>
      </c>
      <c r="L10" s="3">
        <f t="shared" si="2"/>
        <v>15030</v>
      </c>
      <c r="O10" s="121" t="s">
        <v>1589</v>
      </c>
      <c r="P10" s="125">
        <f>IF(Main!AN10=5,DATE(2011,2,1),0)</f>
        <v>0</v>
      </c>
      <c r="Q10" s="121"/>
      <c r="R10" s="133">
        <f>DATE(2010,2,1)</f>
        <v>40210</v>
      </c>
      <c r="S10" s="133">
        <f>IF(OR(Main!AN10=2,AND(Main!AN10=5,Main!H6&gt;0)),DATE(2010,1,31),0)</f>
        <v>0</v>
      </c>
      <c r="T10" s="124">
        <f>IF(OR(Main!AN10=2,AND(Main!AN10=5,Main!H6&gt;0)),Main!L4,0)</f>
        <v>0</v>
      </c>
      <c r="U10" s="124"/>
      <c r="V10" s="121"/>
      <c r="W10" s="3">
        <f>IF(Main!$C$26="UGC",SUM(I9,CEILING(I9*3%,10)),AB10)</f>
        <v>13780</v>
      </c>
      <c r="X10" s="3">
        <f t="shared" si="1"/>
        <v>14170</v>
      </c>
      <c r="Y10" s="3">
        <f t="shared" si="1"/>
        <v>14600</v>
      </c>
      <c r="Z10" s="3">
        <f t="shared" si="1"/>
        <v>15030</v>
      </c>
      <c r="AB10" s="34">
        <v>13780</v>
      </c>
      <c r="AM10" s="121"/>
      <c r="AN10" s="125"/>
      <c r="AO10" s="206"/>
      <c r="AP10" s="133"/>
      <c r="AQ10" s="133"/>
      <c r="AR10" s="124"/>
      <c r="AS10" s="124"/>
      <c r="AT10" s="121"/>
      <c r="AU10" s="3"/>
      <c r="AV10" s="3"/>
      <c r="AW10" s="3"/>
      <c r="AX10" s="3"/>
    </row>
    <row r="11" spans="1:51" ht="21.95" customHeight="1">
      <c r="A11" s="121" t="s">
        <v>1525</v>
      </c>
      <c r="B11" s="193" t="s">
        <v>1429</v>
      </c>
      <c r="C11" s="194">
        <f>IF(B3=0,C9+1,Main!L6)</f>
        <v>42462</v>
      </c>
      <c r="D11" s="195" t="s">
        <v>1430</v>
      </c>
      <c r="E11" s="196">
        <f>IF(B5=0,C9+1,IF(OR(Main!AN10=4,Main!AM2=1),C9+1,IF(OR(Main!L8=0,Main!L7&gt;Main!L8),B5+1,Main!L8)))</f>
        <v>42462</v>
      </c>
      <c r="F11" s="197"/>
      <c r="G11" s="197"/>
      <c r="H11" s="122"/>
      <c r="I11" s="3">
        <f>IF(Main!$C$26="UGC",SUM(I10,CEILING(I10*3%,10)),AB11)</f>
        <v>14170</v>
      </c>
      <c r="J11" s="3">
        <f t="shared" si="2"/>
        <v>14600</v>
      </c>
      <c r="K11" s="3">
        <f t="shared" si="2"/>
        <v>15030</v>
      </c>
      <c r="L11" s="3">
        <f t="shared" si="2"/>
        <v>15460</v>
      </c>
      <c r="O11" s="121" t="s">
        <v>1525</v>
      </c>
      <c r="P11" s="193" t="s">
        <v>1429</v>
      </c>
      <c r="Q11" s="194">
        <f>IF(P3=0,Q9+1,C11)</f>
        <v>42462</v>
      </c>
      <c r="R11" s="195" t="s">
        <v>1430</v>
      </c>
      <c r="S11" s="196">
        <f>E11</f>
        <v>42462</v>
      </c>
      <c r="T11" s="197"/>
      <c r="U11" s="197"/>
      <c r="V11" s="122"/>
      <c r="W11" s="3">
        <f>IF(Main!$C$26="UGC",SUM(I10,CEILING(I10*3%,10)),AB11)</f>
        <v>14170</v>
      </c>
      <c r="X11" s="3">
        <f t="shared" si="1"/>
        <v>14600</v>
      </c>
      <c r="Y11" s="3">
        <f t="shared" si="1"/>
        <v>15030</v>
      </c>
      <c r="Z11" s="3">
        <f t="shared" si="1"/>
        <v>15460</v>
      </c>
      <c r="AB11" s="34">
        <v>14170</v>
      </c>
      <c r="AM11" s="121"/>
      <c r="AN11" s="193"/>
      <c r="AO11" s="194"/>
      <c r="AP11" s="195"/>
      <c r="AQ11" s="196"/>
      <c r="AR11" s="197"/>
      <c r="AS11" s="197"/>
      <c r="AT11" s="122"/>
      <c r="AU11" s="3"/>
      <c r="AV11" s="3"/>
      <c r="AW11" s="3"/>
      <c r="AX11" s="3"/>
    </row>
    <row r="12" spans="1:51" ht="21.95" customHeight="1">
      <c r="A12" s="124"/>
      <c r="B12" s="193" t="s">
        <v>1526</v>
      </c>
      <c r="C12" s="194">
        <f>IF(AND(Main!AN10=4,Main!L6=Main!L4),Main!L4+Main!M4-1,IF(Main!AN10=4,Main!L6,C9+1))</f>
        <v>42462</v>
      </c>
      <c r="D12" s="198"/>
      <c r="E12" s="199"/>
      <c r="F12" s="197"/>
      <c r="G12" s="200"/>
      <c r="H12" s="122"/>
      <c r="I12" s="3">
        <f>IF(Main!$C$26="UGC",SUM(I11,CEILING(I11*3%,10)),AB12)</f>
        <v>14600</v>
      </c>
      <c r="J12" s="3">
        <f t="shared" si="2"/>
        <v>15030</v>
      </c>
      <c r="K12" s="3">
        <f t="shared" si="2"/>
        <v>15460</v>
      </c>
      <c r="L12" s="3">
        <f t="shared" si="2"/>
        <v>15930</v>
      </c>
      <c r="O12" s="124"/>
      <c r="P12" s="193" t="s">
        <v>1526</v>
      </c>
      <c r="Q12" s="194">
        <f>C12</f>
        <v>42462</v>
      </c>
      <c r="R12" s="198" t="s">
        <v>1590</v>
      </c>
      <c r="S12" s="199">
        <f>IF(Main!AN10=5,Main!L10,Q9+1)</f>
        <v>42462</v>
      </c>
      <c r="T12" s="197"/>
      <c r="U12" s="200"/>
      <c r="V12" s="122"/>
      <c r="W12" s="3">
        <f>IF(Main!$C$26="UGC",SUM(I11,CEILING(I11*3%,10)),AB12)</f>
        <v>14600</v>
      </c>
      <c r="X12" s="3">
        <f t="shared" si="1"/>
        <v>15030</v>
      </c>
      <c r="Y12" s="3">
        <f t="shared" si="1"/>
        <v>15460</v>
      </c>
      <c r="Z12" s="3">
        <f t="shared" si="1"/>
        <v>15930</v>
      </c>
      <c r="AB12" s="34">
        <v>14600</v>
      </c>
      <c r="AM12" s="124"/>
      <c r="AN12" s="193"/>
      <c r="AO12" s="194"/>
      <c r="AP12" s="198"/>
      <c r="AQ12" s="199"/>
      <c r="AR12" s="197"/>
      <c r="AS12" s="200"/>
      <c r="AT12" s="122"/>
      <c r="AU12" s="3"/>
      <c r="AV12" s="3"/>
      <c r="AW12" s="3"/>
      <c r="AX12" s="3"/>
    </row>
    <row r="13" spans="1:51" ht="21.95" customHeight="1">
      <c r="A13" s="124"/>
      <c r="B13" s="193" t="s">
        <v>1556</v>
      </c>
      <c r="C13" s="201">
        <f>Main!H19</f>
        <v>42461</v>
      </c>
      <c r="D13" s="195" t="s">
        <v>1557</v>
      </c>
      <c r="E13" s="199">
        <f>Main!L19</f>
        <v>42461</v>
      </c>
      <c r="F13" s="197"/>
      <c r="G13" s="197"/>
      <c r="H13" s="122"/>
      <c r="I13" s="3">
        <f>IF(Main!$C$26="UGC",SUM(I12,CEILING(I12*3%,10)),AB13)</f>
        <v>15030</v>
      </c>
      <c r="J13" s="3">
        <f t="shared" si="2"/>
        <v>15460</v>
      </c>
      <c r="K13" s="3">
        <f t="shared" si="2"/>
        <v>15930</v>
      </c>
      <c r="L13" s="3">
        <f t="shared" si="2"/>
        <v>16400</v>
      </c>
      <c r="O13" s="124"/>
      <c r="P13" s="193" t="s">
        <v>1556</v>
      </c>
      <c r="Q13" s="201">
        <f>C13</f>
        <v>42461</v>
      </c>
      <c r="R13" s="195" t="s">
        <v>1557</v>
      </c>
      <c r="S13" s="199">
        <f>E13</f>
        <v>42461</v>
      </c>
      <c r="T13" s="197"/>
      <c r="U13" s="197"/>
      <c r="V13" s="122"/>
      <c r="W13" s="3">
        <f>IF(Main!$C$26="UGC",SUM(I12,CEILING(I12*3%,10)),AB13)</f>
        <v>15030</v>
      </c>
      <c r="X13" s="3">
        <f t="shared" si="1"/>
        <v>15460</v>
      </c>
      <c r="Y13" s="3">
        <f t="shared" si="1"/>
        <v>15930</v>
      </c>
      <c r="Z13" s="3">
        <f t="shared" si="1"/>
        <v>16400</v>
      </c>
      <c r="AB13" s="34">
        <v>15030</v>
      </c>
      <c r="AM13" s="124"/>
      <c r="AN13" s="193"/>
      <c r="AO13" s="201"/>
      <c r="AP13" s="195"/>
      <c r="AQ13" s="199"/>
      <c r="AR13" s="197"/>
      <c r="AS13" s="197"/>
      <c r="AT13" s="122"/>
      <c r="AU13" s="3"/>
      <c r="AV13" s="3"/>
      <c r="AW13" s="3"/>
      <c r="AX13" s="3"/>
    </row>
    <row r="14" spans="1:51" ht="21.95" customHeight="1">
      <c r="A14" s="124" t="s">
        <v>1527</v>
      </c>
      <c r="B14" s="121"/>
      <c r="C14" s="124" t="s">
        <v>1567</v>
      </c>
      <c r="D14" s="202">
        <f>DATE(2010,1,31)</f>
        <v>40209</v>
      </c>
      <c r="E14" s="124" t="s">
        <v>1579</v>
      </c>
      <c r="F14" s="124"/>
      <c r="G14" s="203">
        <f>Main!BL2</f>
        <v>42005</v>
      </c>
      <c r="H14" s="122"/>
      <c r="I14" s="3">
        <f>IF(Main!$C$26="UGC",SUM(I13,CEILING(I13*3%,10)),AB14)</f>
        <v>15460</v>
      </c>
      <c r="J14" s="3">
        <f t="shared" si="2"/>
        <v>15930</v>
      </c>
      <c r="K14" s="3">
        <f t="shared" si="2"/>
        <v>16400</v>
      </c>
      <c r="L14" s="3">
        <f t="shared" si="2"/>
        <v>16870</v>
      </c>
      <c r="O14" s="124" t="s">
        <v>1527</v>
      </c>
      <c r="P14" s="121"/>
      <c r="Q14" s="124" t="s">
        <v>1591</v>
      </c>
      <c r="R14" s="202">
        <f>DATE(2010,1,31)</f>
        <v>40209</v>
      </c>
      <c r="S14" s="124" t="s">
        <v>1592</v>
      </c>
      <c r="T14" s="124"/>
      <c r="U14" s="203">
        <f>G14</f>
        <v>42005</v>
      </c>
      <c r="V14" s="122"/>
      <c r="W14" s="3">
        <f>IF(Main!$C$26="UGC",SUM(I13,CEILING(I13*3%,10)),AB14)</f>
        <v>15460</v>
      </c>
      <c r="X14" s="3">
        <f t="shared" si="1"/>
        <v>15930</v>
      </c>
      <c r="Y14" s="3">
        <f t="shared" si="1"/>
        <v>16400</v>
      </c>
      <c r="Z14" s="3">
        <f t="shared" si="1"/>
        <v>16870</v>
      </c>
      <c r="AB14" s="34">
        <v>15460</v>
      </c>
      <c r="AM14" s="124"/>
      <c r="AN14" s="121"/>
      <c r="AO14" s="124"/>
      <c r="AP14" s="202"/>
      <c r="AQ14" s="124"/>
      <c r="AR14" s="124"/>
      <c r="AS14" s="203"/>
      <c r="AT14" s="122"/>
      <c r="AU14" s="3"/>
      <c r="AV14" s="3"/>
      <c r="AW14" s="3"/>
      <c r="AX14" s="3"/>
    </row>
    <row r="15" spans="1:51" ht="21.95" customHeight="1">
      <c r="A15" s="124" t="s">
        <v>295</v>
      </c>
      <c r="B15" s="125">
        <f>Main!BL2</f>
        <v>42005</v>
      </c>
      <c r="C15" s="128">
        <f>IF(Main!$C$26="UGC",Main!J4,Main!H4)</f>
        <v>53950</v>
      </c>
      <c r="D15" s="124"/>
      <c r="E15" s="124"/>
      <c r="F15" s="124"/>
      <c r="G15" s="124"/>
      <c r="H15" s="122"/>
      <c r="I15" s="3">
        <f>IF(Main!$C$26="UGC",SUM(I14,CEILING(I14*3%,10)),AB15)</f>
        <v>15930</v>
      </c>
      <c r="J15" s="3">
        <f t="shared" si="2"/>
        <v>16400</v>
      </c>
      <c r="K15" s="3">
        <f t="shared" si="2"/>
        <v>16870</v>
      </c>
      <c r="L15" s="3">
        <f t="shared" si="2"/>
        <v>17380</v>
      </c>
      <c r="O15" s="124" t="s">
        <v>295</v>
      </c>
      <c r="P15" s="125">
        <f>IF(OR(Main!AN10=2,AND(Main!AN10=5,Main!H6&gt;0)),R14,U14)</f>
        <v>42005</v>
      </c>
      <c r="Q15" s="128">
        <f>Main!H4</f>
        <v>53950</v>
      </c>
      <c r="R15" s="124"/>
      <c r="S15" s="124"/>
      <c r="T15" s="124"/>
      <c r="U15" s="124"/>
      <c r="V15" s="122"/>
      <c r="W15" s="3">
        <f>IF(Main!$C$26="UGC",SUM(I14,CEILING(I14*3%,10)),AB15)</f>
        <v>15930</v>
      </c>
      <c r="X15" s="3">
        <f t="shared" si="1"/>
        <v>16400</v>
      </c>
      <c r="Y15" s="3">
        <f t="shared" si="1"/>
        <v>16870</v>
      </c>
      <c r="Z15" s="3">
        <f t="shared" si="1"/>
        <v>17380</v>
      </c>
      <c r="AB15" s="34">
        <v>15930</v>
      </c>
      <c r="AM15" s="124"/>
      <c r="AN15" s="125"/>
      <c r="AO15" s="128"/>
      <c r="AP15" s="124"/>
      <c r="AQ15" s="124"/>
      <c r="AR15" s="124"/>
      <c r="AS15" s="124"/>
      <c r="AT15" s="122"/>
      <c r="AU15" s="3"/>
      <c r="AV15" s="3"/>
      <c r="AW15" s="3"/>
      <c r="AX15" s="3"/>
    </row>
    <row r="16" spans="1:51" ht="21.95" customHeight="1">
      <c r="A16" s="144">
        <f>IF(Main!L4=Main!BM16,C9,IF(B9=0,Main!L4,Main!L4+Main!M4-1))</f>
        <v>42248</v>
      </c>
      <c r="B16" s="136">
        <f>MIN(A16,B19,B22,C9)</f>
        <v>42248</v>
      </c>
      <c r="C16" s="128">
        <f>IF(Main!AN10=4,VLOOKUP(C15,$I$2:$L$7,D16),VLOOKUP(C15,$I$8:$L$92,D16))</f>
        <v>55410</v>
      </c>
      <c r="D16" s="124">
        <f>IF(OR(A16=$B$19,A16=$B$22),1,IF(A16=B16,2,1))</f>
        <v>2</v>
      </c>
      <c r="E16" s="124"/>
      <c r="F16" s="124"/>
      <c r="G16" s="124"/>
      <c r="H16" s="124"/>
      <c r="I16" s="3">
        <f>IF(Main!$C$26="UGC",SUM(I15,CEILING(I15*3%,10)),AB16)</f>
        <v>16400</v>
      </c>
      <c r="J16" s="3">
        <f t="shared" si="2"/>
        <v>16870</v>
      </c>
      <c r="K16" s="3">
        <f t="shared" si="2"/>
        <v>17380</v>
      </c>
      <c r="L16" s="3">
        <f t="shared" si="2"/>
        <v>17890</v>
      </c>
      <c r="O16" s="144">
        <f>A16</f>
        <v>42248</v>
      </c>
      <c r="P16" s="136">
        <f>MIN(O16,P19,P22,Q9)</f>
        <v>42248</v>
      </c>
      <c r="Q16" s="128">
        <f>IF(Main!AN10=4,VLOOKUP(Q15,$W$2:$Z$7,R16),VLOOKUP(Q15,$W$8:$Z$92,R16))</f>
        <v>55410</v>
      </c>
      <c r="R16" s="124">
        <f>IF(OR(O16=$P$19,O16=$P$22),1,IF(O16=P16,2,1))</f>
        <v>2</v>
      </c>
      <c r="S16" s="124"/>
      <c r="T16" s="124"/>
      <c r="U16" s="124"/>
      <c r="V16" s="124"/>
      <c r="W16" s="3">
        <f>IF(Main!$C$26="UGC",SUM(I15,CEILING(I15*3%,10)),AB16)</f>
        <v>16400</v>
      </c>
      <c r="X16" s="3">
        <f t="shared" si="1"/>
        <v>16870</v>
      </c>
      <c r="Y16" s="3">
        <f t="shared" si="1"/>
        <v>17380</v>
      </c>
      <c r="Z16" s="3">
        <f t="shared" si="1"/>
        <v>17890</v>
      </c>
      <c r="AB16" s="34">
        <v>16400</v>
      </c>
      <c r="AM16" s="144"/>
      <c r="AN16" s="136"/>
      <c r="AO16" s="128"/>
      <c r="AP16" s="124"/>
      <c r="AQ16" s="124"/>
      <c r="AR16" s="124"/>
      <c r="AS16" s="124"/>
      <c r="AT16" s="124"/>
      <c r="AU16" s="3"/>
      <c r="AV16" s="3"/>
      <c r="AW16" s="3"/>
      <c r="AX16" s="3"/>
    </row>
    <row r="17" spans="1:50" ht="21.95" customHeight="1">
      <c r="A17" s="143">
        <f>IF(C15&lt;I8,DATE(YEAR(A16)+1,MONTH(A16),IF(OR(C15=3600,C15=4400),DAY(A16),1)),DATE(YEAR(A16)+1,MONTH(A16),1))</f>
        <v>42614</v>
      </c>
      <c r="B17" s="136">
        <f>MIN(A17,B19,B22,C9)</f>
        <v>42461</v>
      </c>
      <c r="C17" s="128">
        <f>IF(Main!AN10=4,VLOOKUP(C16,$I$2:$L$7,D17),VLOOKUP(C16,$I$8:$L$92,D17))</f>
        <v>55410</v>
      </c>
      <c r="D17" s="124">
        <f>IF(OR(A17=$B$19,A17=$B$22),1,IF(A17=B17,2,1))</f>
        <v>1</v>
      </c>
      <c r="E17" s="124"/>
      <c r="F17" s="124"/>
      <c r="G17" s="124"/>
      <c r="H17" s="124"/>
      <c r="I17" s="3">
        <f>IF(Main!$C$26="UGC",SUM(I16,CEILING(I16*3%,10)),AB17)</f>
        <v>16870</v>
      </c>
      <c r="J17" s="3">
        <f t="shared" si="2"/>
        <v>17380</v>
      </c>
      <c r="K17" s="3">
        <f t="shared" si="2"/>
        <v>17890</v>
      </c>
      <c r="L17" s="3">
        <f t="shared" si="2"/>
        <v>18400</v>
      </c>
      <c r="O17" s="143">
        <f>IF(Main!$AN$10=4,DATE(YEAR(O16)+1,MONTH(O16),IF(OR(Q15=3600,Q15=4400),DAY(O16),1)),DATE(YEAR(O16)+1,MONTH(O16),1))</f>
        <v>42614</v>
      </c>
      <c r="P17" s="136">
        <f>MIN(O17,P19,P22,Q9)</f>
        <v>42461</v>
      </c>
      <c r="Q17" s="128">
        <f>IF(Main!AN10=4,VLOOKUP(Q16,$W$2:$Z$7,R17),VLOOKUP(Q16,$W$8:$Z$92,R17))</f>
        <v>55410</v>
      </c>
      <c r="R17" s="124">
        <f>IF(OR(O17=$P$19,O17=$P$22),1,IF(O17=P17,2,1))</f>
        <v>1</v>
      </c>
      <c r="S17" s="124"/>
      <c r="T17" s="124"/>
      <c r="U17" s="124"/>
      <c r="V17" s="124"/>
      <c r="W17" s="3">
        <f>IF(Main!$C$26="UGC",SUM(I16,CEILING(I16*3%,10)),AB17)</f>
        <v>16870</v>
      </c>
      <c r="X17" s="3">
        <f t="shared" si="1"/>
        <v>17380</v>
      </c>
      <c r="Y17" s="3">
        <f t="shared" si="1"/>
        <v>17890</v>
      </c>
      <c r="Z17" s="3">
        <f t="shared" si="1"/>
        <v>18400</v>
      </c>
      <c r="AB17" s="34">
        <v>16870</v>
      </c>
      <c r="AM17" s="143"/>
      <c r="AN17" s="136"/>
      <c r="AO17" s="128"/>
      <c r="AP17" s="124"/>
      <c r="AQ17" s="124"/>
      <c r="AR17" s="124"/>
      <c r="AS17" s="124"/>
      <c r="AT17" s="124"/>
      <c r="AU17" s="3"/>
      <c r="AV17" s="3"/>
      <c r="AW17" s="3"/>
      <c r="AX17" s="3"/>
    </row>
    <row r="18" spans="1:50" ht="21.95" customHeight="1">
      <c r="A18" s="143">
        <f>DATE(YEAR(A17)+1,MONTH(A17),1)</f>
        <v>42979</v>
      </c>
      <c r="B18" s="136">
        <f>MIN(A18,B19,B22,C9)</f>
        <v>42461</v>
      </c>
      <c r="C18" s="128">
        <f>IF(Main!AN10=4,VLOOKUP(C17,$I$2:$L$7,D18),VLOOKUP(C17,$I$8:$L$92,D18))</f>
        <v>55410</v>
      </c>
      <c r="D18" s="124">
        <f>IF(OR(A18=$B$19,A18=$B$22),1,IF(A18=B18,2,1))</f>
        <v>1</v>
      </c>
      <c r="E18" s="121"/>
      <c r="F18" s="121"/>
      <c r="G18" s="124"/>
      <c r="H18" s="124"/>
      <c r="I18" s="3">
        <f>IF(Main!$C$26="UGC",SUM(I17,CEILING(I17*3%,10)),AB18)</f>
        <v>17380</v>
      </c>
      <c r="J18" s="3">
        <f t="shared" si="2"/>
        <v>17890</v>
      </c>
      <c r="K18" s="3">
        <f t="shared" si="2"/>
        <v>18400</v>
      </c>
      <c r="L18" s="3">
        <f t="shared" si="2"/>
        <v>18950</v>
      </c>
      <c r="O18" s="143">
        <f>DATE(YEAR(O17)+1,MONTH(O17),1)</f>
        <v>42979</v>
      </c>
      <c r="P18" s="136">
        <f>MIN(O18,P19,P22,Q9)</f>
        <v>42461</v>
      </c>
      <c r="Q18" s="128">
        <f>IF(Main!AN10=4,VLOOKUP(Q17,$W$2:$Z$7,R18),VLOOKUP(Q17,$W$8:$Z$92,R18))</f>
        <v>55410</v>
      </c>
      <c r="R18" s="124">
        <f>IF(OR(O18=$P$19,O18=$P$22),1,IF(O18=P18,2,1))</f>
        <v>1</v>
      </c>
      <c r="S18" s="121"/>
      <c r="T18" s="121"/>
      <c r="U18" s="124"/>
      <c r="V18" s="124"/>
      <c r="W18" s="3">
        <f>IF(Main!$C$26="UGC",SUM(I17,CEILING(I17*3%,10)),AB18)</f>
        <v>17380</v>
      </c>
      <c r="X18" s="3">
        <f t="shared" si="1"/>
        <v>17890</v>
      </c>
      <c r="Y18" s="3">
        <f t="shared" si="1"/>
        <v>18400</v>
      </c>
      <c r="Z18" s="3">
        <f t="shared" si="1"/>
        <v>18950</v>
      </c>
      <c r="AB18" s="34">
        <v>17380</v>
      </c>
      <c r="AM18" s="143"/>
      <c r="AN18" s="136"/>
      <c r="AO18" s="128"/>
      <c r="AP18" s="124"/>
      <c r="AQ18" s="121"/>
      <c r="AR18" s="121"/>
      <c r="AS18" s="124"/>
      <c r="AT18" s="124"/>
      <c r="AU18" s="3"/>
      <c r="AV18" s="3"/>
      <c r="AW18" s="3"/>
      <c r="AX18" s="3"/>
    </row>
    <row r="19" spans="1:50" ht="21.95" customHeight="1">
      <c r="A19" s="124" t="s">
        <v>1429</v>
      </c>
      <c r="B19" s="136">
        <f>IF(B3=0,C9,B3)</f>
        <v>42461</v>
      </c>
      <c r="C19" s="128">
        <f>MAX(E19,G19)</f>
        <v>55410</v>
      </c>
      <c r="D19" s="121">
        <f>IF(B3=0,1,IF(AND(MONTH(A18)=MONTH(B19),DAY(B19)=1),3,2))</f>
        <v>1</v>
      </c>
      <c r="E19" s="121">
        <f>IF(Main!AN10=4,VLOOKUP(C18,$I$2:$L$7,D19),VLOOKUP(C18,$I$8:$L$92,D19))</f>
        <v>55410</v>
      </c>
      <c r="F19" s="124" t="s">
        <v>1524</v>
      </c>
      <c r="G19" s="124">
        <f>F3</f>
        <v>0</v>
      </c>
      <c r="H19" s="124"/>
      <c r="I19" s="3">
        <f>IF(Main!$C$26="UGC",SUM(I18,CEILING(I18*3%,10)),AB19)</f>
        <v>17890</v>
      </c>
      <c r="J19" s="3">
        <f t="shared" si="2"/>
        <v>18400</v>
      </c>
      <c r="K19" s="3">
        <f t="shared" si="2"/>
        <v>18950</v>
      </c>
      <c r="L19" s="3">
        <f t="shared" si="2"/>
        <v>19500</v>
      </c>
      <c r="O19" s="124" t="s">
        <v>1429</v>
      </c>
      <c r="P19" s="136">
        <f>IF(P3=0,Q9,P3)</f>
        <v>42461</v>
      </c>
      <c r="Q19" s="128">
        <f>MAX(S19,U19)</f>
        <v>55410</v>
      </c>
      <c r="R19" s="121">
        <f>IF(P3=0,1,IF(AND(MONTH(O18)=MONTH(P19),DAY(P19)=1),3,2))</f>
        <v>1</v>
      </c>
      <c r="S19" s="121">
        <f>IF(Main!AN10=4,VLOOKUP(Q18,$W$2:$Z$7,R19),VLOOKUP(Q18,$W$8:$Z$92,R19))</f>
        <v>55410</v>
      </c>
      <c r="T19" s="124" t="s">
        <v>1524</v>
      </c>
      <c r="U19" s="124">
        <f>T3</f>
        <v>0</v>
      </c>
      <c r="V19" s="124"/>
      <c r="W19" s="3">
        <f>IF(Main!$C$26="UGC",SUM(I18,CEILING(I18*3%,10)),AB19)</f>
        <v>17890</v>
      </c>
      <c r="X19" s="3">
        <f t="shared" si="1"/>
        <v>18400</v>
      </c>
      <c r="Y19" s="3">
        <f t="shared" si="1"/>
        <v>18950</v>
      </c>
      <c r="Z19" s="3">
        <f t="shared" si="1"/>
        <v>19500</v>
      </c>
      <c r="AB19" s="34">
        <v>17890</v>
      </c>
      <c r="AM19" s="124"/>
      <c r="AN19" s="136"/>
      <c r="AO19" s="128"/>
      <c r="AP19" s="121"/>
      <c r="AQ19" s="121"/>
      <c r="AR19" s="124"/>
      <c r="AS19" s="124"/>
      <c r="AT19" s="124"/>
      <c r="AU19" s="3"/>
      <c r="AV19" s="3"/>
      <c r="AW19" s="3"/>
      <c r="AX19" s="3"/>
    </row>
    <row r="20" spans="1:50" ht="21.95" customHeight="1">
      <c r="A20" s="136">
        <f>IF(E19&lt;G19,DATE(YEAR(B19)+1,MONTH(B19),1),DATE(IF(MONTH(A16)&lt;=MONTH(B19),YEAR(B19)+1,YEAR(B19)),MONTH(A16),1))</f>
        <v>42614</v>
      </c>
      <c r="B20" s="136">
        <f>MIN(A20,B22)</f>
        <v>42461</v>
      </c>
      <c r="C20" s="128">
        <f>IF(Main!AN10=4,VLOOKUP(C19,$I$2:$L$7,D20),VLOOKUP(C19,$I$8:$L$92,D20))</f>
        <v>55410</v>
      </c>
      <c r="D20" s="124">
        <f>IF(A20=$B$22,1,IF(A20=B20,2,1))</f>
        <v>1</v>
      </c>
      <c r="E20" s="124"/>
      <c r="F20" s="124"/>
      <c r="G20" s="124"/>
      <c r="H20" s="124"/>
      <c r="I20" s="3">
        <f>IF(Main!$C$26="UGC",SUM(I19,CEILING(I19*3%,10)),AB20)</f>
        <v>18400</v>
      </c>
      <c r="J20" s="3">
        <f t="shared" si="2"/>
        <v>18950</v>
      </c>
      <c r="K20" s="3">
        <f t="shared" si="2"/>
        <v>19500</v>
      </c>
      <c r="L20" s="3">
        <f t="shared" si="2"/>
        <v>20050</v>
      </c>
      <c r="O20" s="136">
        <f>IF(S19&lt;U19,DATE(YEAR(P19)+1,MONTH(P19),1),DATE(IF(MONTH(O16)&lt;=MONTH(P19),YEAR(P19)+1,YEAR(P19)),MONTH(O16),1))</f>
        <v>42614</v>
      </c>
      <c r="P20" s="136">
        <f>MIN(O20,P22)</f>
        <v>42461</v>
      </c>
      <c r="Q20" s="128">
        <f>IF(Main!AN10=4,VLOOKUP(Q19,$W$2:$Z$7,R20),VLOOKUP(Q19,$W$8:$Z$92,R20))</f>
        <v>55410</v>
      </c>
      <c r="R20" s="124">
        <f>IF(O20=$P$22,1,IF(O20=P20,2,1))</f>
        <v>1</v>
      </c>
      <c r="S20" s="124"/>
      <c r="T20" s="124"/>
      <c r="U20" s="124"/>
      <c r="V20" s="124"/>
      <c r="W20" s="3">
        <f>IF(Main!$C$26="UGC",SUM(I19,CEILING(I19*3%,10)),AB20)</f>
        <v>18400</v>
      </c>
      <c r="X20" s="3">
        <f t="shared" si="1"/>
        <v>18950</v>
      </c>
      <c r="Y20" s="3">
        <f t="shared" si="1"/>
        <v>19500</v>
      </c>
      <c r="Z20" s="3">
        <f t="shared" si="1"/>
        <v>20050</v>
      </c>
      <c r="AB20" s="34">
        <v>18400</v>
      </c>
      <c r="AM20" s="136"/>
      <c r="AN20" s="136"/>
      <c r="AO20" s="128"/>
      <c r="AP20" s="124"/>
      <c r="AQ20" s="124"/>
      <c r="AR20" s="124"/>
      <c r="AS20" s="124"/>
      <c r="AT20" s="124"/>
      <c r="AU20" s="3"/>
      <c r="AV20" s="3"/>
      <c r="AW20" s="3"/>
      <c r="AX20" s="3"/>
    </row>
    <row r="21" spans="1:50" ht="21.95" customHeight="1">
      <c r="A21" s="143">
        <f>DATE(YEAR(A20)+1,MONTH(A20),1)</f>
        <v>42979</v>
      </c>
      <c r="B21" s="136">
        <f>MIN(A21,B22)</f>
        <v>42461</v>
      </c>
      <c r="C21" s="128">
        <f>IF(Main!AN10=4,VLOOKUP(C20,$I$2:$L$7,D21),VLOOKUP(C20,$I$8:$L$92,D21))</f>
        <v>55410</v>
      </c>
      <c r="D21" s="124">
        <f>IF(A21=$B$22,1,IF(A21=B21,2,1))</f>
        <v>1</v>
      </c>
      <c r="E21" s="124"/>
      <c r="F21" s="124"/>
      <c r="G21" s="124"/>
      <c r="H21" s="124"/>
      <c r="I21" s="3">
        <f>IF(Main!$C$26="UGC",SUM(I20,CEILING(I20*3%,10)),AB21)</f>
        <v>18950</v>
      </c>
      <c r="J21" s="3">
        <f t="shared" si="2"/>
        <v>19500</v>
      </c>
      <c r="K21" s="3">
        <f t="shared" si="2"/>
        <v>20050</v>
      </c>
      <c r="L21" s="3">
        <f t="shared" si="2"/>
        <v>20640</v>
      </c>
      <c r="O21" s="143">
        <f>DATE(YEAR(O20)+1,MONTH(O20),1)</f>
        <v>42979</v>
      </c>
      <c r="P21" s="136">
        <f>MIN(O21,P22)</f>
        <v>42461</v>
      </c>
      <c r="Q21" s="128">
        <f>IF(Main!AN10=4,VLOOKUP(Q20,$W$2:$Z$7,R21),VLOOKUP(Q20,$W$8:$Z$92,R21))</f>
        <v>55410</v>
      </c>
      <c r="R21" s="124">
        <f>IF(O21=$P$22,1,IF(O21=P21,2,1))</f>
        <v>1</v>
      </c>
      <c r="S21" s="124"/>
      <c r="T21" s="124"/>
      <c r="U21" s="124"/>
      <c r="V21" s="124"/>
      <c r="W21" s="3">
        <f>IF(Main!$C$26="UGC",SUM(I20,CEILING(I20*3%,10)),AB21)</f>
        <v>18950</v>
      </c>
      <c r="X21" s="3">
        <f t="shared" si="1"/>
        <v>19500</v>
      </c>
      <c r="Y21" s="3">
        <f t="shared" si="1"/>
        <v>20050</v>
      </c>
      <c r="Z21" s="3">
        <f t="shared" si="1"/>
        <v>20640</v>
      </c>
      <c r="AB21" s="34">
        <v>18950</v>
      </c>
      <c r="AM21" s="143"/>
      <c r="AN21" s="136"/>
      <c r="AO21" s="128"/>
      <c r="AP21" s="124"/>
      <c r="AQ21" s="124"/>
      <c r="AR21" s="124"/>
      <c r="AS21" s="124"/>
      <c r="AT21" s="124"/>
      <c r="AU21" s="3"/>
      <c r="AV21" s="3"/>
      <c r="AW21" s="3"/>
      <c r="AX21" s="3"/>
    </row>
    <row r="22" spans="1:50" ht="21.95" customHeight="1">
      <c r="A22" s="124" t="s">
        <v>1495</v>
      </c>
      <c r="B22" s="136">
        <f>IF(B5=0,C9,B5)</f>
        <v>42461</v>
      </c>
      <c r="C22" s="128">
        <f>C21</f>
        <v>55410</v>
      </c>
      <c r="D22" s="124"/>
      <c r="E22" s="121"/>
      <c r="F22" s="124" t="s">
        <v>1524</v>
      </c>
      <c r="G22" s="124">
        <f>F5</f>
        <v>0</v>
      </c>
      <c r="H22" s="124"/>
      <c r="I22" s="3">
        <f>IF(Main!$C$26="UGC",SUM(I21,CEILING(I21*3%,10)),AB22)</f>
        <v>19500</v>
      </c>
      <c r="J22" s="3">
        <f t="shared" si="2"/>
        <v>20050</v>
      </c>
      <c r="K22" s="3">
        <f t="shared" si="2"/>
        <v>20640</v>
      </c>
      <c r="L22" s="3">
        <f t="shared" si="2"/>
        <v>21230</v>
      </c>
      <c r="O22" s="124" t="s">
        <v>1495</v>
      </c>
      <c r="P22" s="136">
        <f>IF(P5=0,Q9,P5)</f>
        <v>42461</v>
      </c>
      <c r="Q22" s="128">
        <f>Q21</f>
        <v>55410</v>
      </c>
      <c r="R22" s="124"/>
      <c r="S22" s="121"/>
      <c r="T22" s="124" t="s">
        <v>1524</v>
      </c>
      <c r="U22" s="124">
        <f>T5</f>
        <v>0</v>
      </c>
      <c r="V22" s="124"/>
      <c r="W22" s="3">
        <f>IF(Main!$C$26="UGC",SUM(I21,CEILING(I21*3%,10)),AB22)</f>
        <v>19500</v>
      </c>
      <c r="X22" s="3">
        <f t="shared" si="1"/>
        <v>20050</v>
      </c>
      <c r="Y22" s="3">
        <f t="shared" si="1"/>
        <v>20640</v>
      </c>
      <c r="Z22" s="3">
        <f t="shared" si="1"/>
        <v>21230</v>
      </c>
      <c r="AB22" s="34">
        <v>19500</v>
      </c>
      <c r="AM22" s="124"/>
      <c r="AN22" s="136"/>
      <c r="AO22" s="128"/>
      <c r="AP22" s="124"/>
      <c r="AQ22" s="121"/>
      <c r="AR22" s="124"/>
      <c r="AS22" s="124"/>
      <c r="AT22" s="124"/>
      <c r="AU22" s="3"/>
      <c r="AV22" s="3"/>
      <c r="AW22" s="3"/>
      <c r="AX22" s="3"/>
    </row>
    <row r="23" spans="1:50" ht="21.95" customHeight="1">
      <c r="A23" s="124" t="s">
        <v>1528</v>
      </c>
      <c r="B23" s="136">
        <f>IF(OR(Main!AM2=4,AND(OR(Main!AM2=2,Main!AM2=3,Main!AM2=4),F23&lt;G22)),C9,B22)</f>
        <v>42461</v>
      </c>
      <c r="C23" s="33">
        <f>MAX(E23,G22)</f>
        <v>55410</v>
      </c>
      <c r="D23" s="124">
        <f>IF($C$9=B23,1,IF(AND(MONTH(B23)=MONTH(A21),DAY(B23)=1),3,2))</f>
        <v>1</v>
      </c>
      <c r="E23" s="128">
        <f>IF(Main!AN10=4,VLOOKUP(C22,$I$2:$L$7,D23),VLOOKUP(C22,$I$8:$L$92,D23))</f>
        <v>55410</v>
      </c>
      <c r="F23" s="124">
        <f>IF(Main!AN10=4,VLOOKUP(C22,$I$2:$L$7,4),VLOOKUP(C22,$I$8:$L$92,4))</f>
        <v>59890</v>
      </c>
      <c r="G23" s="124"/>
      <c r="H23" s="124"/>
      <c r="I23" s="3">
        <f>IF(Main!$C$26="UGC",SUM(I22,CEILING(I22*3%,10)),AB23)</f>
        <v>20050</v>
      </c>
      <c r="J23" s="3">
        <f t="shared" si="2"/>
        <v>20640</v>
      </c>
      <c r="K23" s="3">
        <f t="shared" si="2"/>
        <v>21230</v>
      </c>
      <c r="L23" s="3">
        <f t="shared" si="2"/>
        <v>21820</v>
      </c>
      <c r="O23" s="124" t="s">
        <v>1528</v>
      </c>
      <c r="P23" s="136">
        <f>IF(OR(Main!AN2=4,AND(OR(Main!AN2=2,Main!AN2=3,Main!AN2=4),T23&lt;U22)),Q9,P22)</f>
        <v>42461</v>
      </c>
      <c r="Q23" s="33">
        <f>MAX(S23,U22)</f>
        <v>55410</v>
      </c>
      <c r="R23" s="124">
        <f>IF($Q$9=P23,1,IF(AND(MONTH(P23)=MONTH(O21),DAY(P23)=1),3,2))</f>
        <v>1</v>
      </c>
      <c r="S23" s="128">
        <f>IF(Main!AN10=4,VLOOKUP(Q22,$W$2:$Z$7,R23),VLOOKUP(Q22,$W$8:$Z$92,R23))</f>
        <v>55410</v>
      </c>
      <c r="T23" s="124">
        <f>IF(Main!AN10=4,VLOOKUP(Q22,$W$2:$Z$7,4),VLOOKUP(Q22,$W$8:$Z$92,4))</f>
        <v>59890</v>
      </c>
      <c r="U23" s="124"/>
      <c r="V23" s="124"/>
      <c r="W23" s="3">
        <f>IF(Main!$C$26="UGC",SUM(I22,CEILING(I22*3%,10)),AB23)</f>
        <v>20050</v>
      </c>
      <c r="X23" s="3">
        <f t="shared" si="1"/>
        <v>20640</v>
      </c>
      <c r="Y23" s="3">
        <f t="shared" si="1"/>
        <v>21230</v>
      </c>
      <c r="Z23" s="3">
        <f t="shared" si="1"/>
        <v>21820</v>
      </c>
      <c r="AB23" s="34">
        <v>20050</v>
      </c>
      <c r="AM23" s="124"/>
      <c r="AN23" s="136"/>
      <c r="AO23" s="33"/>
      <c r="AP23" s="124"/>
      <c r="AQ23" s="128"/>
      <c r="AR23" s="124"/>
      <c r="AS23" s="124"/>
      <c r="AT23" s="124"/>
      <c r="AU23" s="3"/>
      <c r="AV23" s="3"/>
      <c r="AW23" s="3"/>
      <c r="AX23" s="3"/>
    </row>
    <row r="24" spans="1:50" ht="21.95" customHeight="1">
      <c r="A24" s="124" t="s">
        <v>1529</v>
      </c>
      <c r="B24" s="136">
        <f>IF(B22=C9,C9,IF(OR(Main!AM2=4,AND(OR(Main!AM2=2,Main!AM2=3,Main!AM2=4),F23&lt;G22)),B22,IF(Main!AM2=2,C9,DATE(IF(MONTH(A21)&lt;=MONTH(B22),YEAR(B22)+1,YEAR(B22)),MONTH(A21),1))))</f>
        <v>42461</v>
      </c>
      <c r="C24" s="33">
        <f>MAX(E24,G22)</f>
        <v>55410</v>
      </c>
      <c r="D24" s="124">
        <f>IF($C$9=B24,1,IF(AND(IF(Main!AM2=3,MONTH(B24)=MONTH(B23),MONTH(B24)=MONTH(A21)),DAY(B24)=1),4,3))</f>
        <v>1</v>
      </c>
      <c r="E24" s="128">
        <f>IF(Main!AN10=4,VLOOKUP(E23,$I$2:$L$7,D24),VLOOKUP(E23,$I$8:$L$92,D24))</f>
        <v>55410</v>
      </c>
      <c r="F24" s="124"/>
      <c r="G24" s="124"/>
      <c r="H24" s="124"/>
      <c r="I24" s="3">
        <f>IF(Main!$C$26="UGC",SUM(I23,CEILING(I23*3%,10)),AB24)</f>
        <v>20640</v>
      </c>
      <c r="J24" s="3">
        <f t="shared" si="2"/>
        <v>21230</v>
      </c>
      <c r="K24" s="3">
        <f t="shared" si="2"/>
        <v>21820</v>
      </c>
      <c r="L24" s="3">
        <f t="shared" si="2"/>
        <v>22460</v>
      </c>
      <c r="O24" s="124" t="s">
        <v>1529</v>
      </c>
      <c r="P24" s="136">
        <f>IF(P22=Q9,Q9,IF(OR(Main!AN2=4,AND(OR(Main!AN2=2,Main!AN2=3,Main!AN2=4),T23&lt;U22)),P22,IF(Main!AN2=2,Q9,DATE(IF(MONTH(O21)&lt;=MONTH(P22),YEAR(P22)+1,YEAR(P22)),MONTH(O21),1))))</f>
        <v>42461</v>
      </c>
      <c r="Q24" s="33">
        <f>MAX(S24,U22)</f>
        <v>55410</v>
      </c>
      <c r="R24" s="124">
        <f>IF($Q$9=P24,1,IF(AND(IF(Main!AN2=3,MONTH(P24)=MONTH(P23),MONTH(P24)=MONTH(O21)),DAY(P24)=1),4,3))</f>
        <v>1</v>
      </c>
      <c r="S24" s="128">
        <f>IF(Main!AN10=4,VLOOKUP(S23,$W$2:$Z$7,R24),VLOOKUP(S23,$W$8:$Z$92,R24))</f>
        <v>55410</v>
      </c>
      <c r="T24" s="124"/>
      <c r="U24" s="124"/>
      <c r="V24" s="124"/>
      <c r="W24" s="3">
        <f>IF(Main!$C$26="UGC",SUM(I23,CEILING(I23*3%,10)),AB24)</f>
        <v>20640</v>
      </c>
      <c r="X24" s="3">
        <f t="shared" si="1"/>
        <v>21230</v>
      </c>
      <c r="Y24" s="3">
        <f t="shared" si="1"/>
        <v>21820</v>
      </c>
      <c r="Z24" s="3">
        <f t="shared" si="1"/>
        <v>22460</v>
      </c>
      <c r="AB24" s="34">
        <v>20640</v>
      </c>
      <c r="AM24" s="124"/>
      <c r="AN24" s="136"/>
      <c r="AO24" s="33"/>
      <c r="AP24" s="124"/>
      <c r="AQ24" s="128"/>
      <c r="AR24" s="124"/>
      <c r="AS24" s="124"/>
      <c r="AT24" s="124"/>
      <c r="AU24" s="3"/>
      <c r="AV24" s="3"/>
      <c r="AW24" s="3"/>
      <c r="AX24" s="3"/>
    </row>
    <row r="25" spans="1:50" ht="21.95" customHeight="1">
      <c r="A25" s="136">
        <f>IF(Main!AM2=2,DATE(IF(MONTH(A21)&lt;=MONTH(B22),YEAR(B22)+1,YEAR(B22)),MONTH(A21),1),DATE(YEAR(B24)+1,MONTH(B24),1))</f>
        <v>42826</v>
      </c>
      <c r="B25" s="136">
        <f>MIN(A25,$C$9)</f>
        <v>42461</v>
      </c>
      <c r="C25" s="128">
        <f>IF(Main!AN10=4,VLOOKUP(C24,$I$2:$L$7,D25),VLOOKUP(C24,$I$8:$L$92,D25))</f>
        <v>55410</v>
      </c>
      <c r="D25" s="124">
        <f>IF(A25=B25,2,1)</f>
        <v>1</v>
      </c>
      <c r="E25" s="124"/>
      <c r="F25" s="124"/>
      <c r="G25" s="124"/>
      <c r="H25" s="124"/>
      <c r="I25" s="3">
        <f>IF(Main!$C$26="UGC",SUM(I24,CEILING(I24*3%,10)),AB25)</f>
        <v>21230</v>
      </c>
      <c r="J25" s="3">
        <f t="shared" si="2"/>
        <v>21820</v>
      </c>
      <c r="K25" s="3">
        <f t="shared" si="2"/>
        <v>22460</v>
      </c>
      <c r="L25" s="3">
        <f t="shared" si="2"/>
        <v>23100</v>
      </c>
      <c r="O25" s="136">
        <f>IF(Main!AN2=2,DATE(IF(MONTH(O21)&lt;=MONTH(P22),YEAR(P22)+1,YEAR(P22)),MONTH(O21),1),DATE(YEAR(P24)+1,MONTH(P24),1))</f>
        <v>42826</v>
      </c>
      <c r="P25" s="136">
        <f>MIN(O25,$Q$9)</f>
        <v>42461</v>
      </c>
      <c r="Q25" s="128">
        <f>IF(Main!AN10=4,VLOOKUP(Q24,$W$2:$Z$7,R25),VLOOKUP(Q24,$W$8:$Z$92,R25))</f>
        <v>55410</v>
      </c>
      <c r="R25" s="124">
        <f>IF(O25=P25,2,1)</f>
        <v>1</v>
      </c>
      <c r="S25" s="124"/>
      <c r="T25" s="124"/>
      <c r="U25" s="124"/>
      <c r="V25" s="124"/>
      <c r="W25" s="3">
        <f>IF(Main!$C$26="UGC",SUM(I24,CEILING(I24*3%,10)),AB25)</f>
        <v>21230</v>
      </c>
      <c r="X25" s="3">
        <f t="shared" si="1"/>
        <v>21820</v>
      </c>
      <c r="Y25" s="3">
        <f t="shared" si="1"/>
        <v>22460</v>
      </c>
      <c r="Z25" s="3">
        <f t="shared" si="1"/>
        <v>23100</v>
      </c>
      <c r="AB25" s="34">
        <v>21230</v>
      </c>
      <c r="AM25" s="136"/>
      <c r="AN25" s="136"/>
      <c r="AO25" s="128"/>
      <c r="AP25" s="124"/>
      <c r="AQ25" s="124"/>
      <c r="AR25" s="124"/>
      <c r="AS25" s="124"/>
      <c r="AT25" s="124"/>
      <c r="AU25" s="3"/>
      <c r="AV25" s="3"/>
      <c r="AW25" s="3"/>
      <c r="AX25" s="3"/>
    </row>
    <row r="26" spans="1:50" ht="21.95" customHeight="1">
      <c r="A26" s="143">
        <f>DATE(YEAR(A25)+1,MONTH(A25),1)</f>
        <v>43191</v>
      </c>
      <c r="B26" s="136">
        <f>MIN(A26,$C$9)</f>
        <v>42461</v>
      </c>
      <c r="C26" s="128">
        <f>IF(Main!AN10=4,VLOOKUP(C25,$I$2:$L$7,D26),VLOOKUP(C25,$I$8:$L$92,D26))</f>
        <v>55410</v>
      </c>
      <c r="D26" s="124">
        <f>IF(A26=B26,2,1)</f>
        <v>1</v>
      </c>
      <c r="E26" s="124"/>
      <c r="F26" s="124"/>
      <c r="G26" s="124"/>
      <c r="H26" s="124"/>
      <c r="I26" s="3">
        <f>IF(Main!$C$26="UGC",SUM(I25,CEILING(I25*3%,10)),AB26)</f>
        <v>21820</v>
      </c>
      <c r="J26" s="3">
        <f t="shared" si="2"/>
        <v>22460</v>
      </c>
      <c r="K26" s="3">
        <f t="shared" si="2"/>
        <v>23100</v>
      </c>
      <c r="L26" s="3">
        <f t="shared" si="2"/>
        <v>23740</v>
      </c>
      <c r="O26" s="143">
        <f>DATE(YEAR(O25)+1,MONTH(O25),1)</f>
        <v>43191</v>
      </c>
      <c r="P26" s="136">
        <f>MIN(O26,$Q$9)</f>
        <v>42461</v>
      </c>
      <c r="Q26" s="128">
        <f>IF(Main!AN10=4,VLOOKUP(Q25,$W$2:$Z$7,R26),VLOOKUP(Q25,$W$8:$Z$92,R26))</f>
        <v>55410</v>
      </c>
      <c r="R26" s="124">
        <f>IF(O26=P26,2,1)</f>
        <v>1</v>
      </c>
      <c r="S26" s="124"/>
      <c r="T26" s="124"/>
      <c r="U26" s="124"/>
      <c r="V26" s="124"/>
      <c r="W26" s="3">
        <f>IF(Main!$C$26="UGC",SUM(I25,CEILING(I25*3%,10)),AB26)</f>
        <v>21820</v>
      </c>
      <c r="X26" s="3">
        <f t="shared" si="1"/>
        <v>22460</v>
      </c>
      <c r="Y26" s="3">
        <f t="shared" si="1"/>
        <v>23100</v>
      </c>
      <c r="Z26" s="3">
        <f t="shared" si="1"/>
        <v>23740</v>
      </c>
      <c r="AB26" s="34">
        <v>21820</v>
      </c>
      <c r="AM26" s="143"/>
      <c r="AN26" s="136"/>
      <c r="AO26" s="128"/>
      <c r="AP26" s="124"/>
      <c r="AQ26" s="124"/>
      <c r="AR26" s="124"/>
      <c r="AS26" s="124"/>
      <c r="AT26" s="124"/>
      <c r="AU26" s="3"/>
      <c r="AV26" s="3"/>
      <c r="AW26" s="3"/>
      <c r="AX26" s="3"/>
    </row>
    <row r="27" spans="1:50" ht="21.95" customHeight="1">
      <c r="A27" s="124"/>
      <c r="B27" s="124"/>
      <c r="C27" s="124"/>
      <c r="D27" s="124"/>
      <c r="E27" s="124"/>
      <c r="F27" s="124"/>
      <c r="G27" s="124"/>
      <c r="H27" s="124"/>
      <c r="I27" s="3">
        <f>IF(Main!$C$26="UGC",SUM(I26,CEILING(I26*3%,10)),AB27)</f>
        <v>22460</v>
      </c>
      <c r="J27" s="3">
        <f t="shared" si="2"/>
        <v>23100</v>
      </c>
      <c r="K27" s="3">
        <f t="shared" si="2"/>
        <v>23740</v>
      </c>
      <c r="L27" s="3">
        <f t="shared" si="2"/>
        <v>24440</v>
      </c>
      <c r="O27" s="124"/>
      <c r="P27" s="124"/>
      <c r="Q27" s="124"/>
      <c r="R27" s="124"/>
      <c r="S27" s="124"/>
      <c r="T27" s="124"/>
      <c r="U27" s="124"/>
      <c r="V27" s="124"/>
      <c r="W27" s="3">
        <f>IF(Main!$C$26="UGC",SUM(I26,CEILING(I26*3%,10)),AB27)</f>
        <v>22460</v>
      </c>
      <c r="X27" s="3">
        <f t="shared" si="1"/>
        <v>23100</v>
      </c>
      <c r="Y27" s="3">
        <f t="shared" si="1"/>
        <v>23740</v>
      </c>
      <c r="Z27" s="3">
        <f t="shared" si="1"/>
        <v>24440</v>
      </c>
      <c r="AB27" s="34">
        <v>22460</v>
      </c>
      <c r="AM27" s="124"/>
      <c r="AN27" s="124"/>
      <c r="AO27" s="124"/>
      <c r="AP27" s="124"/>
      <c r="AQ27" s="124"/>
      <c r="AR27" s="124"/>
      <c r="AS27" s="124"/>
      <c r="AT27" s="124"/>
      <c r="AU27" s="3"/>
      <c r="AV27" s="3"/>
      <c r="AW27" s="3"/>
      <c r="AX27" s="3"/>
    </row>
    <row r="28" spans="1:50" ht="21.95" customHeight="1">
      <c r="A28" s="124"/>
      <c r="B28" s="128" t="s">
        <v>1531</v>
      </c>
      <c r="C28" s="124"/>
      <c r="D28" s="124"/>
      <c r="E28" s="124"/>
      <c r="F28" s="124"/>
      <c r="G28" s="124"/>
      <c r="H28" s="124"/>
      <c r="I28" s="3">
        <f>IF(Main!$C$26="UGC",SUM(I27,CEILING(I27*3%,10)),AB28)</f>
        <v>23100</v>
      </c>
      <c r="J28" s="3">
        <f t="shared" si="2"/>
        <v>23740</v>
      </c>
      <c r="K28" s="3">
        <f t="shared" si="2"/>
        <v>24440</v>
      </c>
      <c r="L28" s="3">
        <f t="shared" si="2"/>
        <v>25140</v>
      </c>
      <c r="O28" s="124"/>
      <c r="P28" s="128" t="s">
        <v>1531</v>
      </c>
      <c r="Q28" s="124"/>
      <c r="R28" s="124"/>
      <c r="S28" s="124"/>
      <c r="T28" s="124"/>
      <c r="U28" s="124"/>
      <c r="V28" s="124"/>
      <c r="W28" s="3">
        <f>IF(Main!$C$26="UGC",SUM(I27,CEILING(I27*3%,10)),AB28)</f>
        <v>23100</v>
      </c>
      <c r="X28" s="3">
        <f t="shared" si="1"/>
        <v>23740</v>
      </c>
      <c r="Y28" s="3">
        <f t="shared" si="1"/>
        <v>24440</v>
      </c>
      <c r="Z28" s="3">
        <f t="shared" si="1"/>
        <v>25140</v>
      </c>
      <c r="AB28" s="34">
        <v>23100</v>
      </c>
      <c r="AM28" s="124"/>
      <c r="AN28" s="128"/>
      <c r="AO28" s="124"/>
      <c r="AP28" s="124"/>
      <c r="AQ28" s="124"/>
      <c r="AR28" s="124"/>
      <c r="AS28" s="124"/>
      <c r="AT28" s="124"/>
      <c r="AU28" s="3"/>
      <c r="AV28" s="3"/>
      <c r="AW28" s="3"/>
      <c r="AX28" s="3"/>
    </row>
    <row r="29" spans="1:50" ht="21.95" customHeight="1">
      <c r="B29" s="128" t="s">
        <v>1530</v>
      </c>
      <c r="C29" s="124"/>
      <c r="D29" s="124"/>
      <c r="E29" s="124"/>
      <c r="F29" s="124"/>
      <c r="G29" s="124"/>
      <c r="H29" s="124"/>
      <c r="I29" s="3">
        <f>IF(Main!$C$26="UGC",SUM(I28,CEILING(I28*3%,10)),AB29)</f>
        <v>23740</v>
      </c>
      <c r="J29" s="3">
        <f t="shared" si="2"/>
        <v>24440</v>
      </c>
      <c r="K29" s="3">
        <f t="shared" si="2"/>
        <v>25140</v>
      </c>
      <c r="L29" s="3">
        <f t="shared" si="2"/>
        <v>25840</v>
      </c>
      <c r="P29" s="128" t="s">
        <v>1530</v>
      </c>
      <c r="Q29" s="124"/>
      <c r="R29" s="124"/>
      <c r="S29" s="124"/>
      <c r="T29" s="124"/>
      <c r="U29" s="124"/>
      <c r="V29" s="124"/>
      <c r="W29" s="3">
        <f>IF(Main!$C$26="UGC",SUM(I28,CEILING(I28*3%,10)),AB29)</f>
        <v>23740</v>
      </c>
      <c r="X29" s="3">
        <f t="shared" si="1"/>
        <v>24440</v>
      </c>
      <c r="Y29" s="3">
        <f t="shared" si="1"/>
        <v>25140</v>
      </c>
      <c r="Z29" s="3">
        <f t="shared" si="1"/>
        <v>25840</v>
      </c>
      <c r="AB29" s="34">
        <v>23740</v>
      </c>
      <c r="AN29" s="128"/>
      <c r="AO29" s="124"/>
      <c r="AP29" s="124"/>
      <c r="AQ29" s="124"/>
      <c r="AR29" s="124"/>
      <c r="AS29" s="124"/>
      <c r="AT29" s="124"/>
      <c r="AU29" s="3"/>
      <c r="AV29" s="3"/>
      <c r="AW29" s="3"/>
      <c r="AX29" s="3"/>
    </row>
    <row r="30" spans="1:50" ht="21.95" customHeight="1">
      <c r="A30" s="157"/>
      <c r="B30" s="133">
        <f>B15</f>
        <v>42005</v>
      </c>
      <c r="C30" s="156">
        <f>C15</f>
        <v>53950</v>
      </c>
      <c r="D30" s="124"/>
      <c r="E30" s="192">
        <f>C15</f>
        <v>53950</v>
      </c>
      <c r="F30" s="124">
        <f>IF(B30&gt;=$B$22,$G$22,IF(B30&gt;=$B$19,$G$19,0))</f>
        <v>0</v>
      </c>
      <c r="G30" s="124"/>
      <c r="H30" s="124" t="b">
        <f>EXACT(C30,E30)</f>
        <v>1</v>
      </c>
      <c r="I30" s="3">
        <f>IF(Main!$C$26="UGC",SUM(I29,CEILING(I29*3%,10)),AB30)</f>
        <v>24440</v>
      </c>
      <c r="J30" s="3">
        <f t="shared" si="2"/>
        <v>25140</v>
      </c>
      <c r="K30" s="3">
        <f t="shared" si="2"/>
        <v>25840</v>
      </c>
      <c r="L30" s="3">
        <f t="shared" si="2"/>
        <v>26600</v>
      </c>
      <c r="O30" s="157"/>
      <c r="P30" s="133">
        <f>P15</f>
        <v>42005</v>
      </c>
      <c r="Q30" s="156">
        <f>Q15</f>
        <v>53950</v>
      </c>
      <c r="R30" s="124"/>
      <c r="S30" s="192">
        <f>Q15</f>
        <v>53950</v>
      </c>
      <c r="T30" s="124">
        <f t="shared" ref="T30:T41" si="3">IF(P30&gt;=$P$22,$U$22,IF(P30&gt;=$P$19,$U$19,0))</f>
        <v>0</v>
      </c>
      <c r="U30" s="124"/>
      <c r="V30" s="124" t="b">
        <f t="shared" ref="V30:V41" si="4">EXACT(Q30,S30)</f>
        <v>1</v>
      </c>
      <c r="W30" s="3">
        <f>IF(Main!$C$26="UGC",SUM(I29,CEILING(I29*3%,10)),AB30)</f>
        <v>24440</v>
      </c>
      <c r="X30" s="3">
        <f t="shared" si="1"/>
        <v>25140</v>
      </c>
      <c r="Y30" s="3">
        <f t="shared" si="1"/>
        <v>25840</v>
      </c>
      <c r="Z30" s="3">
        <f t="shared" si="1"/>
        <v>26600</v>
      </c>
      <c r="AB30" s="34">
        <v>24440</v>
      </c>
      <c r="AM30" s="157"/>
      <c r="AN30" s="133"/>
      <c r="AO30" s="156"/>
      <c r="AP30" s="124"/>
      <c r="AQ30" s="192"/>
      <c r="AR30" s="124"/>
      <c r="AS30" s="124"/>
      <c r="AT30" s="124"/>
      <c r="AU30" s="3"/>
      <c r="AV30" s="3"/>
      <c r="AW30" s="3"/>
      <c r="AX30" s="3"/>
    </row>
    <row r="31" spans="1:50" ht="21.95" customHeight="1">
      <c r="A31" s="173">
        <f>B30</f>
        <v>42005</v>
      </c>
      <c r="B31" s="130">
        <f>MIN(IF(AND($B$16&gt;B30,$D$16=2),$B$16,$C$9),IF(AND($B$17&gt;B30,$D$17=2),$B$17,$C$9),IF(AND($B$18&gt;B30,$D$18=2),$B$18,$C$9),IF(AND($B$20&gt;B30,$D$20=2),$B$20,$C$9),IF(AND($B$21&gt;B30,$D$21=2),$B$21,$C$9),IF(AND($B$25&gt;B30,$D$25=2),$B$25,$C$9),IF(AND($B$26&gt;B30,$D$26=2),$B$26,$C$9),IF($B$19&gt;B30,$B$19,$C$9),IF($B$23&gt;B30,$B$23,$C$9),IF($B$24&gt;B30,$B$24,$C$9),IF(AND(Main!$AN$10=5,$G$12&gt;B30),$G$12,$C$9),IF($C$13&gt;B30,$C$13,$C$9),IF($E$13&gt;B30,$E$13,$C$9))</f>
        <v>42248</v>
      </c>
      <c r="C31" s="128">
        <f>IF(B31=$G$12,$F$12,IF(B31=$B$26,$C$26,IF(B31=$B$25,$C$25,IF(B31=$B$24,$C$24,IF(B31=$B$23,$C$23,IF(B31=$B$21,$C$21,IF(B31=$B$20,$C$20,IF(B31=$B$19,$C$19,IF(B31=$B$18,$C$18,IF(B31=$B$17,$C$17,IF(B31=$B$16,$C$16,C30)))))))))))</f>
        <v>55410</v>
      </c>
      <c r="D31" s="128">
        <f>IF(B31=$B$24,$D$24,IF(B31=$B$23,$D$23,IF(B31=$B$19,$D$19,IF(B31=$G$12,1,IF(ISNA(VLOOKUP(B31,$A$44:$B$49,2,FALSE)),1,LOOKUP(B31,$A$44:$B$49))))))</f>
        <v>2</v>
      </c>
      <c r="E31" s="192">
        <f>IF(AND(Main!$AN$10=5,B31=$G$12),$F$12,MAX(IF(Main!$AN$10=4,VLOOKUP(E30,$I$2:$L$7,D31),VLOOKUP(E30,$I$8:$L$92,D31)),F31))</f>
        <v>55410</v>
      </c>
      <c r="F31" s="124">
        <f t="shared" ref="F31:F41" si="5">IF(B31&gt;=$B$22,$G$22,IF(B31&gt;=$B$19,$G$19,0))</f>
        <v>0</v>
      </c>
      <c r="G31" s="124"/>
      <c r="H31" s="124" t="b">
        <f t="shared" ref="H31:H41" si="6">EXACT(C31,E31)</f>
        <v>1</v>
      </c>
      <c r="I31" s="3">
        <f>IF(Main!$C$26="UGC",SUM(I30,CEILING(I30*3%,10)),AB31)</f>
        <v>25140</v>
      </c>
      <c r="J31" s="3">
        <f t="shared" si="2"/>
        <v>25840</v>
      </c>
      <c r="K31" s="3">
        <f t="shared" si="2"/>
        <v>26600</v>
      </c>
      <c r="L31" s="3">
        <f t="shared" si="2"/>
        <v>27360</v>
      </c>
      <c r="O31" s="173">
        <f t="shared" ref="O31:O41" si="7">P30</f>
        <v>42005</v>
      </c>
      <c r="P31" s="130">
        <f>MIN(IF(AND($P$16&gt;P30,$R$16=2),$P$16,$Q$9),IF(AND($P$17&gt;P30,$R$17=2),$P$17,$Q$9),IF(AND($P$18&gt;P30,$R$18=2),$P$18,$Q$9),IF(AND($P$20&gt;P30,$R$20=2),$P$20,$Q$9),IF(AND($P$21&gt;P30,$R$21=2),$P$21,$Q$9),IF(AND($P$25&gt;P30,$R$25=2),$P$25,$Q$9),IF(AND($P$26&gt;P30,$R$26=2),$P$26,$Q$9),IF($P$19&gt;P30,$P$19,$Q$9),IF($P$23&gt;P30,$P$23,$Q$9),IF($P$24&gt;P30,$P$24,$Q$9),IF(AND(Main!$AN$10=5,$U$12&gt;P30),$U$12,$Q$9),IF($Q$13&gt;P30,$Q$13,$Q$9),IF($S$13&gt;P30,$S$13,$Q$9))</f>
        <v>42248</v>
      </c>
      <c r="Q31" s="128">
        <f>IF(P31=$U$12,$T$12,IF(P31=$P$26,$Q$26,IF(P31=$P$25,$Q$25,IF(P31=$P$24,$Q$24,IF(P31=$P$23,$Q$23,IF(P31=$P$21,$Q$21,IF(P31=$P$20,$Q$20,IF(P31=$P$19,$Q$19,IF(P31=$P$18,$Q$18,IF(P31=$P$17,$Q$17,IF(P31=$P$16,$Q$16,Q30)))))))))))</f>
        <v>55410</v>
      </c>
      <c r="R31" s="128">
        <f t="shared" ref="R31:R41" si="8">IF(P31=$P$24,$R$24,IF(P31=$P$23,$R$23,IF(P31=$P$19,$R$19,IF(P31=$U$12,1,IF(ISNA(VLOOKUP(P31,$O$44:$P$49,2,FALSE)),1,LOOKUP(P31,$O$44:$P$49))))))</f>
        <v>2</v>
      </c>
      <c r="S31" s="192">
        <f>IF(AND(Main!$AN$10=5,P31=$U$12),$T$12,MAX(IF(Main!$AN$10=4,VLOOKUP(S30,$W$2:$Z$7,R31),VLOOKUP(S30,$W$8:$Z$92,R31)),T31))</f>
        <v>55410</v>
      </c>
      <c r="T31" s="124">
        <f t="shared" si="3"/>
        <v>0</v>
      </c>
      <c r="U31" s="124"/>
      <c r="V31" s="124" t="b">
        <f t="shared" si="4"/>
        <v>1</v>
      </c>
      <c r="W31" s="3">
        <f>IF(Main!$C$26="UGC",SUM(I30,CEILING(I30*3%,10)),AB31)</f>
        <v>25140</v>
      </c>
      <c r="X31" s="3">
        <f t="shared" si="1"/>
        <v>25840</v>
      </c>
      <c r="Y31" s="3">
        <f t="shared" si="1"/>
        <v>26600</v>
      </c>
      <c r="Z31" s="3">
        <f t="shared" si="1"/>
        <v>27360</v>
      </c>
      <c r="AB31" s="34">
        <v>25140</v>
      </c>
      <c r="AM31" s="173"/>
      <c r="AN31" s="130"/>
      <c r="AO31" s="128"/>
      <c r="AP31" s="128"/>
      <c r="AQ31" s="192"/>
      <c r="AR31" s="124"/>
      <c r="AS31" s="124"/>
      <c r="AT31" s="124"/>
      <c r="AU31" s="3"/>
      <c r="AV31" s="3"/>
      <c r="AW31" s="3"/>
      <c r="AX31" s="3"/>
    </row>
    <row r="32" spans="1:50" ht="21.95" customHeight="1">
      <c r="A32" s="173">
        <f t="shared" ref="A32:A41" si="9">B31</f>
        <v>42248</v>
      </c>
      <c r="B32" s="130">
        <f>MIN(IF(AND($B$16&gt;B31,$D$16=2),$B$16,$C$9),IF(AND($B$17&gt;B31,$D$17=2),$B$17,$C$9),IF(AND($B$18&gt;B31,$D$18=2),$B$18,$C$9),IF(AND($B$20&gt;B31,$D$20=2),$B$20,$C$9),IF(AND($B$21&gt;B31,$D$21=2),$B$21,$C$9),IF(AND($B$25&gt;B31,$D$25=2),$B$25,$C$9),IF(AND($B$26&gt;B31,$D$26=2),$B$26,$C$9),IF($B$19&gt;B31,$B$19,$C$9),IF($B$23&gt;B31,$B$23,$C$9),IF($B$24&gt;B31,$B$24,$C$9),IF(AND(Main!$AN$10=5,$G$12&gt;B31),$G$12,$C$9),IF($C$13&gt;B31,$C$13,$C$9),IF($E$13&gt;B31,$E$13,$C$9))</f>
        <v>42461</v>
      </c>
      <c r="C32" s="128">
        <f t="shared" ref="C32:C41" si="10">IF(B32=$G$12,$F$12,IF(B32=$B$26,$C$26,IF(B32=$B$25,$C$25,IF(B32=$B$24,$C$24,IF(B32=$B$23,$C$23,IF(B32=$B$21,$C$21,IF(B32=$B$20,$C$20,IF(B32=$B$19,$C$19,IF(B32=$B$18,$C$18,IF(B32=$B$17,$C$17,IF(B32=$B$16,$C$16,C31)))))))))))</f>
        <v>55410</v>
      </c>
      <c r="D32" s="128">
        <f>IF(B32=$B$24,$D$24,IF(B32=$B$23,$D$23,IF(B32=$B$19,$D$19,IF(B32=$G$12,1,IF(ISNA(VLOOKUP(B32,$A$44:$B$49,2,FALSE)),1,LOOKUP(B32,$A$44:$B$49))))))</f>
        <v>1</v>
      </c>
      <c r="E32" s="192">
        <f>IF(AND(Main!$AN$10=5,B32=$G$12),$F$12,MAX(IF(Main!$AN$10=4,VLOOKUP(E31,$I$2:$L$7,D32),VLOOKUP(E31,$I$8:$L$92,D32)),F32))</f>
        <v>55410</v>
      </c>
      <c r="F32" s="124">
        <f t="shared" si="5"/>
        <v>0</v>
      </c>
      <c r="G32" s="124"/>
      <c r="H32" s="124" t="b">
        <f t="shared" si="6"/>
        <v>1</v>
      </c>
      <c r="I32" s="3">
        <f>IF(Main!$C$26="UGC",SUM(I31,CEILING(I31*3%,10)),AB32)</f>
        <v>25840</v>
      </c>
      <c r="J32" s="3">
        <f t="shared" si="2"/>
        <v>26600</v>
      </c>
      <c r="K32" s="3">
        <f t="shared" si="2"/>
        <v>27360</v>
      </c>
      <c r="L32" s="3">
        <f t="shared" si="2"/>
        <v>28120</v>
      </c>
      <c r="O32" s="173">
        <f t="shared" si="7"/>
        <v>42248</v>
      </c>
      <c r="P32" s="130">
        <f>MIN(IF(AND($P$16&gt;P31,$R$16=2),$P$16,$Q$9),IF(AND($P$17&gt;P31,$R$17=2),$P$17,$Q$9),IF(AND($P$18&gt;P31,$R$18=2),$P$18,$Q$9),IF(AND($P$20&gt;P31,$R$20=2),$P$20,$Q$9),IF(AND($P$21&gt;P31,$R$21=2),$P$21,$Q$9),IF(AND($P$25&gt;P31,$R$25=2),$P$25,$Q$9),IF(AND($P$26&gt;P31,$R$26=2),$P$26,$Q$9),IF($P$19&gt;P31,$P$19,$Q$9),IF($P$23&gt;P31,$P$23,$Q$9),IF($P$24&gt;P31,$P$24,$Q$9),IF(AND(Main!$AN$10=5,$U$12&gt;P31),$U$12,$Q$9),IF($Q$13&gt;P31,$Q$13,$Q$9),IF($S$13&gt;P31,$S$13,$Q$9))</f>
        <v>42461</v>
      </c>
      <c r="Q32" s="128">
        <f t="shared" ref="Q32:Q41" si="11">IF(P32=$U$12,$T$12,IF(P32=$P$26,$Q$26,IF(P32=$P$25,$Q$25,IF(P32=$P$24,$Q$24,IF(P32=$P$23,$Q$23,IF(P32=$P$21,$Q$21,IF(P32=$P$20,$Q$20,IF(P32=$P$19,$Q$19,IF(P32=$P$18,$Q$18,IF(P32=$P$17,$Q$17,IF(P32=$P$16,$Q$16,Q31)))))))))))</f>
        <v>55410</v>
      </c>
      <c r="R32" s="128">
        <f t="shared" si="8"/>
        <v>1</v>
      </c>
      <c r="S32" s="192">
        <f>IF(AND(Main!$AN$10=5,P32=$U$12),$T$12,MAX(IF(Main!$AN$10=4,VLOOKUP(S31,$W$2:$Z$7,R32),VLOOKUP(S31,$W$8:$Z$92,R32)),T32))</f>
        <v>55410</v>
      </c>
      <c r="T32" s="124">
        <f t="shared" si="3"/>
        <v>0</v>
      </c>
      <c r="U32" s="124"/>
      <c r="V32" s="124" t="b">
        <f t="shared" si="4"/>
        <v>1</v>
      </c>
      <c r="W32" s="3">
        <f>IF(Main!$C$26="UGC",SUM(I31,CEILING(I31*3%,10)),AB32)</f>
        <v>25840</v>
      </c>
      <c r="X32" s="3">
        <f t="shared" si="1"/>
        <v>26600</v>
      </c>
      <c r="Y32" s="3">
        <f t="shared" si="1"/>
        <v>27360</v>
      </c>
      <c r="Z32" s="3">
        <f t="shared" si="1"/>
        <v>28120</v>
      </c>
      <c r="AB32" s="34">
        <v>25840</v>
      </c>
      <c r="AM32" s="173"/>
      <c r="AN32" s="130"/>
      <c r="AO32" s="128"/>
      <c r="AP32" s="128"/>
      <c r="AQ32" s="192"/>
      <c r="AR32" s="124"/>
      <c r="AS32" s="124"/>
      <c r="AT32" s="124"/>
      <c r="AU32" s="3"/>
      <c r="AV32" s="3"/>
      <c r="AW32" s="3"/>
      <c r="AX32" s="3"/>
    </row>
    <row r="33" spans="1:50" ht="21.95" customHeight="1">
      <c r="A33" s="173">
        <f t="shared" si="9"/>
        <v>42461</v>
      </c>
      <c r="B33" s="130">
        <f>MIN(IF(AND($B$16&gt;B32,$D$16=2),$B$16,$C$9),IF(AND($B$17&gt;B32,$D$17=2),$B$17,$C$9),IF(AND($B$18&gt;B32,$D$18=2),$B$18,$C$9),IF(AND($B$20&gt;B32,$D$20=2),$B$20,$C$9),IF(AND($B$21&gt;B32,$D$21=2),$B$21,$C$9),IF(AND($B$25&gt;B32,$D$25=2),$B$25,$C$9),IF(AND($B$26&gt;B32,$D$26=2),$B$26,$C$9),IF($B$19&gt;B32,$B$19,$C$9),IF($B$23&gt;B32,$B$23,$C$9),IF($B$24&gt;B32,$B$24,$C$9),IF(AND(Main!$AN$10=5,$G$12&gt;B32),$G$12,$C$9),IF($C$13&gt;B32,$C$13,$C$9),IF($E$13&gt;B32,$E$13,$C$9))</f>
        <v>42461</v>
      </c>
      <c r="C33" s="128">
        <f t="shared" si="10"/>
        <v>55410</v>
      </c>
      <c r="D33" s="128">
        <f t="shared" ref="D33:D41" si="12">IF(B33=$B$24,$D$24,IF(B33=$B$23,$D$23,IF(B33=$B$19,$D$19,IF(B33=$G$12,1,IF(ISNA(VLOOKUP(B33,$A$44:$B$49,2,FALSE)),1,LOOKUP(B33,$A$44:$B$49))))))</f>
        <v>1</v>
      </c>
      <c r="E33" s="192">
        <f>IF(AND(Main!$AN$10=5,B33=$G$12),$F$12,MAX(IF(Main!$AN$10=4,VLOOKUP(E32,$I$2:$L$7,D33),VLOOKUP(E32,$I$8:$L$92,D33)),F33))</f>
        <v>55410</v>
      </c>
      <c r="F33" s="124">
        <f>IF(B33&gt;=$B$22,$G$22,IF(B33&gt;=$B$19,$G$19,0))</f>
        <v>0</v>
      </c>
      <c r="G33" s="124"/>
      <c r="H33" s="124" t="b">
        <f t="shared" si="6"/>
        <v>1</v>
      </c>
      <c r="I33" s="3">
        <f>IF(Main!$C$26="UGC",SUM(I32,CEILING(I32*3%,10)),AB33)</f>
        <v>26600</v>
      </c>
      <c r="J33" s="3">
        <f t="shared" si="2"/>
        <v>27360</v>
      </c>
      <c r="K33" s="3">
        <f t="shared" si="2"/>
        <v>28120</v>
      </c>
      <c r="L33" s="3">
        <f t="shared" si="2"/>
        <v>28940</v>
      </c>
      <c r="O33" s="173">
        <f t="shared" si="7"/>
        <v>42461</v>
      </c>
      <c r="P33" s="130">
        <f>MIN(IF(AND($P$16&gt;P32,$R$16=2),$P$16,$Q$9),IF(AND($P$17&gt;P32,$R$17=2),$P$17,$Q$9),IF(AND($P$18&gt;P32,$R$18=2),$P$18,$Q$9),IF(AND($P$20&gt;P32,$R$20=2),$P$20,$Q$9),IF(AND($P$21&gt;P32,$R$21=2),$P$21,$Q$9),IF(AND($P$25&gt;P32,$R$25=2),$P$25,$Q$9),IF(AND($P$26&gt;P32,$R$26=2),$P$26,$Q$9),IF($P$19&gt;P32,$P$19,$Q$9),IF($P$23&gt;P32,$P$23,$Q$9),IF($P$24&gt;P32,$P$24,$Q$9),IF(AND(Main!$AN$10=5,$U$12&gt;P32),$U$12,$Q$9),IF($Q$13&gt;P32,$Q$13,$Q$9),IF($S$13&gt;P32,$S$13,$Q$9))</f>
        <v>42461</v>
      </c>
      <c r="Q33" s="128">
        <f t="shared" si="11"/>
        <v>55410</v>
      </c>
      <c r="R33" s="128">
        <f t="shared" si="8"/>
        <v>1</v>
      </c>
      <c r="S33" s="192">
        <f>IF(AND(Main!$AN$10=5,P33=$U$12),$T$12,MAX(IF(Main!$AN$10=4,VLOOKUP(S32,$W$2:$Z$7,R33),VLOOKUP(S32,$W$8:$Z$92,R33)),T33))</f>
        <v>55410</v>
      </c>
      <c r="T33" s="124">
        <f t="shared" si="3"/>
        <v>0</v>
      </c>
      <c r="U33" s="124"/>
      <c r="V33" s="124" t="b">
        <f t="shared" si="4"/>
        <v>1</v>
      </c>
      <c r="W33" s="3">
        <f>IF(Main!$C$26="UGC",SUM(I32,CEILING(I32*3%,10)),AB33)</f>
        <v>26600</v>
      </c>
      <c r="X33" s="3">
        <f t="shared" si="1"/>
        <v>27360</v>
      </c>
      <c r="Y33" s="3">
        <f t="shared" si="1"/>
        <v>28120</v>
      </c>
      <c r="Z33" s="3">
        <f t="shared" si="1"/>
        <v>28940</v>
      </c>
      <c r="AB33" s="34">
        <v>26600</v>
      </c>
      <c r="AM33" s="173"/>
      <c r="AN33" s="130"/>
      <c r="AO33" s="128"/>
      <c r="AP33" s="128"/>
      <c r="AQ33" s="192"/>
      <c r="AR33" s="124"/>
      <c r="AS33" s="124"/>
      <c r="AT33" s="124"/>
      <c r="AU33" s="3"/>
      <c r="AV33" s="3"/>
      <c r="AW33" s="3"/>
      <c r="AX33" s="3"/>
    </row>
    <row r="34" spans="1:50" ht="21.95" customHeight="1">
      <c r="A34" s="173">
        <f t="shared" si="9"/>
        <v>42461</v>
      </c>
      <c r="B34" s="130">
        <f>MIN(IF(AND($B$16&gt;B33,$D$16=2),$B$16,$C$9),IF(AND($B$17&gt;B33,$D$17=2),$B$17,$C$9),IF(AND($B$18&gt;B33,$D$18=2),$B$18,$C$9),IF(AND($B$20&gt;B33,$D$20=2),$B$20,$C$9),IF(AND($B$21&gt;B33,$D$21=2),$B$21,$C$9),IF(AND($B$25&gt;B33,$D$25=2),$B$25,$C$9),IF(AND($B$26&gt;B33,$D$26=2),$B$26,$C$9),IF($B$19&gt;B33,$B$19,$C$9),IF($B$23&gt;B33,$B$23,$C$9),IF($B$24&gt;B33,$B$24,$C$9),IF(AND(Main!$AN$10=5,$G$12&gt;B33),$G$12,$C$9),IF($C$13&gt;B33,$C$13,$C$9),IF($E$13&gt;B33,$E$13,$C$9))</f>
        <v>42461</v>
      </c>
      <c r="C34" s="128">
        <f t="shared" si="10"/>
        <v>55410</v>
      </c>
      <c r="D34" s="128">
        <f t="shared" si="12"/>
        <v>1</v>
      </c>
      <c r="E34" s="192">
        <f>IF(AND(Main!$AN$10=5,B34=$G$12),$F$12,MAX(IF(Main!$AN$10=4,VLOOKUP(E33,$I$2:$L$7,D34),VLOOKUP(E33,$I$8:$L$92,D34)),F34))</f>
        <v>55410</v>
      </c>
      <c r="F34" s="124">
        <f t="shared" si="5"/>
        <v>0</v>
      </c>
      <c r="G34" s="124"/>
      <c r="H34" s="124" t="b">
        <f t="shared" si="6"/>
        <v>1</v>
      </c>
      <c r="I34" s="3">
        <f>IF(Main!$C$26="UGC",SUM(I33,CEILING(I33*3%,10)),AB34)</f>
        <v>27360</v>
      </c>
      <c r="J34" s="3">
        <f t="shared" si="2"/>
        <v>28120</v>
      </c>
      <c r="K34" s="3">
        <f t="shared" si="2"/>
        <v>28940</v>
      </c>
      <c r="L34" s="3">
        <f t="shared" si="2"/>
        <v>29760</v>
      </c>
      <c r="O34" s="173">
        <f t="shared" si="7"/>
        <v>42461</v>
      </c>
      <c r="P34" s="130">
        <f>MIN(IF(AND($P$16&gt;P33,$R$16=2),$P$16,$Q$9),IF(AND($P$17&gt;P33,$R$17=2),$P$17,$Q$9),IF(AND($P$18&gt;P33,$R$18=2),$P$18,$Q$9),IF(AND($P$20&gt;P33,$R$20=2),$P$20,$Q$9),IF(AND($P$21&gt;P33,$R$21=2),$P$21,$Q$9),IF(AND($P$25&gt;P33,$R$25=2),$P$25,$Q$9),IF(AND($P$26&gt;P33,$R$26=2),$P$26,$Q$9),IF($P$19&gt;P33,$P$19,$Q$9),IF($P$23&gt;P33,$P$23,$Q$9),IF($P$24&gt;P33,$P$24,$Q$9),IF(AND(Main!$AN$10=5,$U$12&gt;P33),$U$12,$Q$9),IF($Q$13&gt;P33,$Q$13,$Q$9),IF($S$13&gt;P33,$S$13,$Q$9))</f>
        <v>42461</v>
      </c>
      <c r="Q34" s="128">
        <f t="shared" si="11"/>
        <v>55410</v>
      </c>
      <c r="R34" s="128">
        <f t="shared" si="8"/>
        <v>1</v>
      </c>
      <c r="S34" s="192">
        <f>IF(AND(Main!$AN$10=5,P34=$U$12),$T$12,MAX(IF(Main!$AN$10=4,VLOOKUP(S33,$W$2:$Z$7,R34),VLOOKUP(S33,$W$8:$Z$92,R34)),T34))</f>
        <v>55410</v>
      </c>
      <c r="T34" s="124">
        <f t="shared" si="3"/>
        <v>0</v>
      </c>
      <c r="U34" s="124"/>
      <c r="V34" s="124" t="b">
        <f t="shared" si="4"/>
        <v>1</v>
      </c>
      <c r="W34" s="3">
        <f>IF(Main!$C$26="UGC",SUM(I33,CEILING(I33*3%,10)),AB34)</f>
        <v>27360</v>
      </c>
      <c r="X34" s="3">
        <f t="shared" si="1"/>
        <v>28120</v>
      </c>
      <c r="Y34" s="3">
        <f t="shared" si="1"/>
        <v>28940</v>
      </c>
      <c r="Z34" s="3">
        <f t="shared" si="1"/>
        <v>29760</v>
      </c>
      <c r="AB34" s="34">
        <v>27360</v>
      </c>
      <c r="AM34" s="173"/>
      <c r="AN34" s="130"/>
      <c r="AO34" s="128"/>
      <c r="AP34" s="128"/>
      <c r="AQ34" s="192"/>
      <c r="AR34" s="124"/>
      <c r="AS34" s="124"/>
      <c r="AT34" s="124"/>
      <c r="AU34" s="3"/>
      <c r="AV34" s="3"/>
      <c r="AW34" s="3"/>
      <c r="AX34" s="3"/>
    </row>
    <row r="35" spans="1:50" ht="21.95" customHeight="1">
      <c r="A35" s="173">
        <f t="shared" si="9"/>
        <v>42461</v>
      </c>
      <c r="B35" s="130">
        <f>MIN(IF(AND($B$16&gt;B34,$D$16=2),$B$16,$C$9),IF(AND($B$17&gt;B34,$D$17=2),$B$17,$C$9),IF(AND($B$18&gt;B34,$D$18=2),$B$18,$C$9),IF(AND($B$20&gt;B34,$D$20=2),$B$20,$C$9),IF(AND($B$21&gt;B34,$D$21=2),$B$21,$C$9),IF(AND($B$25&gt;B34,$D$25=2),$B$25,$C$9),IF(AND($B$26&gt;B34,$D$26=2),$B$26,$C$9),IF($B$19&gt;B34,$B$19,$C$9),IF($B$23&gt;B34,$B$23,$C$9),IF($B$24&gt;B34,$B$24,$C$9),IF(AND(Main!$AN$10=5,$G$12&gt;B34),$G$12,$C$9),IF($C$13&gt;B34,$C$13,$C$9),IF($E$13&gt;B34,$E$13,$C$9))</f>
        <v>42461</v>
      </c>
      <c r="C35" s="128">
        <f t="shared" si="10"/>
        <v>55410</v>
      </c>
      <c r="D35" s="128">
        <f t="shared" si="12"/>
        <v>1</v>
      </c>
      <c r="E35" s="192">
        <f>IF(AND(Main!$AN$10=5,B35=$G$12),$F$12,MAX(IF(Main!$AN$10=4,VLOOKUP(E34,$I$2:$L$7,D35),VLOOKUP(E34,$I$8:$L$92,D35)),F35))</f>
        <v>55410</v>
      </c>
      <c r="F35" s="124">
        <f t="shared" si="5"/>
        <v>0</v>
      </c>
      <c r="G35" s="124"/>
      <c r="H35" s="124" t="b">
        <f t="shared" si="6"/>
        <v>1</v>
      </c>
      <c r="I35" s="3">
        <f>IF(Main!$C$26="UGC",SUM(I34,CEILING(I34*3%,10)),AB35)</f>
        <v>28120</v>
      </c>
      <c r="J35" s="3">
        <f t="shared" si="2"/>
        <v>28940</v>
      </c>
      <c r="K35" s="3">
        <f t="shared" si="2"/>
        <v>29760</v>
      </c>
      <c r="L35" s="3">
        <f t="shared" si="2"/>
        <v>30580</v>
      </c>
      <c r="O35" s="173">
        <f t="shared" si="7"/>
        <v>42461</v>
      </c>
      <c r="P35" s="130">
        <f>MIN(IF(AND($P$16&gt;P34,$R$16=2),$P$16,$Q$9),IF(AND($P$17&gt;P34,$R$17=2),$P$17,$Q$9),IF(AND($P$18&gt;P34,$R$18=2),$P$18,$Q$9),IF(AND($P$20&gt;P34,$R$20=2),$P$20,$Q$9),IF(AND($P$21&gt;P34,$R$21=2),$P$21,$Q$9),IF(AND($P$25&gt;P34,$R$25=2),$P$25,$Q$9),IF(AND($P$26&gt;P34,$R$26=2),$P$26,$Q$9),IF($P$19&gt;P34,$P$19,$Q$9),IF($P$23&gt;P34,$P$23,$Q$9),IF($P$24&gt;P34,$P$24,$Q$9),IF(AND(Main!$AN$10=5,$U$12&gt;P34),$U$12,$Q$9),IF($Q$13&gt;P34,$Q$13,$Q$9),IF($S$13&gt;P34,$S$13,$Q$9))</f>
        <v>42461</v>
      </c>
      <c r="Q35" s="128">
        <f t="shared" si="11"/>
        <v>55410</v>
      </c>
      <c r="R35" s="128">
        <f t="shared" si="8"/>
        <v>1</v>
      </c>
      <c r="S35" s="192">
        <f>IF(AND(Main!$AN$10=5,P35=$U$12),$T$12,MAX(IF(Main!$AN$10=4,VLOOKUP(S34,$W$2:$Z$7,R35),VLOOKUP(S34,$W$8:$Z$92,R35)),T35))</f>
        <v>55410</v>
      </c>
      <c r="T35" s="124">
        <f t="shared" si="3"/>
        <v>0</v>
      </c>
      <c r="U35" s="124"/>
      <c r="V35" s="124" t="b">
        <f t="shared" si="4"/>
        <v>1</v>
      </c>
      <c r="W35" s="3">
        <f>IF(Main!$C$26="UGC",SUM(I34,CEILING(I34*3%,10)),AB35)</f>
        <v>28120</v>
      </c>
      <c r="X35" s="3">
        <f t="shared" si="1"/>
        <v>28940</v>
      </c>
      <c r="Y35" s="3">
        <f t="shared" si="1"/>
        <v>29760</v>
      </c>
      <c r="Z35" s="3">
        <f t="shared" si="1"/>
        <v>30580</v>
      </c>
      <c r="AB35" s="34">
        <v>28120</v>
      </c>
      <c r="AM35" s="173"/>
      <c r="AN35" s="130"/>
      <c r="AO35" s="128"/>
      <c r="AP35" s="128"/>
      <c r="AQ35" s="192"/>
      <c r="AR35" s="124"/>
      <c r="AS35" s="124"/>
      <c r="AT35" s="124"/>
      <c r="AU35" s="3"/>
      <c r="AV35" s="3"/>
      <c r="AW35" s="3"/>
      <c r="AX35" s="3"/>
    </row>
    <row r="36" spans="1:50" ht="21.95" customHeight="1">
      <c r="A36" s="173">
        <f t="shared" si="9"/>
        <v>42461</v>
      </c>
      <c r="B36" s="130">
        <f>MIN(IF(AND($B$16&gt;B35,$D$16=2),$B$16,$C$9),IF(AND($B$17&gt;B35,$D$17=2),$B$17,$C$9),IF(AND($B$18&gt;B35,$D$18=2),$B$18,$C$9),IF(AND($B$20&gt;B35,$D$20=2),$B$20,$C$9),IF(AND($B$21&gt;B35,$D$21=2),$B$21,$C$9),IF(AND($B$25&gt;B35,$D$25=2),$B$25,$C$9),IF(AND($B$26&gt;B35,$D$26=2),$B$26,$C$9),IF($B$19&gt;B35,$B$19,$C$9),IF($B$23&gt;B35,$B$23,$C$9),IF($B$24&gt;B35,$B$24,$C$9),IF(AND(Main!$AN$10=5,$G$12&gt;B35),$G$12,$C$9),IF($C$13&gt;B35,$C$13,$C$9),IF($E$13&gt;B35,$E$13,$C$9))</f>
        <v>42461</v>
      </c>
      <c r="C36" s="128">
        <f t="shared" si="10"/>
        <v>55410</v>
      </c>
      <c r="D36" s="128">
        <f t="shared" si="12"/>
        <v>1</v>
      </c>
      <c r="E36" s="192">
        <f>IF(AND(Main!$AN$10=5,B36=$G$12),$F$12,MAX(IF(Main!$AN$10=4,VLOOKUP(E35,$I$2:$L$7,D36),VLOOKUP(E35,$I$8:$L$92,D36)),F36))</f>
        <v>55410</v>
      </c>
      <c r="F36" s="124">
        <f t="shared" si="5"/>
        <v>0</v>
      </c>
      <c r="G36" s="124"/>
      <c r="H36" s="124" t="b">
        <f t="shared" si="6"/>
        <v>1</v>
      </c>
      <c r="I36" s="3">
        <f>IF(Main!$C$26="UGC",SUM(I35,CEILING(I35*3%,10)),AB36)</f>
        <v>28940</v>
      </c>
      <c r="J36" s="3">
        <f t="shared" si="2"/>
        <v>29760</v>
      </c>
      <c r="K36" s="3">
        <f t="shared" si="2"/>
        <v>30580</v>
      </c>
      <c r="L36" s="3">
        <f t="shared" si="2"/>
        <v>31460</v>
      </c>
      <c r="O36" s="173">
        <f t="shared" si="7"/>
        <v>42461</v>
      </c>
      <c r="P36" s="130">
        <f>MIN(IF(AND($P$16&gt;P35,$R$16=2),$P$16,$Q$9),IF(AND($P$17&gt;P35,$R$17=2),$P$17,$Q$9),IF(AND($P$18&gt;P35,$R$18=2),$P$18,$Q$9),IF(AND($P$20&gt;P35,$R$20=2),$P$20,$Q$9),IF(AND($P$21&gt;P35,$R$21=2),$P$21,$Q$9),IF(AND($P$25&gt;P35,$R$25=2),$P$25,$Q$9),IF(AND($P$26&gt;P35,$R$26=2),$P$26,$Q$9),IF($P$19&gt;P35,$P$19,$Q$9),IF($P$23&gt;P35,$P$23,$Q$9),IF($P$24&gt;P35,$P$24,$Q$9),IF(AND(Main!$AN$10=5,$U$12&gt;P35),$U$12,$Q$9),IF($Q$13&gt;P35,$Q$13,$Q$9),IF($S$13&gt;P35,$S$13,$Q$9))</f>
        <v>42461</v>
      </c>
      <c r="Q36" s="128">
        <f t="shared" si="11"/>
        <v>55410</v>
      </c>
      <c r="R36" s="128">
        <f t="shared" si="8"/>
        <v>1</v>
      </c>
      <c r="S36" s="192">
        <f>IF(AND(Main!$AN$10=5,P36=$U$12),$T$12,MAX(IF(Main!$AN$10=4,VLOOKUP(S35,$W$2:$Z$7,R36),VLOOKUP(S35,$W$8:$Z$92,R36)),T36))</f>
        <v>55410</v>
      </c>
      <c r="T36" s="124">
        <f t="shared" si="3"/>
        <v>0</v>
      </c>
      <c r="U36" s="124"/>
      <c r="V36" s="124" t="b">
        <f t="shared" si="4"/>
        <v>1</v>
      </c>
      <c r="W36" s="3">
        <f>IF(Main!$C$26="UGC",SUM(I35,CEILING(I35*3%,10)),AB36)</f>
        <v>28940</v>
      </c>
      <c r="X36" s="3">
        <f t="shared" si="1"/>
        <v>29760</v>
      </c>
      <c r="Y36" s="3">
        <f t="shared" si="1"/>
        <v>30580</v>
      </c>
      <c r="Z36" s="3">
        <f t="shared" si="1"/>
        <v>31460</v>
      </c>
      <c r="AB36" s="34">
        <v>28940</v>
      </c>
      <c r="AM36" s="173"/>
      <c r="AN36" s="130"/>
      <c r="AO36" s="128"/>
      <c r="AP36" s="128"/>
      <c r="AQ36" s="192"/>
      <c r="AR36" s="124"/>
      <c r="AS36" s="124"/>
      <c r="AT36" s="124"/>
      <c r="AU36" s="3"/>
      <c r="AV36" s="3"/>
      <c r="AW36" s="3"/>
      <c r="AX36" s="3"/>
    </row>
    <row r="37" spans="1:50" ht="21.95" customHeight="1">
      <c r="A37" s="173">
        <f t="shared" si="9"/>
        <v>42461</v>
      </c>
      <c r="B37" s="130">
        <f>MIN(IF(AND($B$16&gt;B36,$D$16=2),$B$16,$C$9),IF(AND($B$17&gt;B36,$D$17=2),$B$17,$C$9),IF(AND($B$18&gt;B36,$D$18=2),$B$18,$C$9),IF(AND($B$20&gt;B36,$D$20=2),$B$20,$C$9),IF(AND($B$21&gt;B36,$D$21=2),$B$21,$C$9),IF(AND($B$25&gt;B36,$D$25=2),$B$25,$C$9),IF(AND($B$26&gt;B36,$D$26=2),$B$26,$C$9),IF($B$19&gt;B36,$B$19,$C$9),IF($B$23&gt;B36,$B$23,$C$9),IF($B$24&gt;B36,$B$24,$C$9),IF(AND(Main!$AN$10=5,$G$12&gt;B36),$G$12,$C$9),IF($C$13&gt;B36,$C$13,$C$9),IF($E$13&gt;B36,$E$13,$C$9))</f>
        <v>42461</v>
      </c>
      <c r="C37" s="128">
        <f t="shared" si="10"/>
        <v>55410</v>
      </c>
      <c r="D37" s="128">
        <f t="shared" si="12"/>
        <v>1</v>
      </c>
      <c r="E37" s="192">
        <f>IF(AND(Main!$AN$10=5,B37=$G$12),$F$12,MAX(IF(Main!$AN$10=4,VLOOKUP(E36,$I$2:$L$7,D37),VLOOKUP(E36,$I$8:$L$92,D37)),F37))</f>
        <v>55410</v>
      </c>
      <c r="F37" s="124">
        <f t="shared" si="5"/>
        <v>0</v>
      </c>
      <c r="G37" s="124"/>
      <c r="H37" s="124" t="b">
        <f t="shared" si="6"/>
        <v>1</v>
      </c>
      <c r="I37" s="3">
        <f>IF(Main!$C$26="UGC",SUM(I36,CEILING(I36*3%,10)),AB37)</f>
        <v>29760</v>
      </c>
      <c r="J37" s="3">
        <f t="shared" si="2"/>
        <v>30580</v>
      </c>
      <c r="K37" s="3">
        <f t="shared" si="2"/>
        <v>31460</v>
      </c>
      <c r="L37" s="3">
        <f t="shared" si="2"/>
        <v>32340</v>
      </c>
      <c r="O37" s="173">
        <f t="shared" si="7"/>
        <v>42461</v>
      </c>
      <c r="P37" s="130">
        <f>MIN(IF(AND($P$16&gt;P36,$R$16=2),$P$16,$Q$9),IF(AND($P$17&gt;P36,$R$17=2),$P$17,$Q$9),IF(AND($P$18&gt;P36,$R$18=2),$P$18,$Q$9),IF(AND($P$20&gt;P36,$R$20=2),$P$20,$Q$9),IF(AND($P$21&gt;P36,$R$21=2),$P$21,$Q$9),IF(AND($P$25&gt;P36,$R$25=2),$P$25,$Q$9),IF(AND($P$26&gt;P36,$R$26=2),$P$26,$Q$9),IF($P$19&gt;P36,$P$19,$Q$9),IF($P$23&gt;P36,$P$23,$Q$9),IF($P$24&gt;P36,$P$24,$Q$9),IF(AND(Main!$AN$10=5,$U$12&gt;P36),$U$12,$Q$9),IF($Q$13&gt;P36,$Q$13,$Q$9),IF($S$13&gt;P36,$S$13,$Q$9))</f>
        <v>42461</v>
      </c>
      <c r="Q37" s="128">
        <f t="shared" si="11"/>
        <v>55410</v>
      </c>
      <c r="R37" s="128">
        <f t="shared" si="8"/>
        <v>1</v>
      </c>
      <c r="S37" s="192">
        <f>IF(AND(Main!$AN$10=5,P37=$U$12),$T$12,MAX(IF(Main!$AN$10=4,VLOOKUP(S36,$W$2:$Z$7,R37),VLOOKUP(S36,$W$8:$Z$92,R37)),T37))</f>
        <v>55410</v>
      </c>
      <c r="T37" s="124">
        <f t="shared" si="3"/>
        <v>0</v>
      </c>
      <c r="U37" s="124"/>
      <c r="V37" s="124" t="b">
        <f t="shared" si="4"/>
        <v>1</v>
      </c>
      <c r="W37" s="3">
        <f>IF(Main!$C$26="UGC",SUM(I36,CEILING(I36*3%,10)),AB37)</f>
        <v>29760</v>
      </c>
      <c r="X37" s="3">
        <f t="shared" si="1"/>
        <v>30580</v>
      </c>
      <c r="Y37" s="3">
        <f t="shared" si="1"/>
        <v>31460</v>
      </c>
      <c r="Z37" s="3">
        <f t="shared" si="1"/>
        <v>32340</v>
      </c>
      <c r="AB37" s="34">
        <v>29760</v>
      </c>
      <c r="AM37" s="173"/>
      <c r="AN37" s="130"/>
      <c r="AO37" s="128"/>
      <c r="AP37" s="128"/>
      <c r="AQ37" s="192"/>
      <c r="AR37" s="124"/>
      <c r="AS37" s="124"/>
      <c r="AT37" s="124"/>
      <c r="AU37" s="3"/>
      <c r="AV37" s="3"/>
      <c r="AW37" s="3"/>
      <c r="AX37" s="3"/>
    </row>
    <row r="38" spans="1:50" ht="21.95" customHeight="1">
      <c r="A38" s="173">
        <f t="shared" si="9"/>
        <v>42461</v>
      </c>
      <c r="B38" s="130">
        <f>MIN(IF(AND($B$16&gt;B37,$D$16=2),$B$16,$C$9),IF(AND($B$17&gt;B37,$D$17=2),$B$17,$C$9),IF(AND($B$18&gt;B37,$D$18=2),$B$18,$C$9),IF(AND($B$20&gt;B37,$D$20=2),$B$20,$C$9),IF(AND($B$21&gt;B37,$D$21=2),$B$21,$C$9),IF(AND($B$25&gt;B37,$D$25=2),$B$25,$C$9),IF(AND($B$26&gt;B37,$D$26=2),$B$26,$C$9),IF($B$19&gt;B37,$B$19,$C$9),IF($B$23&gt;B37,$B$23,$C$9),IF($B$24&gt;B37,$B$24,$C$9),IF(AND(Main!$AN$10=5,$G$12&gt;B37),$G$12,$C$9),IF($C$13&gt;B37,$C$13,$C$9),IF($E$13&gt;B37,$E$13,$C$9))</f>
        <v>42461</v>
      </c>
      <c r="C38" s="128">
        <f t="shared" si="10"/>
        <v>55410</v>
      </c>
      <c r="D38" s="128">
        <f t="shared" si="12"/>
        <v>1</v>
      </c>
      <c r="E38" s="192">
        <f>IF(AND(Main!$AN$10=5,B38=$G$12),$F$12,MAX(IF(Main!$AN$10=4,VLOOKUP(E37,$I$2:$L$7,D38),VLOOKUP(E37,$I$8:$L$92,D38)),F38))</f>
        <v>55410</v>
      </c>
      <c r="F38" s="124">
        <f t="shared" si="5"/>
        <v>0</v>
      </c>
      <c r="G38" s="124"/>
      <c r="H38" s="124" t="b">
        <f t="shared" si="6"/>
        <v>1</v>
      </c>
      <c r="I38" s="3">
        <f>IF(Main!$C$26="UGC",SUM(I37,CEILING(I37*3%,10)),AB38)</f>
        <v>30580</v>
      </c>
      <c r="J38" s="3">
        <f t="shared" si="2"/>
        <v>31460</v>
      </c>
      <c r="K38" s="3">
        <f t="shared" si="2"/>
        <v>32340</v>
      </c>
      <c r="L38" s="3">
        <f t="shared" si="2"/>
        <v>33220</v>
      </c>
      <c r="O38" s="173">
        <f t="shared" si="7"/>
        <v>42461</v>
      </c>
      <c r="P38" s="130">
        <f>MIN(IF(AND($P$16&gt;P37,$R$16=2),$P$16,$Q$9),IF(AND($P$17&gt;P37,$R$17=2),$P$17,$Q$9),IF(AND($P$18&gt;P37,$R$18=2),$P$18,$Q$9),IF(AND($P$20&gt;P37,$R$20=2),$P$20,$Q$9),IF(AND($P$21&gt;P37,$R$21=2),$P$21,$Q$9),IF(AND($P$25&gt;P37,$R$25=2),$P$25,$Q$9),IF(AND($P$26&gt;P37,$R$26=2),$P$26,$Q$9),IF($P$19&gt;P37,$P$19,$Q$9),IF($P$23&gt;P37,$P$23,$Q$9),IF($P$24&gt;P37,$P$24,$Q$9),IF(AND(Main!$AN$10=5,$U$12&gt;P37),$U$12,$Q$9),IF($Q$13&gt;P37,$Q$13,$Q$9),IF($S$13&gt;P37,$S$13,$Q$9))</f>
        <v>42461</v>
      </c>
      <c r="Q38" s="128">
        <f t="shared" si="11"/>
        <v>55410</v>
      </c>
      <c r="R38" s="128">
        <f t="shared" si="8"/>
        <v>1</v>
      </c>
      <c r="S38" s="192">
        <f>IF(AND(Main!$AN$10=5,P38=$U$12),$T$12,MAX(IF(Main!$AN$10=4,VLOOKUP(S37,$W$2:$Z$7,R38),VLOOKUP(S37,$W$8:$Z$92,R38)),T38))</f>
        <v>55410</v>
      </c>
      <c r="T38" s="124">
        <f t="shared" si="3"/>
        <v>0</v>
      </c>
      <c r="U38" s="124"/>
      <c r="V38" s="124" t="b">
        <f t="shared" si="4"/>
        <v>1</v>
      </c>
      <c r="W38" s="3">
        <f>IF(Main!$C$26="UGC",SUM(I37,CEILING(I37*3%,10)),AB38)</f>
        <v>30580</v>
      </c>
      <c r="X38" s="3">
        <f t="shared" si="1"/>
        <v>31460</v>
      </c>
      <c r="Y38" s="3">
        <f t="shared" si="1"/>
        <v>32340</v>
      </c>
      <c r="Z38" s="3">
        <f t="shared" si="1"/>
        <v>33220</v>
      </c>
      <c r="AB38" s="34">
        <v>30580</v>
      </c>
      <c r="AM38" s="173"/>
      <c r="AN38" s="130"/>
      <c r="AO38" s="128"/>
      <c r="AP38" s="128"/>
      <c r="AQ38" s="192"/>
      <c r="AR38" s="124"/>
      <c r="AS38" s="124"/>
      <c r="AT38" s="124"/>
      <c r="AU38" s="3"/>
      <c r="AV38" s="3"/>
      <c r="AW38" s="3"/>
      <c r="AX38" s="3"/>
    </row>
    <row r="39" spans="1:50" ht="21.95" customHeight="1">
      <c r="A39" s="173">
        <f t="shared" si="9"/>
        <v>42461</v>
      </c>
      <c r="B39" s="130">
        <f>MIN(IF(AND($B$16&gt;B38,$D$16=2),$B$16,$C$9),IF(AND($B$17&gt;B38,$D$17=2),$B$17,$C$9),IF(AND($B$18&gt;B38,$D$18=2),$B$18,$C$9),IF(AND($B$20&gt;B38,$D$20=2),$B$20,$C$9),IF(AND($B$21&gt;B38,$D$21=2),$B$21,$C$9),IF(AND($B$25&gt;B38,$D$25=2),$B$25,$C$9),IF(AND($B$26&gt;B38,$D$26=2),$B$26,$C$9),IF($B$19&gt;B38,$B$19,$C$9),IF($B$23&gt;B38,$B$23,$C$9),IF($B$24&gt;B38,$B$24,$C$9),IF(AND(Main!$AN$10=5,$G$12&gt;B38),$G$12,$C$9),IF($C$13&gt;B38,$C$13,$C$9),IF($E$13&gt;B38,$E$13,$C$9))</f>
        <v>42461</v>
      </c>
      <c r="C39" s="128">
        <f t="shared" si="10"/>
        <v>55410</v>
      </c>
      <c r="D39" s="128">
        <f t="shared" si="12"/>
        <v>1</v>
      </c>
      <c r="E39" s="192">
        <f>IF(AND(Main!$AN$10=5,B39=$G$12),$F$12,MAX(IF(Main!$AN$10=4,VLOOKUP(E38,$I$2:$L$7,D39),VLOOKUP(E38,$I$8:$L$92,D39)),F39))</f>
        <v>55410</v>
      </c>
      <c r="F39" s="124">
        <f t="shared" si="5"/>
        <v>0</v>
      </c>
      <c r="G39" s="124"/>
      <c r="H39" s="124" t="b">
        <f t="shared" si="6"/>
        <v>1</v>
      </c>
      <c r="I39" s="3">
        <f>IF(Main!$C$26="UGC",SUM(I38,CEILING(I38*3%,10)),AB39)</f>
        <v>31460</v>
      </c>
      <c r="J39" s="3">
        <f t="shared" si="2"/>
        <v>32340</v>
      </c>
      <c r="K39" s="3">
        <f t="shared" si="2"/>
        <v>33220</v>
      </c>
      <c r="L39" s="3">
        <f t="shared" si="2"/>
        <v>34170</v>
      </c>
      <c r="O39" s="173">
        <f t="shared" si="7"/>
        <v>42461</v>
      </c>
      <c r="P39" s="130">
        <f>MIN(IF(AND($P$16&gt;P38,$R$16=2),$P$16,$Q$9),IF(AND($P$17&gt;P38,$R$17=2),$P$17,$Q$9),IF(AND($P$18&gt;P38,$R$18=2),$P$18,$Q$9),IF(AND($P$20&gt;P38,$R$20=2),$P$20,$Q$9),IF(AND($P$21&gt;P38,$R$21=2),$P$21,$Q$9),IF(AND($P$25&gt;P38,$R$25=2),$P$25,$Q$9),IF(AND($P$26&gt;P38,$R$26=2),$P$26,$Q$9),IF($P$19&gt;P38,$P$19,$Q$9),IF($P$23&gt;P38,$P$23,$Q$9),IF($P$24&gt;P38,$P$24,$Q$9),IF(AND(Main!$AN$10=5,$U$12&gt;P38),$U$12,$Q$9),IF($Q$13&gt;P38,$Q$13,$Q$9),IF($S$13&gt;P38,$S$13,$Q$9))</f>
        <v>42461</v>
      </c>
      <c r="Q39" s="128">
        <f t="shared" si="11"/>
        <v>55410</v>
      </c>
      <c r="R39" s="128">
        <f t="shared" si="8"/>
        <v>1</v>
      </c>
      <c r="S39" s="192">
        <f>IF(AND(Main!$AN$10=5,P39=$U$12),$T$12,MAX(IF(Main!$AN$10=4,VLOOKUP(S38,$W$2:$Z$7,R39),VLOOKUP(S38,$W$8:$Z$92,R39)),T39))</f>
        <v>55410</v>
      </c>
      <c r="T39" s="124">
        <f t="shared" si="3"/>
        <v>0</v>
      </c>
      <c r="U39" s="124"/>
      <c r="V39" s="124" t="b">
        <f t="shared" si="4"/>
        <v>1</v>
      </c>
      <c r="W39" s="3">
        <f>IF(Main!$C$26="UGC",SUM(I38,CEILING(I38*3%,10)),AB39)</f>
        <v>31460</v>
      </c>
      <c r="X39" s="3">
        <f t="shared" si="1"/>
        <v>32340</v>
      </c>
      <c r="Y39" s="3">
        <f t="shared" si="1"/>
        <v>33220</v>
      </c>
      <c r="Z39" s="3">
        <f t="shared" si="1"/>
        <v>34170</v>
      </c>
      <c r="AB39" s="34">
        <v>31460</v>
      </c>
      <c r="AM39" s="173"/>
      <c r="AN39" s="130"/>
      <c r="AO39" s="128"/>
      <c r="AP39" s="128"/>
      <c r="AQ39" s="192"/>
      <c r="AR39" s="124"/>
      <c r="AS39" s="124"/>
      <c r="AT39" s="124"/>
      <c r="AU39" s="3"/>
      <c r="AV39" s="3"/>
      <c r="AW39" s="3"/>
      <c r="AX39" s="3"/>
    </row>
    <row r="40" spans="1:50" ht="21.95" customHeight="1">
      <c r="A40" s="173">
        <f t="shared" si="9"/>
        <v>42461</v>
      </c>
      <c r="B40" s="130">
        <f>MIN(IF(AND($B$16&gt;B39,$D$16=2),$B$16,$C$9),IF(AND($B$17&gt;B39,$D$17=2),$B$17,$C$9),IF(AND($B$18&gt;B39,$D$18=2),$B$18,$C$9),IF(AND($B$20&gt;B39,$D$20=2),$B$20,$C$9),IF(AND($B$21&gt;B39,$D$21=2),$B$21,$C$9),IF(AND($B$25&gt;B39,$D$25=2),$B$25,$C$9),IF(AND($B$26&gt;B39,$D$26=2),$B$26,$C$9),IF($B$19&gt;B39,$B$19,$C$9),IF($B$23&gt;B39,$B$23,$C$9),IF($B$24&gt;B39,$B$24,$C$9),IF(AND(Main!$AN$10=5,$G$12&gt;B39),$G$12,$C$9),IF($C$13&gt;B39,$C$13,$C$9),IF($E$13&gt;B39,$E$13,$C$9))</f>
        <v>42461</v>
      </c>
      <c r="C40" s="128">
        <f t="shared" si="10"/>
        <v>55410</v>
      </c>
      <c r="D40" s="128">
        <f t="shared" si="12"/>
        <v>1</v>
      </c>
      <c r="E40" s="192">
        <f>IF(AND(Main!$AN$10=5,B40=$G$12),$F$12,MAX(IF(Main!$AN$10=4,VLOOKUP(E39,$I$2:$L$7,D40),VLOOKUP(E39,$I$8:$L$92,D40)),F40))</f>
        <v>55410</v>
      </c>
      <c r="F40" s="124">
        <f t="shared" si="5"/>
        <v>0</v>
      </c>
      <c r="G40" s="124"/>
      <c r="H40" s="124" t="b">
        <f t="shared" si="6"/>
        <v>1</v>
      </c>
      <c r="I40" s="3">
        <f>IF(Main!$C$26="UGC",SUM(I39,CEILING(I39*3%,10)),AB40)</f>
        <v>32340</v>
      </c>
      <c r="J40" s="3">
        <f t="shared" si="2"/>
        <v>33220</v>
      </c>
      <c r="K40" s="3">
        <f t="shared" si="2"/>
        <v>34170</v>
      </c>
      <c r="L40" s="3">
        <f t="shared" si="2"/>
        <v>35120</v>
      </c>
      <c r="O40" s="173">
        <f t="shared" si="7"/>
        <v>42461</v>
      </c>
      <c r="P40" s="130">
        <f>MIN(IF(AND($P$16&gt;P39,$R$16=2),$P$16,$Q$9),IF(AND($P$17&gt;P39,$R$17=2),$P$17,$Q$9),IF(AND($P$18&gt;P39,$R$18=2),$P$18,$Q$9),IF(AND($P$20&gt;P39,$R$20=2),$P$20,$Q$9),IF(AND($P$21&gt;P39,$R$21=2),$P$21,$Q$9),IF(AND($P$25&gt;P39,$R$25=2),$P$25,$Q$9),IF(AND($P$26&gt;P39,$R$26=2),$P$26,$Q$9),IF($P$19&gt;P39,$P$19,$Q$9),IF($P$23&gt;P39,$P$23,$Q$9),IF($P$24&gt;P39,$P$24,$Q$9),IF(AND(Main!$AN$10=5,$U$12&gt;P39),$U$12,$Q$9),IF($Q$13&gt;P39,$Q$13,$Q$9),IF($S$13&gt;P39,$S$13,$Q$9))</f>
        <v>42461</v>
      </c>
      <c r="Q40" s="128">
        <f t="shared" si="11"/>
        <v>55410</v>
      </c>
      <c r="R40" s="128">
        <f t="shared" si="8"/>
        <v>1</v>
      </c>
      <c r="S40" s="192">
        <f>IF(AND(Main!$AN$10=5,P40=$U$12),$T$12,MAX(IF(Main!$AN$10=4,VLOOKUP(S39,$W$2:$Z$7,R40),VLOOKUP(S39,$W$8:$Z$92,R40)),T40))</f>
        <v>55410</v>
      </c>
      <c r="T40" s="124">
        <f t="shared" si="3"/>
        <v>0</v>
      </c>
      <c r="U40" s="124"/>
      <c r="V40" s="124" t="b">
        <f t="shared" si="4"/>
        <v>1</v>
      </c>
      <c r="W40" s="3">
        <f>IF(Main!$C$26="UGC",SUM(I39,CEILING(I39*3%,10)),AB40)</f>
        <v>32340</v>
      </c>
      <c r="X40" s="3">
        <f t="shared" si="1"/>
        <v>33220</v>
      </c>
      <c r="Y40" s="3">
        <f t="shared" si="1"/>
        <v>34170</v>
      </c>
      <c r="Z40" s="3">
        <f t="shared" si="1"/>
        <v>35120</v>
      </c>
      <c r="AB40" s="34">
        <v>32340</v>
      </c>
      <c r="AM40" s="173"/>
      <c r="AN40" s="130"/>
      <c r="AO40" s="128"/>
      <c r="AP40" s="128"/>
      <c r="AQ40" s="192"/>
      <c r="AR40" s="124"/>
      <c r="AS40" s="124"/>
      <c r="AT40" s="124"/>
      <c r="AU40" s="3"/>
      <c r="AV40" s="3"/>
      <c r="AW40" s="3"/>
      <c r="AX40" s="3"/>
    </row>
    <row r="41" spans="1:50" ht="21.95" customHeight="1">
      <c r="A41" s="173">
        <f t="shared" si="9"/>
        <v>42461</v>
      </c>
      <c r="B41" s="130">
        <f>MIN(IF(AND($B$16&gt;B40,$D$16=2),$B$16,$C$9),IF(AND($B$17&gt;B40,$D$17=2),$B$17,$C$9),IF(AND($B$18&gt;B40,$D$18=2),$B$18,$C$9),IF(AND($B$20&gt;B40,$D$20=2),$B$20,$C$9),IF(AND($B$21&gt;B40,$D$21=2),$B$21,$C$9),IF(AND($B$25&gt;B40,$D$25=2),$B$25,$C$9),IF(AND($B$26&gt;B40,$D$26=2),$B$26,$C$9),IF($B$19&gt;B40,$B$19,$C$9),IF($B$23&gt;B40,$B$23,$C$9),IF($B$24&gt;B40,$B$24,$C$9),IF(AND(Main!$AN$10=5,$G$12&gt;B40),$G$12,$C$9),IF($C$13&gt;B40,$C$13,$C$9),IF($E$13&gt;B40,$E$13,$C$9))</f>
        <v>42461</v>
      </c>
      <c r="C41" s="128">
        <f t="shared" si="10"/>
        <v>55410</v>
      </c>
      <c r="D41" s="128">
        <f t="shared" si="12"/>
        <v>1</v>
      </c>
      <c r="E41" s="192">
        <f>IF(AND(Main!$AN$10=5,B41=$G$12),$F$12,MAX(IF(Main!$AN$10=4,VLOOKUP(E40,$I$2:$L$7,D41),VLOOKUP(E40,$I$8:$L$92,D41)),F41))</f>
        <v>55410</v>
      </c>
      <c r="F41" s="124">
        <f t="shared" si="5"/>
        <v>0</v>
      </c>
      <c r="G41" s="124"/>
      <c r="H41" s="124" t="b">
        <f t="shared" si="6"/>
        <v>1</v>
      </c>
      <c r="I41" s="3">
        <f>IF(Main!$C$26="UGC",SUM(I40,CEILING(I40*3%,10)),AB41)</f>
        <v>33220</v>
      </c>
      <c r="J41" s="3">
        <f t="shared" si="2"/>
        <v>34170</v>
      </c>
      <c r="K41" s="3">
        <f t="shared" si="2"/>
        <v>35120</v>
      </c>
      <c r="L41" s="3">
        <f t="shared" si="2"/>
        <v>36070</v>
      </c>
      <c r="O41" s="173">
        <f t="shared" si="7"/>
        <v>42461</v>
      </c>
      <c r="P41" s="130">
        <f>MIN(IF(AND($P$16&gt;P40,$R$16=2),$P$16,$Q$9),IF(AND($P$17&gt;P40,$R$17=2),$P$17,$Q$9),IF(AND($P$18&gt;P40,$R$18=2),$P$18,$Q$9),IF(AND($P$20&gt;P40,$R$20=2),$P$20,$Q$9),IF(AND($P$21&gt;P40,$R$21=2),$P$21,$Q$9),IF(AND($P$25&gt;P40,$R$25=2),$P$25,$Q$9),IF(AND($P$26&gt;P40,$R$26=2),$P$26,$Q$9),IF($P$19&gt;P40,$P$19,$Q$9),IF($P$23&gt;P40,$P$23,$Q$9),IF($P$24&gt;P40,$P$24,$Q$9),IF(AND(Main!$AN$10=5,$U$12&gt;P40),$U$12,$Q$9),IF($Q$13&gt;P40,$Q$13,$Q$9),IF($S$13&gt;P40,$S$13,$Q$9))</f>
        <v>42461</v>
      </c>
      <c r="Q41" s="128">
        <f t="shared" si="11"/>
        <v>55410</v>
      </c>
      <c r="R41" s="128">
        <f t="shared" si="8"/>
        <v>1</v>
      </c>
      <c r="S41" s="192">
        <f>IF(AND(Main!$AN$10=5,P41=$U$12),$T$12,MAX(IF(Main!$AN$10=4,VLOOKUP(S40,$W$2:$Z$7,R41),VLOOKUP(S40,$W$8:$Z$92,R41)),T41))</f>
        <v>55410</v>
      </c>
      <c r="T41" s="124">
        <f t="shared" si="3"/>
        <v>0</v>
      </c>
      <c r="U41" s="124"/>
      <c r="V41" s="124" t="b">
        <f t="shared" si="4"/>
        <v>1</v>
      </c>
      <c r="W41" s="3">
        <f>IF(Main!$C$26="UGC",SUM(I40,CEILING(I40*3%,10)),AB41)</f>
        <v>33220</v>
      </c>
      <c r="X41" s="3">
        <f t="shared" ref="X41:Z72" si="13">W42</f>
        <v>34170</v>
      </c>
      <c r="Y41" s="3">
        <f t="shared" si="13"/>
        <v>35120</v>
      </c>
      <c r="Z41" s="3">
        <f t="shared" si="13"/>
        <v>36070</v>
      </c>
      <c r="AB41" s="34">
        <v>33220</v>
      </c>
      <c r="AM41" s="173"/>
      <c r="AN41" s="130"/>
      <c r="AO41" s="128"/>
      <c r="AP41" s="128"/>
      <c r="AQ41" s="192"/>
      <c r="AR41" s="124"/>
      <c r="AS41" s="124"/>
      <c r="AT41" s="124"/>
      <c r="AU41" s="3"/>
      <c r="AV41" s="3"/>
      <c r="AW41" s="3"/>
      <c r="AX41" s="3"/>
    </row>
    <row r="42" spans="1:50" ht="21.95" customHeight="1">
      <c r="A42" s="124"/>
      <c r="B42" s="124"/>
      <c r="C42" s="124"/>
      <c r="D42" s="124"/>
      <c r="E42" s="124"/>
      <c r="F42" s="124"/>
      <c r="G42" s="124"/>
      <c r="H42" s="124"/>
      <c r="I42" s="3">
        <f>IF(Main!$C$26="UGC",SUM(I41,CEILING(I41*3%,10)),AB42)</f>
        <v>34170</v>
      </c>
      <c r="J42" s="3">
        <f t="shared" ref="J42:L73" si="14">I43</f>
        <v>35120</v>
      </c>
      <c r="K42" s="3">
        <f t="shared" si="14"/>
        <v>36070</v>
      </c>
      <c r="L42" s="3">
        <f t="shared" si="14"/>
        <v>37100</v>
      </c>
      <c r="O42" s="124"/>
      <c r="P42" s="124"/>
      <c r="Q42" s="124"/>
      <c r="R42" s="124"/>
      <c r="S42" s="124"/>
      <c r="T42" s="124"/>
      <c r="U42" s="124"/>
      <c r="V42" s="124"/>
      <c r="W42" s="3">
        <f>IF(Main!$C$26="UGC",SUM(I41,CEILING(I41*3%,10)),AB42)</f>
        <v>34170</v>
      </c>
      <c r="X42" s="3">
        <f t="shared" si="13"/>
        <v>35120</v>
      </c>
      <c r="Y42" s="3">
        <f t="shared" si="13"/>
        <v>36070</v>
      </c>
      <c r="Z42" s="3">
        <f t="shared" si="13"/>
        <v>37100</v>
      </c>
      <c r="AB42" s="34">
        <v>34170</v>
      </c>
      <c r="AM42" s="124"/>
      <c r="AN42" s="124"/>
      <c r="AO42" s="124"/>
      <c r="AP42" s="124"/>
      <c r="AQ42" s="124"/>
      <c r="AR42" s="124"/>
      <c r="AS42" s="124"/>
      <c r="AT42" s="124"/>
      <c r="AU42" s="3"/>
      <c r="AV42" s="3"/>
      <c r="AW42" s="3"/>
      <c r="AX42" s="3"/>
    </row>
    <row r="43" spans="1:50" ht="21.95" customHeight="1">
      <c r="A43" s="124" t="s">
        <v>1527</v>
      </c>
      <c r="B43" s="124"/>
      <c r="C43" s="124"/>
      <c r="D43" s="124"/>
      <c r="E43" s="124"/>
      <c r="F43" s="124"/>
      <c r="G43" s="124"/>
      <c r="H43" s="124"/>
      <c r="I43" s="3">
        <f>IF(Main!$C$26="UGC",SUM(I42,CEILING(I42*3%,10)),AB43)</f>
        <v>35120</v>
      </c>
      <c r="J43" s="3">
        <f t="shared" si="14"/>
        <v>36070</v>
      </c>
      <c r="K43" s="3">
        <f t="shared" si="14"/>
        <v>37100</v>
      </c>
      <c r="L43" s="3">
        <f t="shared" si="14"/>
        <v>38130</v>
      </c>
      <c r="O43" s="124" t="s">
        <v>1527</v>
      </c>
      <c r="P43" s="124"/>
      <c r="Q43" s="124"/>
      <c r="R43" s="124"/>
      <c r="S43" s="124"/>
      <c r="T43" s="124"/>
      <c r="U43" s="124"/>
      <c r="V43" s="124"/>
      <c r="W43" s="3">
        <f>IF(Main!$C$26="UGC",SUM(I42,CEILING(I42*3%,10)),AB43)</f>
        <v>35120</v>
      </c>
      <c r="X43" s="3">
        <f t="shared" si="13"/>
        <v>36070</v>
      </c>
      <c r="Y43" s="3">
        <f t="shared" si="13"/>
        <v>37100</v>
      </c>
      <c r="Z43" s="3">
        <f t="shared" si="13"/>
        <v>38130</v>
      </c>
      <c r="AB43" s="34">
        <v>35120</v>
      </c>
      <c r="AM43" s="124"/>
      <c r="AN43" s="124"/>
      <c r="AO43" s="124"/>
      <c r="AP43" s="124"/>
      <c r="AQ43" s="124"/>
      <c r="AR43" s="124"/>
      <c r="AS43" s="124"/>
      <c r="AT43" s="124"/>
      <c r="AU43" s="3"/>
      <c r="AV43" s="3"/>
      <c r="AW43" s="3"/>
      <c r="AX43" s="3"/>
    </row>
    <row r="44" spans="1:50" ht="21.95" customHeight="1">
      <c r="A44" s="147">
        <f>MIN(B16,B17,B18,B20,B21,B25,B26)</f>
        <v>42248</v>
      </c>
      <c r="B44" s="128">
        <f t="shared" ref="B44:B49" si="15">IF(A44=$C$9,1,2)</f>
        <v>2</v>
      </c>
      <c r="C44" s="124"/>
      <c r="D44" s="124"/>
      <c r="E44" s="124"/>
      <c r="F44" s="124"/>
      <c r="G44" s="124"/>
      <c r="H44" s="124"/>
      <c r="I44" s="3">
        <f>IF(Main!$C$26="UGC",SUM(I43,CEILING(I43*3%,10)),AB44)</f>
        <v>36070</v>
      </c>
      <c r="J44" s="3">
        <f t="shared" si="14"/>
        <v>37100</v>
      </c>
      <c r="K44" s="3">
        <f t="shared" si="14"/>
        <v>38130</v>
      </c>
      <c r="L44" s="3">
        <f t="shared" si="14"/>
        <v>39160</v>
      </c>
      <c r="O44" s="147">
        <f>MIN(P16,P17,P18,P20,P21,P25,P26)</f>
        <v>42248</v>
      </c>
      <c r="P44" s="128">
        <f t="shared" ref="P44:P49" si="16">IF(O44=$Q$9,1,2)</f>
        <v>2</v>
      </c>
      <c r="Q44" s="124"/>
      <c r="R44" s="124"/>
      <c r="S44" s="124"/>
      <c r="T44" s="124"/>
      <c r="U44" s="124"/>
      <c r="V44" s="124"/>
      <c r="W44" s="3">
        <f>IF(Main!$C$26="UGC",SUM(I43,CEILING(I43*3%,10)),AB44)</f>
        <v>36070</v>
      </c>
      <c r="X44" s="3">
        <f t="shared" si="13"/>
        <v>37100</v>
      </c>
      <c r="Y44" s="3">
        <f t="shared" si="13"/>
        <v>38130</v>
      </c>
      <c r="Z44" s="3">
        <f t="shared" si="13"/>
        <v>39160</v>
      </c>
      <c r="AB44" s="34">
        <v>36070</v>
      </c>
      <c r="AM44" s="147"/>
      <c r="AN44" s="128"/>
      <c r="AO44" s="124"/>
      <c r="AP44" s="124"/>
      <c r="AQ44" s="124"/>
      <c r="AR44" s="124"/>
      <c r="AS44" s="124"/>
      <c r="AT44" s="124"/>
      <c r="AU44" s="3"/>
      <c r="AV44" s="3"/>
      <c r="AW44" s="3"/>
      <c r="AX44" s="3"/>
    </row>
    <row r="45" spans="1:50" ht="21.95" customHeight="1">
      <c r="A45" s="147">
        <f>MIN(IF(AND($B$16&gt;A44,$D$16=2),$B$16,$C$9),IF(AND($B$17&gt;A44,$D$17=2),$B$17,$C$9),IF(AND($B$18&gt;A44,$D$18=2),$B$18,$C$9),IF(AND($B$20&gt;A44,$D$20=2),$B$20,$C$9),IF(AND($B$21&gt;A44,$D$21=2),$B$21,$C$9),IF(AND($B$25&gt;A44,$D$25=2),$B$25,$C$9),IF(AND($B$26&gt;A44,$D$26=2),$B$26,$C$9))</f>
        <v>42461</v>
      </c>
      <c r="B45" s="128">
        <f t="shared" si="15"/>
        <v>1</v>
      </c>
      <c r="C45" s="124"/>
      <c r="D45" s="124"/>
      <c r="E45" s="124"/>
      <c r="F45" s="124"/>
      <c r="G45" s="124"/>
      <c r="H45" s="124"/>
      <c r="I45" s="3">
        <f>IF(Main!$C$26="UGC",SUM(I44,CEILING(I44*3%,10)),AB45)</f>
        <v>37100</v>
      </c>
      <c r="J45" s="3">
        <f t="shared" si="14"/>
        <v>38130</v>
      </c>
      <c r="K45" s="3">
        <f t="shared" si="14"/>
        <v>39160</v>
      </c>
      <c r="L45" s="3">
        <f t="shared" si="14"/>
        <v>40270</v>
      </c>
      <c r="O45" s="147">
        <f>MIN(IF(AND($P$16&gt;O44,$R$16=2),$P$16,$Q$9),IF(AND($P$17&gt;O44,$R$17=2),$P$17,$Q$9),IF(AND($P$18&gt;O44,$R$18=2),$P$18,$Q$9),IF(AND($P$20&gt;O44,$R$20=2),$P$20,$Q$9),IF(AND($P$21&gt;O44,$R$21=2),$P$21,$Q$9),IF(AND($P$25&gt;O44,$R$25=2),$P$25,$Q$9),IF(AND($P$26&gt;O44,$R$26=2),$P$26,$Q$9))</f>
        <v>42461</v>
      </c>
      <c r="P45" s="128">
        <f t="shared" si="16"/>
        <v>1</v>
      </c>
      <c r="Q45" s="124"/>
      <c r="R45" s="124"/>
      <c r="S45" s="124"/>
      <c r="T45" s="124"/>
      <c r="U45" s="124"/>
      <c r="V45" s="124"/>
      <c r="W45" s="3">
        <f>IF(Main!$C$26="UGC",SUM(I44,CEILING(I44*3%,10)),AB45)</f>
        <v>37100</v>
      </c>
      <c r="X45" s="3">
        <f t="shared" si="13"/>
        <v>38130</v>
      </c>
      <c r="Y45" s="3">
        <f t="shared" si="13"/>
        <v>39160</v>
      </c>
      <c r="Z45" s="3">
        <f t="shared" si="13"/>
        <v>40270</v>
      </c>
      <c r="AB45" s="34">
        <v>37100</v>
      </c>
      <c r="AM45" s="147"/>
      <c r="AN45" s="128"/>
      <c r="AO45" s="124"/>
      <c r="AP45" s="124"/>
      <c r="AQ45" s="124"/>
      <c r="AR45" s="124"/>
      <c r="AS45" s="124"/>
      <c r="AT45" s="124"/>
      <c r="AU45" s="3"/>
      <c r="AV45" s="3"/>
      <c r="AW45" s="3"/>
      <c r="AX45" s="3"/>
    </row>
    <row r="46" spans="1:50" ht="21.95" customHeight="1">
      <c r="A46" s="147">
        <f>MIN(IF(AND($B$16&gt;A45,$D$16=2),$B$16,$C$9),IF(AND($B$17&gt;A45,$D$17=2),$B$17,$C$9),IF(AND($B$18&gt;A45,$D$18=2),$B$18,$C$9),IF(AND($B$20&gt;A45,$D$20=2),$B$20,$C$9),IF(AND($B$21&gt;A45,$D$21=2),$B$21,$C$9),IF(AND($B$25&gt;A45,$D$25=2),$B$25,$C$9),IF(AND($B$26&gt;A45,$D$26=2),$B$26,$C$9))</f>
        <v>42461</v>
      </c>
      <c r="B46" s="128">
        <f t="shared" si="15"/>
        <v>1</v>
      </c>
      <c r="C46" s="124"/>
      <c r="D46" s="124"/>
      <c r="E46" s="124"/>
      <c r="F46" s="124"/>
      <c r="G46" s="124"/>
      <c r="H46" s="124"/>
      <c r="I46" s="3">
        <f>IF(Main!$C$26="UGC",SUM(I45,CEILING(I45*3%,10)),AB46)</f>
        <v>38130</v>
      </c>
      <c r="J46" s="3">
        <f t="shared" si="14"/>
        <v>39160</v>
      </c>
      <c r="K46" s="3">
        <f t="shared" si="14"/>
        <v>40270</v>
      </c>
      <c r="L46" s="3">
        <f t="shared" si="14"/>
        <v>41380</v>
      </c>
      <c r="O46" s="147">
        <f>MIN(IF(AND($P$16&gt;O45,$R$16=2),$P$16,$Q$9),IF(AND($P$17&gt;O45,$R$17=2),$P$17,$Q$9),IF(AND($P$18&gt;O45,$R$18=2),$P$18,$Q$9),IF(AND($P$20&gt;O45,$R$20=2),$P$20,$Q$9),IF(AND($P$21&gt;O45,$R$21=2),$P$21,$Q$9),IF(AND($P$25&gt;O45,$R$25=2),$P$25,$Q$9),IF(AND($P$26&gt;O45,$R$26=2),$P$26,$Q$9))</f>
        <v>42461</v>
      </c>
      <c r="P46" s="128">
        <f t="shared" si="16"/>
        <v>1</v>
      </c>
      <c r="Q46" s="124"/>
      <c r="R46" s="124"/>
      <c r="S46" s="124"/>
      <c r="T46" s="124"/>
      <c r="U46" s="124"/>
      <c r="V46" s="124"/>
      <c r="W46" s="3">
        <f>IF(Main!$C$26="UGC",SUM(I45,CEILING(I45*3%,10)),AB46)</f>
        <v>38130</v>
      </c>
      <c r="X46" s="3">
        <f t="shared" si="13"/>
        <v>39160</v>
      </c>
      <c r="Y46" s="3">
        <f t="shared" si="13"/>
        <v>40270</v>
      </c>
      <c r="Z46" s="3">
        <f t="shared" si="13"/>
        <v>41380</v>
      </c>
      <c r="AB46" s="34">
        <v>38130</v>
      </c>
      <c r="AM46" s="147"/>
      <c r="AN46" s="128"/>
      <c r="AO46" s="124"/>
      <c r="AP46" s="124"/>
      <c r="AQ46" s="124"/>
      <c r="AR46" s="124"/>
      <c r="AS46" s="124"/>
      <c r="AT46" s="124"/>
      <c r="AU46" s="3"/>
      <c r="AV46" s="3"/>
      <c r="AW46" s="3"/>
      <c r="AX46" s="3"/>
    </row>
    <row r="47" spans="1:50" ht="21.95" customHeight="1">
      <c r="A47" s="147">
        <f>MIN(IF(AND($B$16&gt;A46,$D$16=2),$B$16,$C$9),IF(AND($B$17&gt;A46,$D$17=2),$B$17,$C$9),IF(AND($B$18&gt;A46,$D$18=2),$B$18,$C$9),IF(AND($B$20&gt;A46,$D$20=2),$B$20,$C$9),IF(AND($B$21&gt;A46,$D$21=2),$B$21,$C$9),IF(AND($B$25&gt;A46,$D$25=2),$B$25,$C$9),IF(AND($B$26&gt;A46,$D$26=2),$B$26,$C$9))</f>
        <v>42461</v>
      </c>
      <c r="B47" s="128">
        <f t="shared" si="15"/>
        <v>1</v>
      </c>
      <c r="C47" s="123"/>
      <c r="D47" s="123"/>
      <c r="E47" s="123"/>
      <c r="F47" s="123"/>
      <c r="G47" s="123"/>
      <c r="H47" s="123"/>
      <c r="I47" s="3">
        <f>IF(Main!$C$26="UGC",SUM(I46,CEILING(I46*3%,10)),AB47)</f>
        <v>39160</v>
      </c>
      <c r="J47" s="3">
        <f t="shared" si="14"/>
        <v>40270</v>
      </c>
      <c r="K47" s="3">
        <f t="shared" si="14"/>
        <v>41380</v>
      </c>
      <c r="L47" s="3">
        <f t="shared" si="14"/>
        <v>42490</v>
      </c>
      <c r="O47" s="147">
        <f>MIN(IF(AND($P$16&gt;O46,$R$16=2),$P$16,$Q$9),IF(AND($P$17&gt;O46,$R$17=2),$P$17,$Q$9),IF(AND($P$18&gt;O46,$R$18=2),$P$18,$Q$9),IF(AND($P$20&gt;O46,$R$20=2),$P$20,$Q$9),IF(AND($P$21&gt;O46,$R$21=2),$P$21,$Q$9),IF(AND($P$25&gt;O46,$R$25=2),$P$25,$Q$9),IF(AND($P$26&gt;O46,$R$26=2),$P$26,$Q$9))</f>
        <v>42461</v>
      </c>
      <c r="P47" s="128">
        <f t="shared" si="16"/>
        <v>1</v>
      </c>
      <c r="Q47" s="123"/>
      <c r="R47" s="123"/>
      <c r="S47" s="123"/>
      <c r="T47" s="123"/>
      <c r="U47" s="123"/>
      <c r="V47" s="123"/>
      <c r="W47" s="3">
        <f>IF(Main!$C$26="UGC",SUM(I46,CEILING(I46*3%,10)),AB47)</f>
        <v>39160</v>
      </c>
      <c r="X47" s="3">
        <f t="shared" si="13"/>
        <v>40270</v>
      </c>
      <c r="Y47" s="3">
        <f t="shared" si="13"/>
        <v>41380</v>
      </c>
      <c r="Z47" s="3">
        <f t="shared" si="13"/>
        <v>42490</v>
      </c>
      <c r="AB47" s="34">
        <v>39160</v>
      </c>
      <c r="AM47" s="147"/>
      <c r="AN47" s="128"/>
      <c r="AO47" s="123"/>
      <c r="AP47" s="123"/>
      <c r="AQ47" s="123"/>
      <c r="AR47" s="123"/>
      <c r="AS47" s="123"/>
      <c r="AT47" s="123"/>
      <c r="AU47" s="3"/>
      <c r="AV47" s="3"/>
      <c r="AW47" s="3"/>
      <c r="AX47" s="3"/>
    </row>
    <row r="48" spans="1:50" ht="21.95" customHeight="1">
      <c r="A48" s="147">
        <f>MIN(IF(AND($B$16&gt;A47,$D$16=2),$B$16,$C$9),IF(AND($B$17&gt;A47,$D$17=2),$B$17,$C$9),IF(AND($B$18&gt;A47,$D$18=2),$B$18,$C$9),IF(AND($B$20&gt;A47,$D$20=2),$B$20,$C$9),IF(AND($B$21&gt;A47,$D$21=2),$B$21,$C$9),IF(AND($B$25&gt;A47,$D$25=2),$B$25,$C$9),IF(AND($B$26&gt;A47,$D$26=2),$B$26,$C$9))</f>
        <v>42461</v>
      </c>
      <c r="B48" s="128">
        <f t="shared" si="15"/>
        <v>1</v>
      </c>
      <c r="C48" s="123"/>
      <c r="D48" s="123"/>
      <c r="E48" s="123"/>
      <c r="F48" s="123"/>
      <c r="G48" s="123"/>
      <c r="H48" s="123"/>
      <c r="I48" s="3">
        <f>IF(Main!$C$26="UGC",SUM(I47,CEILING(I47*3%,10)),AB48)</f>
        <v>40270</v>
      </c>
      <c r="J48" s="3">
        <f t="shared" si="14"/>
        <v>41380</v>
      </c>
      <c r="K48" s="3">
        <f t="shared" si="14"/>
        <v>42490</v>
      </c>
      <c r="L48" s="3">
        <f t="shared" si="14"/>
        <v>43680</v>
      </c>
      <c r="O48" s="147">
        <f>MIN(IF(AND($P$16&gt;O47,$R$16=2),$P$16,$Q$9),IF(AND($P$17&gt;O47,$R$17=2),$P$17,$Q$9),IF(AND($P$18&gt;O47,$R$18=2),$P$18,$Q$9),IF(AND($P$20&gt;O47,$R$20=2),$P$20,$Q$9),IF(AND($P$21&gt;O47,$R$21=2),$P$21,$Q$9),IF(AND($P$25&gt;O47,$R$25=2),$P$25,$Q$9),IF(AND($P$26&gt;O47,$R$26=2),$P$26,$Q$9))</f>
        <v>42461</v>
      </c>
      <c r="P48" s="128">
        <f t="shared" si="16"/>
        <v>1</v>
      </c>
      <c r="Q48" s="123"/>
      <c r="R48" s="123"/>
      <c r="S48" s="123"/>
      <c r="T48" s="123"/>
      <c r="U48" s="123"/>
      <c r="V48" s="123"/>
      <c r="W48" s="3">
        <f>IF(Main!$C$26="UGC",SUM(I47,CEILING(I47*3%,10)),AB48)</f>
        <v>40270</v>
      </c>
      <c r="X48" s="3">
        <f t="shared" si="13"/>
        <v>41380</v>
      </c>
      <c r="Y48" s="3">
        <f t="shared" si="13"/>
        <v>42490</v>
      </c>
      <c r="Z48" s="3">
        <f t="shared" si="13"/>
        <v>43680</v>
      </c>
      <c r="AB48" s="34">
        <v>40270</v>
      </c>
      <c r="AM48" s="147"/>
      <c r="AN48" s="128"/>
      <c r="AO48" s="123"/>
      <c r="AP48" s="123"/>
      <c r="AQ48" s="123"/>
      <c r="AR48" s="123"/>
      <c r="AS48" s="123"/>
      <c r="AT48" s="123"/>
      <c r="AU48" s="3"/>
      <c r="AV48" s="3"/>
      <c r="AW48" s="3"/>
      <c r="AX48" s="3"/>
    </row>
    <row r="49" spans="1:50" ht="21.95" customHeight="1">
      <c r="A49" s="147">
        <f>MIN(IF(AND($B$16&gt;A48,$D$16=2),$B$16,$C$9),IF(AND($B$17&gt;A48,$D$17=2),$B$17,$C$9),IF(AND($B$18&gt;A48,$D$18=2),$B$18,$C$9),IF(AND($B$20&gt;A48,$D$20=2),$B$20,$C$9),IF(AND($B$21&gt;A48,$D$21=2),$B$21,$C$9),IF(AND($B$25&gt;A48,$D$25=2),$B$25,$C$9),IF(AND($B$26&gt;A48,$D$26=2),$B$26,$C$9))</f>
        <v>42461</v>
      </c>
      <c r="B49" s="128">
        <f t="shared" si="15"/>
        <v>1</v>
      </c>
      <c r="C49" s="123"/>
      <c r="D49" s="123"/>
      <c r="E49" s="123"/>
      <c r="F49" s="123"/>
      <c r="G49" s="123"/>
      <c r="H49" s="123"/>
      <c r="I49" s="3">
        <f>IF(Main!$C$26="UGC",SUM(I48,CEILING(I48*3%,10)),AB49)</f>
        <v>41380</v>
      </c>
      <c r="J49" s="3">
        <f t="shared" si="14"/>
        <v>42490</v>
      </c>
      <c r="K49" s="3">
        <f t="shared" si="14"/>
        <v>43680</v>
      </c>
      <c r="L49" s="3">
        <f t="shared" si="14"/>
        <v>44870</v>
      </c>
      <c r="O49" s="147">
        <f>MIN(IF(AND($P$16&gt;O48,$R$16=2),$P$16,$Q$9),IF(AND($P$17&gt;O48,$R$17=2),$P$17,$Q$9),IF(AND($P$18&gt;O48,$R$18=2),$P$18,$Q$9),IF(AND($P$20&gt;O48,$R$20=2),$P$20,$Q$9),IF(AND($P$21&gt;O48,$R$21=2),$P$21,$Q$9),IF(AND($P$25&gt;O48,$R$25=2),$P$25,$Q$9),IF(AND($P$26&gt;O48,$R$26=2),$P$26,$Q$9))</f>
        <v>42461</v>
      </c>
      <c r="P49" s="128">
        <f t="shared" si="16"/>
        <v>1</v>
      </c>
      <c r="Q49" s="123"/>
      <c r="R49" s="123"/>
      <c r="S49" s="123"/>
      <c r="T49" s="123"/>
      <c r="U49" s="123"/>
      <c r="V49" s="123"/>
      <c r="W49" s="3">
        <f>IF(Main!$C$26="UGC",SUM(I48,CEILING(I48*3%,10)),AB49)</f>
        <v>41380</v>
      </c>
      <c r="X49" s="3">
        <f t="shared" si="13"/>
        <v>42490</v>
      </c>
      <c r="Y49" s="3">
        <f t="shared" si="13"/>
        <v>43680</v>
      </c>
      <c r="Z49" s="3">
        <f t="shared" si="13"/>
        <v>44870</v>
      </c>
      <c r="AB49" s="34">
        <v>41380</v>
      </c>
      <c r="AM49" s="147"/>
      <c r="AN49" s="128"/>
      <c r="AO49" s="123"/>
      <c r="AP49" s="123"/>
      <c r="AQ49" s="123"/>
      <c r="AR49" s="123"/>
      <c r="AS49" s="123"/>
      <c r="AT49" s="123"/>
      <c r="AU49" s="3"/>
      <c r="AV49" s="3"/>
      <c r="AW49" s="3"/>
      <c r="AX49" s="3"/>
    </row>
    <row r="50" spans="1:50" ht="21.95" customHeight="1">
      <c r="A50" s="148">
        <f>MIN(B19,B23,B24)</f>
        <v>42461</v>
      </c>
      <c r="B50" s="146">
        <f>IF(A50=B24,D24,IF(A50=B23,D23,D19))</f>
        <v>1</v>
      </c>
      <c r="C50" s="123"/>
      <c r="D50" s="123"/>
      <c r="E50" s="123"/>
      <c r="F50" s="123"/>
      <c r="G50" s="123"/>
      <c r="H50" s="123"/>
      <c r="I50" s="3">
        <f>IF(Main!$C$26="UGC",SUM(I49,CEILING(I49*3%,10)),AB50)</f>
        <v>42490</v>
      </c>
      <c r="J50" s="3">
        <f t="shared" si="14"/>
        <v>43680</v>
      </c>
      <c r="K50" s="3">
        <f t="shared" si="14"/>
        <v>44870</v>
      </c>
      <c r="L50" s="3">
        <f t="shared" si="14"/>
        <v>46060</v>
      </c>
      <c r="O50" s="148">
        <f>MIN(P19,P23,P24)</f>
        <v>42461</v>
      </c>
      <c r="P50" s="146">
        <f>IF(O50=P24,R24,IF(O50=P23,R23,R19))</f>
        <v>1</v>
      </c>
      <c r="Q50" s="123"/>
      <c r="R50" s="123"/>
      <c r="S50" s="123"/>
      <c r="T50" s="123"/>
      <c r="U50" s="123"/>
      <c r="V50" s="123"/>
      <c r="W50" s="3">
        <f>IF(Main!$C$26="UGC",SUM(I49,CEILING(I49*3%,10)),AB50)</f>
        <v>42490</v>
      </c>
      <c r="X50" s="3">
        <f t="shared" si="13"/>
        <v>43680</v>
      </c>
      <c r="Y50" s="3">
        <f t="shared" si="13"/>
        <v>44870</v>
      </c>
      <c r="Z50" s="3">
        <f t="shared" si="13"/>
        <v>46060</v>
      </c>
      <c r="AB50" s="34">
        <v>42490</v>
      </c>
      <c r="AM50" s="148"/>
      <c r="AN50" s="146"/>
      <c r="AO50" s="123"/>
      <c r="AP50" s="123"/>
      <c r="AQ50" s="123"/>
      <c r="AR50" s="123"/>
      <c r="AS50" s="123"/>
      <c r="AT50" s="123"/>
      <c r="AU50" s="3"/>
      <c r="AV50" s="3"/>
      <c r="AW50" s="3"/>
      <c r="AX50" s="3"/>
    </row>
    <row r="51" spans="1:50" ht="21.95" customHeight="1">
      <c r="A51" s="148">
        <f>IF(D6&gt;0,B23,B24)</f>
        <v>42461</v>
      </c>
      <c r="B51" s="146">
        <f>IF(A51=B24,D24,D23)</f>
        <v>1</v>
      </c>
      <c r="C51" s="123"/>
      <c r="D51" s="123"/>
      <c r="E51" s="123"/>
      <c r="F51" s="123"/>
      <c r="G51" s="123"/>
      <c r="H51" s="123"/>
      <c r="I51" s="3">
        <f>IF(Main!$C$26="UGC",SUM(I50,CEILING(I50*3%,10)),AB51)</f>
        <v>43680</v>
      </c>
      <c r="J51" s="3">
        <f t="shared" si="14"/>
        <v>44870</v>
      </c>
      <c r="K51" s="3">
        <f t="shared" si="14"/>
        <v>46060</v>
      </c>
      <c r="L51" s="3">
        <f t="shared" si="14"/>
        <v>47330</v>
      </c>
      <c r="O51" s="148">
        <f>IF(R6&gt;0,P23,P24)</f>
        <v>42461</v>
      </c>
      <c r="P51" s="146">
        <f>IF(O51=P24,R24,R23)</f>
        <v>1</v>
      </c>
      <c r="Q51" s="123"/>
      <c r="R51" s="123"/>
      <c r="S51" s="123"/>
      <c r="T51" s="123"/>
      <c r="U51" s="123"/>
      <c r="V51" s="123"/>
      <c r="W51" s="3">
        <f>IF(Main!$C$26="UGC",SUM(I50,CEILING(I50*3%,10)),AB51)</f>
        <v>43680</v>
      </c>
      <c r="X51" s="3">
        <f t="shared" si="13"/>
        <v>44870</v>
      </c>
      <c r="Y51" s="3">
        <f t="shared" si="13"/>
        <v>46060</v>
      </c>
      <c r="Z51" s="3">
        <f t="shared" si="13"/>
        <v>47330</v>
      </c>
      <c r="AB51" s="34">
        <v>43680</v>
      </c>
      <c r="AM51" s="148"/>
      <c r="AN51" s="146"/>
      <c r="AO51" s="123"/>
      <c r="AP51" s="123"/>
      <c r="AQ51" s="123"/>
      <c r="AR51" s="123"/>
      <c r="AS51" s="123"/>
      <c r="AT51" s="123"/>
      <c r="AU51" s="3"/>
      <c r="AV51" s="3"/>
      <c r="AW51" s="3"/>
      <c r="AX51" s="3"/>
    </row>
    <row r="52" spans="1:50" ht="21.95" customHeight="1">
      <c r="A52" s="148">
        <f>B24</f>
        <v>42461</v>
      </c>
      <c r="B52" s="146">
        <f>D24</f>
        <v>1</v>
      </c>
      <c r="C52" s="123"/>
      <c r="D52" s="123"/>
      <c r="E52" s="123">
        <f>VLOOKUP(D53,B54:E65,4)</f>
        <v>53950</v>
      </c>
      <c r="F52" s="123"/>
      <c r="G52" s="123"/>
      <c r="H52" s="123"/>
      <c r="I52" s="3">
        <f>IF(Main!$C$26="UGC",SUM(I51,CEILING(I51*3%,10)),AB52)</f>
        <v>44870</v>
      </c>
      <c r="J52" s="3">
        <f t="shared" si="14"/>
        <v>46060</v>
      </c>
      <c r="K52" s="3">
        <f t="shared" si="14"/>
        <v>47330</v>
      </c>
      <c r="L52" s="3">
        <f t="shared" si="14"/>
        <v>48600</v>
      </c>
      <c r="O52" s="148">
        <f>P24</f>
        <v>42461</v>
      </c>
      <c r="P52" s="146">
        <f>R24</f>
        <v>1</v>
      </c>
      <c r="Q52" s="123"/>
      <c r="R52" s="123"/>
      <c r="S52" s="123">
        <f>VLOOKUP(R53,P54:S65,4)</f>
        <v>53950</v>
      </c>
      <c r="T52" s="123"/>
      <c r="U52" s="123"/>
      <c r="V52" s="123"/>
      <c r="W52" s="3">
        <f>IF(Main!$C$26="UGC",SUM(I51,CEILING(I51*3%,10)),AB52)</f>
        <v>44870</v>
      </c>
      <c r="X52" s="3">
        <f t="shared" si="13"/>
        <v>46060</v>
      </c>
      <c r="Y52" s="3">
        <f t="shared" si="13"/>
        <v>47330</v>
      </c>
      <c r="Z52" s="3">
        <f t="shared" si="13"/>
        <v>48600</v>
      </c>
      <c r="AB52" s="34">
        <v>44870</v>
      </c>
      <c r="AM52" s="148"/>
      <c r="AN52" s="146"/>
      <c r="AO52" s="123"/>
      <c r="AP52" s="123"/>
      <c r="AQ52" s="123"/>
      <c r="AR52" s="123"/>
      <c r="AS52" s="123"/>
      <c r="AT52" s="123"/>
      <c r="AU52" s="3"/>
      <c r="AV52" s="3"/>
      <c r="AW52" s="3"/>
      <c r="AX52" s="3"/>
    </row>
    <row r="53" spans="1:50" ht="21.95" customHeight="1">
      <c r="A53" s="149"/>
      <c r="B53" s="123"/>
      <c r="C53" s="123" t="s">
        <v>1559</v>
      </c>
      <c r="D53" s="149">
        <f>E9</f>
        <v>42005</v>
      </c>
      <c r="E53" s="184">
        <f>VLOOKUP(D53,B30:C41,2)</f>
        <v>53950</v>
      </c>
      <c r="F53" s="123" t="s">
        <v>1558</v>
      </c>
      <c r="G53" s="123"/>
      <c r="H53" s="123"/>
      <c r="I53" s="3">
        <f>IF(Main!$C$26="UGC",SUM(I52,CEILING(I52*3%,10)),AB53)</f>
        <v>46060</v>
      </c>
      <c r="J53" s="3">
        <f t="shared" si="14"/>
        <v>47330</v>
      </c>
      <c r="K53" s="3">
        <f t="shared" si="14"/>
        <v>48600</v>
      </c>
      <c r="L53" s="3">
        <f t="shared" si="14"/>
        <v>49870</v>
      </c>
      <c r="O53" s="149"/>
      <c r="P53" s="123"/>
      <c r="Q53" s="123" t="s">
        <v>1559</v>
      </c>
      <c r="R53" s="149">
        <f>D69</f>
        <v>42005</v>
      </c>
      <c r="S53" s="184">
        <f>VLOOKUP(R53,P30:Q41,2)</f>
        <v>53950</v>
      </c>
      <c r="T53" s="123" t="s">
        <v>1558</v>
      </c>
      <c r="U53" s="123"/>
      <c r="V53" s="123"/>
      <c r="W53" s="3">
        <f>IF(Main!$C$26="UGC",SUM(I52,CEILING(I52*3%,10)),AB53)</f>
        <v>46060</v>
      </c>
      <c r="X53" s="3">
        <f t="shared" si="13"/>
        <v>47330</v>
      </c>
      <c r="Y53" s="3">
        <f t="shared" si="13"/>
        <v>48600</v>
      </c>
      <c r="Z53" s="3">
        <f t="shared" si="13"/>
        <v>49870</v>
      </c>
      <c r="AB53" s="34">
        <v>46060</v>
      </c>
      <c r="AM53" s="149"/>
      <c r="AN53" s="123"/>
      <c r="AO53" s="123"/>
      <c r="AP53" s="149"/>
      <c r="AQ53" s="184"/>
      <c r="AR53" s="123"/>
      <c r="AS53" s="123"/>
      <c r="AT53" s="123"/>
      <c r="AU53" s="3"/>
      <c r="AV53" s="3"/>
      <c r="AW53" s="3"/>
      <c r="AX53" s="3"/>
    </row>
    <row r="54" spans="1:50" ht="21.95" customHeight="1">
      <c r="A54" s="123"/>
      <c r="B54" s="133">
        <f>B15</f>
        <v>42005</v>
      </c>
      <c r="C54" s="128">
        <f>C15</f>
        <v>53950</v>
      </c>
      <c r="D54" s="124"/>
      <c r="E54" s="151">
        <f>C54</f>
        <v>53950</v>
      </c>
      <c r="F54" s="124">
        <f>IF(B54&gt;=$E$11,$G$22,IF(B54&gt;=$C$11,$G$19,0))</f>
        <v>0</v>
      </c>
      <c r="G54" s="123"/>
      <c r="H54" s="123"/>
      <c r="I54" s="3">
        <f>IF(Main!$C$26="UGC",SUM(I53,CEILING(I53*3%,10)),AB54)</f>
        <v>47330</v>
      </c>
      <c r="J54" s="3">
        <f t="shared" si="14"/>
        <v>48600</v>
      </c>
      <c r="K54" s="3">
        <f t="shared" si="14"/>
        <v>49870</v>
      </c>
      <c r="L54" s="3">
        <f t="shared" si="14"/>
        <v>51230</v>
      </c>
      <c r="O54" s="123"/>
      <c r="P54" s="133">
        <f>P15</f>
        <v>42005</v>
      </c>
      <c r="Q54" s="128">
        <f>Q15</f>
        <v>53950</v>
      </c>
      <c r="R54" s="124"/>
      <c r="S54" s="151">
        <f>Q54</f>
        <v>53950</v>
      </c>
      <c r="T54" s="124">
        <f t="shared" ref="T54:T65" si="17">IF(P54&gt;=$S$11,$U$22,IF(P54&gt;=$Q$11,$U$19,0))</f>
        <v>0</v>
      </c>
      <c r="U54" s="123"/>
      <c r="V54" s="123"/>
      <c r="W54" s="3">
        <f>IF(Main!$C$26="UGC",SUM(I53,CEILING(I53*3%,10)),AB54)</f>
        <v>47330</v>
      </c>
      <c r="X54" s="3">
        <f t="shared" si="13"/>
        <v>48600</v>
      </c>
      <c r="Y54" s="3">
        <f t="shared" si="13"/>
        <v>49870</v>
      </c>
      <c r="Z54" s="3">
        <f t="shared" si="13"/>
        <v>51230</v>
      </c>
      <c r="AB54" s="34">
        <v>47330</v>
      </c>
      <c r="AM54" s="123"/>
      <c r="AN54" s="133"/>
      <c r="AO54" s="128"/>
      <c r="AP54" s="124"/>
      <c r="AQ54" s="151"/>
      <c r="AR54" s="124"/>
      <c r="AS54" s="123"/>
      <c r="AT54" s="123"/>
      <c r="AU54" s="3"/>
      <c r="AV54" s="3"/>
      <c r="AW54" s="3"/>
      <c r="AX54" s="3"/>
    </row>
    <row r="55" spans="1:50" ht="21.95" customHeight="1">
      <c r="A55" s="149">
        <f>B54</f>
        <v>42005</v>
      </c>
      <c r="B55" s="130">
        <f>MIN(IF(AND(Main!AN10=4,$C$12&gt;B54),$C$12,IF(AND($A$16&gt;B54,$A$16&lt;MIN($C$11,$E$11)),$A$16,$C$9)),IF(AND($A$17&gt;B54,$A$17&lt;MIN($C$11,$E$11)),$A$17,$C$9),IF(AND($A$18&gt;B54,$A$18&lt;MIN($C$11,$E$11)),$A$18,$C$9),IF(AND($A$20&gt;B54,$A$20&gt;$C$11),$A$20,$C$9),IF(AND($A$21&gt;B54,$A$21&gt;$C$11),$A$21,$C$9),IF(AND($A$25&gt;B54,$A$25&gt;$E$11),$A$25,$C$9),IF(AND($A$26&gt;B54,$A$26&gt;$E$11),$A$26,$C$9),IF($C$11&gt;B54,$C$11,$C$9),IF($C$12&gt;B54,$C$12,$C$9),IF($E$11&gt;B54,$E$11,$C$9),IF($E$12&gt;B54,$E$12,$C$9),IF($C$13&gt;B54,$C$13,$C$9),IF($E$13&gt;B54,$E$13,$C$9))</f>
        <v>42248</v>
      </c>
      <c r="C55" s="128">
        <f>IF(B55=$B$26,$C$26,IF(B55=$B$25,$C$25,IF(B55=$B$24,$C$24,IF(B55=$B$23,$C$23,IF(B55=$B$21,$C$21,IF(B55=$B$20,$C$20,IF(B55=$B$19,$C$19,IF(B55=$B$18,$C$18,IF(B55=$B$17,$C$17,IF(B55=$B$16,$C$16,LOOKUP(B55,$B$30:$C$41)))))))))))</f>
        <v>55410</v>
      </c>
      <c r="D55" s="128">
        <f>IF(AND(B55=$E$11,$B$24&gt;=$E$11),$D$24,IF(AND(B55=$E$11,$B$23&gt;=$E$11),$D$23,IF(B55=$C$11,$D$19,IF(ISNA(VLOOKUP(B55,$A$91:$B$95,1,FALSE)),1,LOOKUP(B55,$A$91:$B$95)))))</f>
        <v>2</v>
      </c>
      <c r="E55" s="151">
        <f>IF(AND(Main!$AN$10=5,B55=$G$12),$F$12,IF(OR(B55=$C$11,B55=$E$11,$C$12=B55),VLOOKUP(B55,$B$30:$E$41,4),MAX(IF(Main!$AN$10=4,VLOOKUP(E54,$I$2:$K$7,D55),VLOOKUP(E54,$I$8:$L$92,D55)),F55)))</f>
        <v>55410</v>
      </c>
      <c r="F55" s="124">
        <f>IF(B55&gt;=$E$11,$G$22,IF(B55&gt;=$C$11,$G$19,0))</f>
        <v>0</v>
      </c>
      <c r="G55" s="123"/>
      <c r="H55" s="123"/>
      <c r="I55" s="3">
        <f>IF(Main!$C$26="UGC",SUM(I54,CEILING(I54*3%,10)),AB55)</f>
        <v>48600</v>
      </c>
      <c r="J55" s="3">
        <f t="shared" si="14"/>
        <v>49870</v>
      </c>
      <c r="K55" s="3">
        <f t="shared" si="14"/>
        <v>51230</v>
      </c>
      <c r="L55" s="3">
        <f t="shared" si="14"/>
        <v>52590</v>
      </c>
      <c r="O55" s="149">
        <f t="shared" ref="O55:O65" si="18">P54</f>
        <v>42005</v>
      </c>
      <c r="P55" s="130">
        <f>MIN(IF(AND(Main!AN10=4,$Q$12&gt;P54),$Q$12,IF(AND($O$16&gt;P54,$O$16&lt;MIN($Q$11,$S$11)),$O$16,$Q$9)),IF(AND($O$17&gt;P54,$O$17&lt;MIN($Q$11,$S$11)),$O$17,$Q$9),IF(AND($O$18&gt;P54,$O$18&lt;MIN($Q$11,$S$11)),$O$18,$Q$9),IF(AND($O$20&gt;P54,$O$20&gt;$Q$11),$O$20,$Q$9),IF(AND($O$21&gt;P54,$O$21&gt;$Q$11),$O$21,$Q$9),IF(AND($O$25&gt;P54,$O$25&gt;$S$11),$O$25,$Q$9),IF(AND($O$26&gt;P54,$O$26&gt;$S$11),$O$26,$Q$9),IF($Q$11&gt;P54,$Q$11,$Q$9),IF($Q$12&gt;P54,$Q$12,$Q$9),IF($S$11&gt;P54,$S$11,$Q$9),IF($S$12&gt;P54,$S$12,$Q$9),IF($Q$13&gt;P54,$Q$13,$Q$9),IF($S$13&gt;P54,$S$13,$Q$9))</f>
        <v>42248</v>
      </c>
      <c r="Q55" s="128">
        <f t="shared" ref="Q55:Q65" si="19">IF(P55=$P$26,$Q$26,IF(P55=$P$25,$Q$25,IF(P55=$P$24,$Q$24,IF(P55=$P$23,$Q$23,IF(P55=$P$21,$Q$21,IF(P55=$P$20,$Q$20,IF(P55=$P$19,$Q$19,IF(P55=$P$18,$Q$18,IF(P55=$P$17,$Q$17,IF(P55=$P$16,$Q$16,LOOKUP(P55,$P$30:$Q$41)))))))))))</f>
        <v>55410</v>
      </c>
      <c r="R55" s="128">
        <f>IF(AND(P55=$S$11,$P$24&gt;=$S$11),$R$24,IF(AND(P55=$S$11,$P$23&gt;=$S$11),$R$23,IF(P55=$Q$11,$R$19,IF(ISNA(VLOOKUP(P55,$O$91:$P$95,1,FALSE)),1,LOOKUP(P55,$O$91:$P$95)))))</f>
        <v>2</v>
      </c>
      <c r="S55" s="151">
        <f>IF(AND(Main!$AN$10=5,P55=$U$12),$T$12,IF(OR(P55=$Q$11,P55=$S$11,$Q$12=P55),VLOOKUP(P55,$P$30:$S$41,4),MAX(IF(Main!$AN$10=4,VLOOKUP(S54,$W$2:$Y$7,R55),VLOOKUP(S54,$W$8:$Z$92,R55)),T55)))</f>
        <v>55410</v>
      </c>
      <c r="T55" s="124">
        <f t="shared" si="17"/>
        <v>0</v>
      </c>
      <c r="U55" s="123"/>
      <c r="V55" s="123"/>
      <c r="W55" s="3">
        <f>IF(Main!$C$26="UGC",SUM(I54,CEILING(I54*3%,10)),AB55)</f>
        <v>48600</v>
      </c>
      <c r="X55" s="3">
        <f t="shared" si="13"/>
        <v>49870</v>
      </c>
      <c r="Y55" s="3">
        <f t="shared" si="13"/>
        <v>51230</v>
      </c>
      <c r="Z55" s="3">
        <f t="shared" si="13"/>
        <v>52590</v>
      </c>
      <c r="AB55" s="34">
        <v>48600</v>
      </c>
      <c r="AM55" s="149"/>
      <c r="AN55" s="130"/>
      <c r="AO55" s="128"/>
      <c r="AP55" s="128"/>
      <c r="AQ55" s="151"/>
      <c r="AR55" s="124"/>
      <c r="AS55" s="123"/>
      <c r="AT55" s="123"/>
      <c r="AU55" s="3"/>
      <c r="AV55" s="3"/>
      <c r="AW55" s="3"/>
      <c r="AX55" s="3"/>
    </row>
    <row r="56" spans="1:50" ht="21.95" customHeight="1">
      <c r="A56" s="149">
        <f t="shared" ref="A56:A65" si="20">B55</f>
        <v>42248</v>
      </c>
      <c r="B56" s="130">
        <f>MIN(IF(AND(Main!AN11=4,$C$12&gt;B55),$C$12,IF(AND($A$16&gt;B55,$A$16&lt;MIN($C$11,$E$11)),$A$16,$C$9)),IF(AND($A$17&gt;B55,$A$17&lt;MIN($C$11,$E$11)),$A$17,$C$9),IF(AND($A$18&gt;B55,$A$18&lt;MIN($C$11,$E$11)),$A$18,$C$9),IF(AND($A$20&gt;B55,$A$20&gt;$C$11),$A$20,$C$9),IF(AND($A$21&gt;B55,$A$21&gt;$C$11),$A$21,$C$9),IF(AND($A$25&gt;B55,$A$25&gt;$E$11),$A$25,$C$9),IF(AND($A$26&gt;B55,$A$26&gt;$E$11),$A$26,$C$9),IF($C$11&gt;B55,$C$11,$C$9),IF($C$12&gt;B55,$C$12,$C$9),IF($E$11&gt;B55,$E$11,$C$9),IF($E$12&gt;B55,$E$12,$C$9),IF($C$13&gt;B55,$C$13,$C$9),IF($E$13&gt;B55,$E$13,$C$9))</f>
        <v>42461</v>
      </c>
      <c r="C56" s="128">
        <f t="shared" ref="C56:C65" si="21">IF(B56=$B$26,$C$26,IF(B56=$B$25,$C$25,IF(B56=$B$24,$C$24,IF(B56=$B$23,$C$23,IF(B56=$B$21,$C$21,IF(B56=$B$20,$C$20,IF(B56=$B$19,$C$19,IF(B56=$B$18,$C$18,IF(B56=$B$17,$C$17,IF(B56=$B$16,$C$16,LOOKUP(B56,$B$30:$C$41)))))))))))</f>
        <v>55410</v>
      </c>
      <c r="D56" s="128">
        <f t="shared" ref="D56:D65" si="22">IF(AND(B56=$E$11,$B$24&gt;=$E$11),$D$24,IF(AND(B56=$E$11,$B$23&gt;=$E$11),$D$23,IF(B56=$C$11,$D$19,IF(ISNA(VLOOKUP(B56,$A$91:$B$95,1,FALSE)),1,LOOKUP(B56,$A$91:$B$95)))))</f>
        <v>1</v>
      </c>
      <c r="E56" s="151">
        <f>IF(AND(Main!$AN$10=5,B56=$G$12),$F$12,IF(OR(B56=$C$11,B56=$E$11,$C$12=B56),VLOOKUP(B56,$B$30:$E$41,4),MAX(IF(Main!$AN$10=4,VLOOKUP(E55,$I$2:$K$7,D56),VLOOKUP(E55,$I$8:$L$92,D56)),F56)))</f>
        <v>55410</v>
      </c>
      <c r="F56" s="124">
        <f t="shared" ref="F56:F65" si="23">IF(B56&gt;=$E$11,$G$22,IF(B56&gt;=$C$11,$G$19,0))</f>
        <v>0</v>
      </c>
      <c r="G56" s="123"/>
      <c r="H56" s="123"/>
      <c r="I56" s="3">
        <f>IF(Main!$C$26="UGC",SUM(I55,CEILING(I55*3%,10)),AB56)</f>
        <v>49870</v>
      </c>
      <c r="J56" s="3">
        <f t="shared" si="14"/>
        <v>51230</v>
      </c>
      <c r="K56" s="3">
        <f t="shared" si="14"/>
        <v>52590</v>
      </c>
      <c r="L56" s="3">
        <f t="shared" si="14"/>
        <v>53950</v>
      </c>
      <c r="O56" s="149">
        <f t="shared" si="18"/>
        <v>42248</v>
      </c>
      <c r="P56" s="130">
        <f>MIN(IF(AND(Main!AN11=4,$Q$12&gt;P55),$Q$12,IF(AND($O$16&gt;P55,$O$16&lt;MIN($Q$11,$S$11)),$O$16,$Q$9)),IF(AND($O$17&gt;P55,$O$17&lt;MIN($Q$11,$S$11)),$O$17,$Q$9),IF(AND($O$18&gt;P55,$O$18&lt;MIN($Q$11,$S$11)),$O$18,$Q$9),IF(AND($O$20&gt;P55,$O$20&gt;$Q$11),$O$20,$Q$9),IF(AND($O$21&gt;P55,$O$21&gt;$Q$11),$O$21,$Q$9),IF(AND($O$25&gt;P55,$O$25&gt;$S$11),$O$25,$Q$9),IF(AND($O$26&gt;P55,$O$26&gt;$S$11),$O$26,$Q$9),IF($Q$11&gt;P55,$Q$11,$Q$9),IF($Q$12&gt;P55,$Q$12,$Q$9),IF($S$11&gt;P55,$S$11,$Q$9),IF($S$12&gt;P55,$S$12,$Q$9),IF($Q$13&gt;P55,$Q$13,$Q$9),IF($S$13&gt;P55,$S$13,$Q$9))</f>
        <v>42461</v>
      </c>
      <c r="Q56" s="128">
        <f t="shared" si="19"/>
        <v>55410</v>
      </c>
      <c r="R56" s="128">
        <f t="shared" ref="R56:R65" si="24">IF(AND(P56=$S$11,$P$24&gt;=$S$11),$R$24,IF(AND(P56=$S$11,$P$23&gt;=$S$11),$R$23,IF(P56=$Q$11,$R$19,IF(ISNA(VLOOKUP(P56,$O$91:$P$95,1,FALSE)),1,LOOKUP(P56,$O$91:$P$95)))))</f>
        <v>1</v>
      </c>
      <c r="S56" s="151">
        <f>IF(AND(Main!$AN$10=5,P56=$U$12),$T$12,IF(OR(P56=$Q$11,P56=$S$11,$Q$12=P56),VLOOKUP(P56,$P$30:$S$41,4),MAX(IF(Main!$AN$10=4,VLOOKUP(S55,$W$2:$Y$7,R56),VLOOKUP(S55,$W$8:$Z$92,R56)),T56)))</f>
        <v>55410</v>
      </c>
      <c r="T56" s="124">
        <f t="shared" si="17"/>
        <v>0</v>
      </c>
      <c r="U56" s="123"/>
      <c r="V56" s="123"/>
      <c r="W56" s="3">
        <f>IF(Main!$C$26="UGC",SUM(I55,CEILING(I55*3%,10)),AB56)</f>
        <v>49870</v>
      </c>
      <c r="X56" s="3">
        <f t="shared" si="13"/>
        <v>51230</v>
      </c>
      <c r="Y56" s="3">
        <f t="shared" si="13"/>
        <v>52590</v>
      </c>
      <c r="Z56" s="3">
        <f t="shared" si="13"/>
        <v>53950</v>
      </c>
      <c r="AB56" s="34">
        <v>49870</v>
      </c>
      <c r="AM56" s="149"/>
      <c r="AN56" s="130"/>
      <c r="AO56" s="128"/>
      <c r="AP56" s="128"/>
      <c r="AQ56" s="151"/>
      <c r="AR56" s="124"/>
      <c r="AS56" s="123"/>
      <c r="AT56" s="123"/>
      <c r="AU56" s="3"/>
      <c r="AV56" s="3"/>
      <c r="AW56" s="3"/>
      <c r="AX56" s="3"/>
    </row>
    <row r="57" spans="1:50" ht="21.95" customHeight="1">
      <c r="A57" s="149">
        <f t="shared" si="20"/>
        <v>42461</v>
      </c>
      <c r="B57" s="130">
        <f>MIN(IF(AND(Main!AN12=4,$C$12&gt;B56),$C$12,IF(AND($A$16&gt;B56,$A$16&lt;MIN($C$11,$E$11)),$A$16,$C$9)),IF(AND($A$17&gt;B56,$A$17&lt;MIN($C$11,$E$11)),$A$17,$C$9),IF(AND($A$18&gt;B56,$A$18&lt;MIN($C$11,$E$11)),$A$18,$C$9),IF(AND($A$20&gt;B56,$A$20&gt;$C$11),$A$20,$C$9),IF(AND($A$21&gt;B56,$A$21&gt;$C$11),$A$21,$C$9),IF(AND($A$25&gt;B56,$A$25&gt;$E$11),$A$25,$C$9),IF(AND($A$26&gt;B56,$A$26&gt;$E$11),$A$26,$C$9),IF($C$11&gt;B56,$C$11,$C$9),IF($C$12&gt;B56,$C$12,$C$9),IF($E$11&gt;B56,$E$11,$C$9),IF($E$12&gt;B56,$E$12,$C$9),IF($C$13&gt;B56,$C$13,$C$9),IF($E$13&gt;B56,$E$13,$C$9))</f>
        <v>42461</v>
      </c>
      <c r="C57" s="128">
        <f t="shared" si="21"/>
        <v>55410</v>
      </c>
      <c r="D57" s="128">
        <f t="shared" si="22"/>
        <v>1</v>
      </c>
      <c r="E57" s="151">
        <f>IF(AND(Main!$AN$10=5,B57=$G$12),$F$12,IF(OR(B57=$C$11,B57=$E$11,$C$12=B57),VLOOKUP(B57,$B$30:$E$41,4),MAX(IF(Main!$AN$10=4,VLOOKUP(E56,$I$2:$K$7,D57),VLOOKUP(E56,$I$8:$L$92,D57)),F57)))</f>
        <v>55410</v>
      </c>
      <c r="F57" s="124">
        <f t="shared" si="23"/>
        <v>0</v>
      </c>
      <c r="G57" s="123"/>
      <c r="H57" s="123"/>
      <c r="I57" s="3">
        <f>IF(Main!$C$26="UGC",SUM(I56,CEILING(I56*3%,10)),AB57)</f>
        <v>51230</v>
      </c>
      <c r="J57" s="3">
        <f t="shared" si="14"/>
        <v>52590</v>
      </c>
      <c r="K57" s="3">
        <f t="shared" si="14"/>
        <v>53950</v>
      </c>
      <c r="L57" s="3">
        <f t="shared" si="14"/>
        <v>55410</v>
      </c>
      <c r="O57" s="149">
        <f t="shared" si="18"/>
        <v>42461</v>
      </c>
      <c r="P57" s="130">
        <f>MIN(IF(AND(Main!AN12=4,$Q$12&gt;P56),$Q$12,IF(AND($O$16&gt;P56,$O$16&lt;MIN($Q$11,$S$11)),$O$16,$Q$9)),IF(AND($O$17&gt;P56,$O$17&lt;MIN($Q$11,$S$11)),$O$17,$Q$9),IF(AND($O$18&gt;P56,$O$18&lt;MIN($Q$11,$S$11)),$O$18,$Q$9),IF(AND($O$20&gt;P56,$O$20&gt;$Q$11),$O$20,$Q$9),IF(AND($O$21&gt;P56,$O$21&gt;$Q$11),$O$21,$Q$9),IF(AND($O$25&gt;P56,$O$25&gt;$S$11),$O$25,$Q$9),IF(AND($O$26&gt;P56,$O$26&gt;$S$11),$O$26,$Q$9),IF($Q$11&gt;P56,$Q$11,$Q$9),IF($Q$12&gt;P56,$Q$12,$Q$9),IF($S$11&gt;P56,$S$11,$Q$9),IF($S$12&gt;P56,$S$12,$Q$9),IF($Q$13&gt;P56,$Q$13,$Q$9),IF($S$13&gt;P56,$S$13,$Q$9))</f>
        <v>42461</v>
      </c>
      <c r="Q57" s="128">
        <f t="shared" si="19"/>
        <v>55410</v>
      </c>
      <c r="R57" s="128">
        <f t="shared" si="24"/>
        <v>1</v>
      </c>
      <c r="S57" s="151">
        <f>IF(AND(Main!$AN$10=5,P57=$U$12),$T$12,IF(OR(P57=$Q$11,P57=$S$11,$Q$12=P57),VLOOKUP(P57,$P$30:$S$41,4),MAX(IF(Main!$AN$10=4,VLOOKUP(S56,$W$2:$Y$7,R57),VLOOKUP(S56,$W$8:$Z$92,R57)),T57)))</f>
        <v>55410</v>
      </c>
      <c r="T57" s="124">
        <f t="shared" si="17"/>
        <v>0</v>
      </c>
      <c r="U57" s="123"/>
      <c r="V57" s="123"/>
      <c r="W57" s="3">
        <f>IF(Main!$C$26="UGC",SUM(I56,CEILING(I56*3%,10)),AB57)</f>
        <v>51230</v>
      </c>
      <c r="X57" s="3">
        <f t="shared" si="13"/>
        <v>52590</v>
      </c>
      <c r="Y57" s="3">
        <f t="shared" si="13"/>
        <v>53950</v>
      </c>
      <c r="Z57" s="3">
        <f t="shared" si="13"/>
        <v>55410</v>
      </c>
      <c r="AB57" s="34">
        <v>51230</v>
      </c>
      <c r="AM57" s="149"/>
      <c r="AN57" s="130"/>
      <c r="AO57" s="128"/>
      <c r="AP57" s="128"/>
      <c r="AQ57" s="151"/>
      <c r="AR57" s="124"/>
      <c r="AS57" s="123"/>
      <c r="AT57" s="123"/>
      <c r="AU57" s="3"/>
      <c r="AV57" s="3"/>
      <c r="AW57" s="3"/>
      <c r="AX57" s="3"/>
    </row>
    <row r="58" spans="1:50" ht="21.95" customHeight="1">
      <c r="A58" s="149">
        <f t="shared" si="20"/>
        <v>42461</v>
      </c>
      <c r="B58" s="130">
        <f>MIN(IF(AND(Main!AN13=4,$C$12&gt;B57),$C$12,IF(AND($A$16&gt;B57,$A$16&lt;MIN($C$11,$E$11)),$A$16,$C$9)),IF(AND($A$17&gt;B57,$A$17&lt;MIN($C$11,$E$11)),$A$17,$C$9),IF(AND($A$18&gt;B57,$A$18&lt;MIN($C$11,$E$11)),$A$18,$C$9),IF(AND($A$20&gt;B57,$A$20&gt;$C$11),$A$20,$C$9),IF(AND($A$21&gt;B57,$A$21&gt;$C$11),$A$21,$C$9),IF(AND($A$25&gt;B57,$A$25&gt;$E$11),$A$25,$C$9),IF(AND($A$26&gt;B57,$A$26&gt;$E$11),$A$26,$C$9),IF($C$11&gt;B57,$C$11,$C$9),IF($C$12&gt;B57,$C$12,$C$9),IF($E$11&gt;B57,$E$11,$C$9),IF($E$12&gt;B57,$E$12,$C$9),IF($C$13&gt;B57,$C$13,$C$9),IF($E$13&gt;B57,$E$13,$C$9))</f>
        <v>42461</v>
      </c>
      <c r="C58" s="128">
        <f t="shared" si="21"/>
        <v>55410</v>
      </c>
      <c r="D58" s="128">
        <f t="shared" si="22"/>
        <v>1</v>
      </c>
      <c r="E58" s="151">
        <f>IF(AND(Main!$AN$10=5,B58=$G$12),$F$12,IF(OR(B58=$C$11,B58=$E$11,$C$12=B58),VLOOKUP(B58,$B$30:$E$41,4),MAX(IF(Main!$AN$10=4,VLOOKUP(E57,$I$2:$K$7,D58),VLOOKUP(E57,$I$8:$L$92,D58)),F58)))</f>
        <v>55410</v>
      </c>
      <c r="F58" s="124">
        <f t="shared" si="23"/>
        <v>0</v>
      </c>
      <c r="G58" s="123"/>
      <c r="H58" s="123"/>
      <c r="I58" s="3">
        <f>IF(Main!$C$26="UGC",SUM(I57,CEILING(I57*3%,10)),AB58)</f>
        <v>52590</v>
      </c>
      <c r="J58" s="3">
        <f t="shared" si="14"/>
        <v>53950</v>
      </c>
      <c r="K58" s="3">
        <f t="shared" si="14"/>
        <v>55410</v>
      </c>
      <c r="L58" s="3">
        <f t="shared" si="14"/>
        <v>56870</v>
      </c>
      <c r="O58" s="149">
        <f t="shared" si="18"/>
        <v>42461</v>
      </c>
      <c r="P58" s="130">
        <f>MIN(IF(AND(Main!AN13=4,$Q$12&gt;P57),$Q$12,IF(AND($O$16&gt;P57,$O$16&lt;MIN($Q$11,$S$11)),$O$16,$Q$9)),IF(AND($O$17&gt;P57,$O$17&lt;MIN($Q$11,$S$11)),$O$17,$Q$9),IF(AND($O$18&gt;P57,$O$18&lt;MIN($Q$11,$S$11)),$O$18,$Q$9),IF(AND($O$20&gt;P57,$O$20&gt;$Q$11),$O$20,$Q$9),IF(AND($O$21&gt;P57,$O$21&gt;$Q$11),$O$21,$Q$9),IF(AND($O$25&gt;P57,$O$25&gt;$S$11),$O$25,$Q$9),IF(AND($O$26&gt;P57,$O$26&gt;$S$11),$O$26,$Q$9),IF($Q$11&gt;P57,$Q$11,$Q$9),IF($Q$12&gt;P57,$Q$12,$Q$9),IF($S$11&gt;P57,$S$11,$Q$9),IF($S$12&gt;P57,$S$12,$Q$9),IF($Q$13&gt;P57,$Q$13,$Q$9),IF($S$13&gt;P57,$S$13,$Q$9))</f>
        <v>42461</v>
      </c>
      <c r="Q58" s="128">
        <f t="shared" si="19"/>
        <v>55410</v>
      </c>
      <c r="R58" s="128">
        <f t="shared" si="24"/>
        <v>1</v>
      </c>
      <c r="S58" s="151">
        <f>IF(AND(Main!$AN$10=5,P58=$U$12),$T$12,IF(OR(P58=$Q$11,P58=$S$11,$Q$12=P58),VLOOKUP(P58,$P$30:$S$41,4),MAX(IF(Main!$AN$10=4,VLOOKUP(S57,$W$2:$Y$7,R58),VLOOKUP(S57,$W$8:$Z$92,R58)),T58)))</f>
        <v>55410</v>
      </c>
      <c r="T58" s="124">
        <f t="shared" si="17"/>
        <v>0</v>
      </c>
      <c r="U58" s="123"/>
      <c r="V58" s="123"/>
      <c r="W58" s="3">
        <f>IF(Main!$C$26="UGC",SUM(I57,CEILING(I57*3%,10)),AB58)</f>
        <v>52590</v>
      </c>
      <c r="X58" s="3">
        <f t="shared" si="13"/>
        <v>53950</v>
      </c>
      <c r="Y58" s="3">
        <f t="shared" si="13"/>
        <v>55410</v>
      </c>
      <c r="Z58" s="3">
        <f t="shared" si="13"/>
        <v>56870</v>
      </c>
      <c r="AB58" s="34">
        <v>52590</v>
      </c>
      <c r="AM58" s="149"/>
      <c r="AN58" s="130"/>
      <c r="AO58" s="128"/>
      <c r="AP58" s="128"/>
      <c r="AQ58" s="151"/>
      <c r="AR58" s="124"/>
      <c r="AS58" s="123"/>
      <c r="AT58" s="123"/>
      <c r="AU58" s="3"/>
      <c r="AV58" s="3"/>
      <c r="AW58" s="3"/>
      <c r="AX58" s="3"/>
    </row>
    <row r="59" spans="1:50" ht="21.95" customHeight="1">
      <c r="A59" s="149">
        <f t="shared" si="20"/>
        <v>42461</v>
      </c>
      <c r="B59" s="130">
        <f>MIN(IF(AND(Main!AN14=4,$C$12&gt;B58),$C$12,IF(AND($A$16&gt;B58,$A$16&lt;MIN($C$11,$E$11)),$A$16,$C$9)),IF(AND($A$17&gt;B58,$A$17&lt;MIN($C$11,$E$11)),$A$17,$C$9),IF(AND($A$18&gt;B58,$A$18&lt;MIN($C$11,$E$11)),$A$18,$C$9),IF(AND($A$20&gt;B58,$A$20&gt;$C$11),$A$20,$C$9),IF(AND($A$21&gt;B58,$A$21&gt;$C$11),$A$21,$C$9),IF(AND($A$25&gt;B58,$A$25&gt;$E$11),$A$25,$C$9),IF(AND($A$26&gt;B58,$A$26&gt;$E$11),$A$26,$C$9),IF($C$11&gt;B58,$C$11,$C$9),IF($C$12&gt;B58,$C$12,$C$9),IF($E$11&gt;B58,$E$11,$C$9),IF($E$12&gt;B58,$E$12,$C$9),IF($C$13&gt;B58,$C$13,$C$9),IF($E$13&gt;B58,$E$13,$C$9))</f>
        <v>42461</v>
      </c>
      <c r="C59" s="128">
        <f t="shared" si="21"/>
        <v>55410</v>
      </c>
      <c r="D59" s="128">
        <f t="shared" si="22"/>
        <v>1</v>
      </c>
      <c r="E59" s="151">
        <f>IF(AND(Main!$AN$10=5,B59=$G$12),$F$12,IF(OR(B59=$C$11,B59=$E$11,$C$12=B59),VLOOKUP(B59,$B$30:$E$41,4),MAX(IF(Main!$AN$10=4,VLOOKUP(E58,$I$2:$K$7,D59),VLOOKUP(E58,$I$8:$L$92,D59)),F59)))</f>
        <v>55410</v>
      </c>
      <c r="F59" s="124">
        <f t="shared" si="23"/>
        <v>0</v>
      </c>
      <c r="G59" s="123"/>
      <c r="H59" s="123"/>
      <c r="I59" s="3">
        <f>IF(Main!$C$26="UGC",SUM(I58,CEILING(I58*3%,10)),AB59)</f>
        <v>53950</v>
      </c>
      <c r="J59" s="3">
        <f t="shared" si="14"/>
        <v>55410</v>
      </c>
      <c r="K59" s="3">
        <f t="shared" si="14"/>
        <v>56870</v>
      </c>
      <c r="L59" s="3">
        <f t="shared" si="14"/>
        <v>58330</v>
      </c>
      <c r="O59" s="149">
        <f t="shared" si="18"/>
        <v>42461</v>
      </c>
      <c r="P59" s="130">
        <f>MIN(IF(AND(Main!AN14=4,$Q$12&gt;P58),$Q$12,IF(AND($O$16&gt;P58,$O$16&lt;MIN($Q$11,$S$11)),$O$16,$Q$9)),IF(AND($O$17&gt;P58,$O$17&lt;MIN($Q$11,$S$11)),$O$17,$Q$9),IF(AND($O$18&gt;P58,$O$18&lt;MIN($Q$11,$S$11)),$O$18,$Q$9),IF(AND($O$20&gt;P58,$O$20&gt;$Q$11),$O$20,$Q$9),IF(AND($O$21&gt;P58,$O$21&gt;$Q$11),$O$21,$Q$9),IF(AND($O$25&gt;P58,$O$25&gt;$S$11),$O$25,$Q$9),IF(AND($O$26&gt;P58,$O$26&gt;$S$11),$O$26,$Q$9),IF($Q$11&gt;P58,$Q$11,$Q$9),IF($Q$12&gt;P58,$Q$12,$Q$9),IF($S$11&gt;P58,$S$11,$Q$9),IF($S$12&gt;P58,$S$12,$Q$9),IF($Q$13&gt;P58,$Q$13,$Q$9),IF($S$13&gt;P58,$S$13,$Q$9))</f>
        <v>42461</v>
      </c>
      <c r="Q59" s="128">
        <f t="shared" si="19"/>
        <v>55410</v>
      </c>
      <c r="R59" s="128">
        <f t="shared" si="24"/>
        <v>1</v>
      </c>
      <c r="S59" s="151">
        <f>IF(AND(Main!$AN$10=5,P59=$U$12),$T$12,IF(OR(P59=$Q$11,P59=$S$11,$Q$12=P59),VLOOKUP(P59,$P$30:$S$41,4),MAX(IF(Main!$AN$10=4,VLOOKUP(S58,$W$2:$Y$7,R59),VLOOKUP(S58,$W$8:$Z$92,R59)),T59)))</f>
        <v>55410</v>
      </c>
      <c r="T59" s="124">
        <f t="shared" si="17"/>
        <v>0</v>
      </c>
      <c r="U59" s="123"/>
      <c r="V59" s="123"/>
      <c r="W59" s="3">
        <f>IF(Main!$C$26="UGC",SUM(I58,CEILING(I58*3%,10)),AB59)</f>
        <v>53950</v>
      </c>
      <c r="X59" s="3">
        <f t="shared" si="13"/>
        <v>55410</v>
      </c>
      <c r="Y59" s="3">
        <f t="shared" si="13"/>
        <v>56870</v>
      </c>
      <c r="Z59" s="3">
        <f t="shared" si="13"/>
        <v>58330</v>
      </c>
      <c r="AB59" s="34">
        <v>53950</v>
      </c>
      <c r="AM59" s="149"/>
      <c r="AN59" s="130"/>
      <c r="AO59" s="128"/>
      <c r="AP59" s="128"/>
      <c r="AQ59" s="151"/>
      <c r="AR59" s="124"/>
      <c r="AS59" s="123"/>
      <c r="AT59" s="123"/>
      <c r="AU59" s="3"/>
      <c r="AV59" s="3"/>
      <c r="AW59" s="3"/>
      <c r="AX59" s="3"/>
    </row>
    <row r="60" spans="1:50" ht="21.95" customHeight="1">
      <c r="A60" s="149">
        <f t="shared" si="20"/>
        <v>42461</v>
      </c>
      <c r="B60" s="130">
        <f>MIN(IF(AND(Main!AN15=4,$C$12&gt;B59),$C$12,IF(AND($A$16&gt;B59,$A$16&lt;MIN($C$11,$E$11)),$A$16,$C$9)),IF(AND($A$17&gt;B59,$A$17&lt;MIN($C$11,$E$11)),$A$17,$C$9),IF(AND($A$18&gt;B59,$A$18&lt;MIN($C$11,$E$11)),$A$18,$C$9),IF(AND($A$20&gt;B59,$A$20&gt;$C$11),$A$20,$C$9),IF(AND($A$21&gt;B59,$A$21&gt;$C$11),$A$21,$C$9),IF(AND($A$25&gt;B59,$A$25&gt;$E$11),$A$25,$C$9),IF(AND($A$26&gt;B59,$A$26&gt;$E$11),$A$26,$C$9),IF($C$11&gt;B59,$C$11,$C$9),IF($C$12&gt;B59,$C$12,$C$9),IF($E$11&gt;B59,$E$11,$C$9),IF($E$12&gt;B59,$E$12,$C$9),IF($C$13&gt;B59,$C$13,$C$9),IF($E$13&gt;B59,$E$13,$C$9))</f>
        <v>42461</v>
      </c>
      <c r="C60" s="128">
        <f t="shared" si="21"/>
        <v>55410</v>
      </c>
      <c r="D60" s="128">
        <f t="shared" si="22"/>
        <v>1</v>
      </c>
      <c r="E60" s="151">
        <f>IF(AND(Main!$AN$10=5,B60=$G$12),$F$12,IF(OR(B60=$C$11,B60=$E$11,$C$12=B60),VLOOKUP(B60,$B$30:$E$41,4),MAX(IF(Main!$AN$10=4,VLOOKUP(E59,$I$2:$K$7,D60),VLOOKUP(E59,$I$8:$L$92,D60)),F60)))</f>
        <v>55410</v>
      </c>
      <c r="F60" s="124">
        <f t="shared" si="23"/>
        <v>0</v>
      </c>
      <c r="G60" s="123"/>
      <c r="H60" s="123"/>
      <c r="I60" s="3">
        <f>IF(Main!$C$26="UGC",SUM(I59,CEILING(I59*3%,10)),AB60)</f>
        <v>55410</v>
      </c>
      <c r="J60" s="3">
        <f t="shared" si="14"/>
        <v>56870</v>
      </c>
      <c r="K60" s="3">
        <f t="shared" si="14"/>
        <v>58330</v>
      </c>
      <c r="L60" s="3">
        <f t="shared" si="14"/>
        <v>59890</v>
      </c>
      <c r="O60" s="149">
        <f t="shared" si="18"/>
        <v>42461</v>
      </c>
      <c r="P60" s="130">
        <f>MIN(IF(AND(Main!AN15=4,$Q$12&gt;P59),$Q$12,IF(AND($O$16&gt;P59,$O$16&lt;MIN($Q$11,$S$11)),$O$16,$Q$9)),IF(AND($O$17&gt;P59,$O$17&lt;MIN($Q$11,$S$11)),$O$17,$Q$9),IF(AND($O$18&gt;P59,$O$18&lt;MIN($Q$11,$S$11)),$O$18,$Q$9),IF(AND($O$20&gt;P59,$O$20&gt;$Q$11),$O$20,$Q$9),IF(AND($O$21&gt;P59,$O$21&gt;$Q$11),$O$21,$Q$9),IF(AND($O$25&gt;P59,$O$25&gt;$S$11),$O$25,$Q$9),IF(AND($O$26&gt;P59,$O$26&gt;$S$11),$O$26,$Q$9),IF($Q$11&gt;P59,$Q$11,$Q$9),IF($Q$12&gt;P59,$Q$12,$Q$9),IF($S$11&gt;P59,$S$11,$Q$9),IF($S$12&gt;P59,$S$12,$Q$9),IF($Q$13&gt;P59,$Q$13,$Q$9),IF($S$13&gt;P59,$S$13,$Q$9))</f>
        <v>42461</v>
      </c>
      <c r="Q60" s="128">
        <f t="shared" si="19"/>
        <v>55410</v>
      </c>
      <c r="R60" s="128">
        <f t="shared" si="24"/>
        <v>1</v>
      </c>
      <c r="S60" s="151">
        <f>IF(AND(Main!$AN$10=5,P60=$U$12),$T$12,IF(OR(P60=$Q$11,P60=$S$11,$Q$12=P60),VLOOKUP(P60,$P$30:$S$41,4),MAX(IF(Main!$AN$10=4,VLOOKUP(S59,$W$2:$Y$7,R60),VLOOKUP(S59,$W$8:$Z$92,R60)),T60)))</f>
        <v>55410</v>
      </c>
      <c r="T60" s="124">
        <f t="shared" si="17"/>
        <v>0</v>
      </c>
      <c r="U60" s="123"/>
      <c r="V60" s="123"/>
      <c r="W60" s="3">
        <f>IF(Main!$C$26="UGC",SUM(I59,CEILING(I59*3%,10)),AB60)</f>
        <v>55410</v>
      </c>
      <c r="X60" s="3">
        <f t="shared" si="13"/>
        <v>56870</v>
      </c>
      <c r="Y60" s="3">
        <f t="shared" si="13"/>
        <v>58330</v>
      </c>
      <c r="Z60" s="3">
        <f t="shared" si="13"/>
        <v>59890</v>
      </c>
      <c r="AB60" s="34">
        <v>55410</v>
      </c>
      <c r="AM60" s="149"/>
      <c r="AN60" s="130"/>
      <c r="AO60" s="128"/>
      <c r="AP60" s="128"/>
      <c r="AQ60" s="151"/>
      <c r="AR60" s="124"/>
      <c r="AS60" s="123"/>
      <c r="AT60" s="123"/>
      <c r="AU60" s="3"/>
      <c r="AV60" s="3"/>
      <c r="AW60" s="3"/>
      <c r="AX60" s="3"/>
    </row>
    <row r="61" spans="1:50" ht="21.95" customHeight="1">
      <c r="A61" s="149">
        <f t="shared" si="20"/>
        <v>42461</v>
      </c>
      <c r="B61" s="130">
        <f>MIN(IF(AND(Main!AN16=4,$C$12&gt;B60),$C$12,IF(AND($A$16&gt;B60,$A$16&lt;MIN($C$11,$E$11)),$A$16,$C$9)),IF(AND($A$17&gt;B60,$A$17&lt;MIN($C$11,$E$11)),$A$17,$C$9),IF(AND($A$18&gt;B60,$A$18&lt;MIN($C$11,$E$11)),$A$18,$C$9),IF(AND($A$20&gt;B60,$A$20&gt;$C$11),$A$20,$C$9),IF(AND($A$21&gt;B60,$A$21&gt;$C$11),$A$21,$C$9),IF(AND($A$25&gt;B60,$A$25&gt;$E$11),$A$25,$C$9),IF(AND($A$26&gt;B60,$A$26&gt;$E$11),$A$26,$C$9),IF($C$11&gt;B60,$C$11,$C$9),IF($C$12&gt;B60,$C$12,$C$9),IF($E$11&gt;B60,$E$11,$C$9),IF($E$12&gt;B60,$E$12,$C$9),IF($C$13&gt;B60,$C$13,$C$9),IF($E$13&gt;B60,$E$13,$C$9))</f>
        <v>42461</v>
      </c>
      <c r="C61" s="128">
        <f t="shared" si="21"/>
        <v>55410</v>
      </c>
      <c r="D61" s="128">
        <f t="shared" si="22"/>
        <v>1</v>
      </c>
      <c r="E61" s="151">
        <f>IF(AND(Main!$AN$10=5,B61=$G$12),$F$12,IF(OR(B61=$C$11,B61=$E$11,$C$12=B61),VLOOKUP(B61,$B$30:$E$41,4),MAX(IF(Main!$AN$10=4,VLOOKUP(E60,$I$2:$K$7,D61),VLOOKUP(E60,$I$8:$L$92,D61)),F61)))</f>
        <v>55410</v>
      </c>
      <c r="F61" s="124">
        <f t="shared" si="23"/>
        <v>0</v>
      </c>
      <c r="G61" s="123"/>
      <c r="H61" s="123"/>
      <c r="I61" s="3">
        <f>IF(Main!$C$26="UGC",SUM(I60,CEILING(I60*3%,10)),AB61)</f>
        <v>56870</v>
      </c>
      <c r="J61" s="3">
        <f t="shared" si="14"/>
        <v>58330</v>
      </c>
      <c r="K61" s="3">
        <f t="shared" si="14"/>
        <v>59890</v>
      </c>
      <c r="L61" s="3">
        <f t="shared" si="14"/>
        <v>61450</v>
      </c>
      <c r="O61" s="149">
        <f t="shared" si="18"/>
        <v>42461</v>
      </c>
      <c r="P61" s="130">
        <f>MIN(IF(AND(Main!AN16=4,$Q$12&gt;P60),$Q$12,IF(AND($O$16&gt;P60,$O$16&lt;MIN($Q$11,$S$11)),$O$16,$Q$9)),IF(AND($O$17&gt;P60,$O$17&lt;MIN($Q$11,$S$11)),$O$17,$Q$9),IF(AND($O$18&gt;P60,$O$18&lt;MIN($Q$11,$S$11)),$O$18,$Q$9),IF(AND($O$20&gt;P60,$O$20&gt;$Q$11),$O$20,$Q$9),IF(AND($O$21&gt;P60,$O$21&gt;$Q$11),$O$21,$Q$9),IF(AND($O$25&gt;P60,$O$25&gt;$S$11),$O$25,$Q$9),IF(AND($O$26&gt;P60,$O$26&gt;$S$11),$O$26,$Q$9),IF($Q$11&gt;P60,$Q$11,$Q$9),IF($Q$12&gt;P60,$Q$12,$Q$9),IF($S$11&gt;P60,$S$11,$Q$9),IF($S$12&gt;P60,$S$12,$Q$9),IF($Q$13&gt;P60,$Q$13,$Q$9),IF($S$13&gt;P60,$S$13,$Q$9))</f>
        <v>42461</v>
      </c>
      <c r="Q61" s="128">
        <f t="shared" si="19"/>
        <v>55410</v>
      </c>
      <c r="R61" s="128">
        <f t="shared" si="24"/>
        <v>1</v>
      </c>
      <c r="S61" s="151">
        <f>IF(AND(Main!$AN$10=5,P61=$U$12),$T$12,IF(OR(P61=$Q$11,P61=$S$11,$Q$12=P61),VLOOKUP(P61,$P$30:$S$41,4),MAX(IF(Main!$AN$10=4,VLOOKUP(S60,$W$2:$Y$7,R61),VLOOKUP(S60,$W$8:$Z$92,R61)),T61)))</f>
        <v>55410</v>
      </c>
      <c r="T61" s="124">
        <f t="shared" si="17"/>
        <v>0</v>
      </c>
      <c r="U61" s="123"/>
      <c r="V61" s="123"/>
      <c r="W61" s="3">
        <f>IF(Main!$C$26="UGC",SUM(I60,CEILING(I60*3%,10)),AB61)</f>
        <v>56870</v>
      </c>
      <c r="X61" s="3">
        <f t="shared" si="13"/>
        <v>58330</v>
      </c>
      <c r="Y61" s="3">
        <f t="shared" si="13"/>
        <v>59890</v>
      </c>
      <c r="Z61" s="3">
        <f t="shared" si="13"/>
        <v>61450</v>
      </c>
      <c r="AB61" s="34">
        <v>56870</v>
      </c>
      <c r="AM61" s="149"/>
      <c r="AN61" s="130"/>
      <c r="AO61" s="128"/>
      <c r="AP61" s="128"/>
      <c r="AQ61" s="151"/>
      <c r="AR61" s="124"/>
      <c r="AS61" s="123"/>
      <c r="AT61" s="123"/>
      <c r="AU61" s="3"/>
      <c r="AV61" s="3"/>
      <c r="AW61" s="3"/>
      <c r="AX61" s="3"/>
    </row>
    <row r="62" spans="1:50" ht="21.95" customHeight="1">
      <c r="A62" s="149">
        <f t="shared" si="20"/>
        <v>42461</v>
      </c>
      <c r="B62" s="130">
        <f>MIN(IF(AND(Main!AN17=4,$C$12&gt;B61),$C$12,IF(AND($A$16&gt;B61,$A$16&lt;MIN($C$11,$E$11)),$A$16,$C$9)),IF(AND($A$17&gt;B61,$A$17&lt;MIN($C$11,$E$11)),$A$17,$C$9),IF(AND($A$18&gt;B61,$A$18&lt;MIN($C$11,$E$11)),$A$18,$C$9),IF(AND($A$20&gt;B61,$A$20&gt;$C$11),$A$20,$C$9),IF(AND($A$21&gt;B61,$A$21&gt;$C$11),$A$21,$C$9),IF(AND($A$25&gt;B61,$A$25&gt;$E$11),$A$25,$C$9),IF(AND($A$26&gt;B61,$A$26&gt;$E$11),$A$26,$C$9),IF($C$11&gt;B61,$C$11,$C$9),IF($C$12&gt;B61,$C$12,$C$9),IF($E$11&gt;B61,$E$11,$C$9),IF($E$12&gt;B61,$E$12,$C$9),IF($C$13&gt;B61,$C$13,$C$9),IF($E$13&gt;B61,$E$13,$C$9))</f>
        <v>42461</v>
      </c>
      <c r="C62" s="128">
        <f t="shared" si="21"/>
        <v>55410</v>
      </c>
      <c r="D62" s="128">
        <f t="shared" si="22"/>
        <v>1</v>
      </c>
      <c r="E62" s="151">
        <f>IF(AND(Main!$AN$10=5,B62=$G$12),$F$12,IF(OR(B62=$C$11,B62=$E$11,$C$12=B62),VLOOKUP(B62,$B$30:$E$41,4),MAX(IF(Main!$AN$10=4,VLOOKUP(E61,$I$2:$K$7,D62),VLOOKUP(E61,$I$8:$L$92,D62)),F62)))</f>
        <v>55410</v>
      </c>
      <c r="F62" s="124">
        <f t="shared" si="23"/>
        <v>0</v>
      </c>
      <c r="G62" s="123"/>
      <c r="H62" s="123"/>
      <c r="I62" s="3">
        <f>IF(Main!$C$26="UGC",SUM(I61,CEILING(I61*3%,10)),AB62)</f>
        <v>58330</v>
      </c>
      <c r="J62" s="3">
        <f t="shared" si="14"/>
        <v>59890</v>
      </c>
      <c r="K62" s="3">
        <f t="shared" si="14"/>
        <v>61450</v>
      </c>
      <c r="L62" s="3">
        <f t="shared" si="14"/>
        <v>63010</v>
      </c>
      <c r="O62" s="149">
        <f t="shared" si="18"/>
        <v>42461</v>
      </c>
      <c r="P62" s="130">
        <f>MIN(IF(AND(Main!AN17=4,$Q$12&gt;P61),$Q$12,IF(AND($O$16&gt;P61,$O$16&lt;MIN($Q$11,$S$11)),$O$16,$Q$9)),IF(AND($O$17&gt;P61,$O$17&lt;MIN($Q$11,$S$11)),$O$17,$Q$9),IF(AND($O$18&gt;P61,$O$18&lt;MIN($Q$11,$S$11)),$O$18,$Q$9),IF(AND($O$20&gt;P61,$O$20&gt;$Q$11),$O$20,$Q$9),IF(AND($O$21&gt;P61,$O$21&gt;$Q$11),$O$21,$Q$9),IF(AND($O$25&gt;P61,$O$25&gt;$S$11),$O$25,$Q$9),IF(AND($O$26&gt;P61,$O$26&gt;$S$11),$O$26,$Q$9),IF($Q$11&gt;P61,$Q$11,$Q$9),IF($Q$12&gt;P61,$Q$12,$Q$9),IF($S$11&gt;P61,$S$11,$Q$9),IF($S$12&gt;P61,$S$12,$Q$9),IF($Q$13&gt;P61,$Q$13,$Q$9),IF($S$13&gt;P61,$S$13,$Q$9))</f>
        <v>42461</v>
      </c>
      <c r="Q62" s="128">
        <f t="shared" si="19"/>
        <v>55410</v>
      </c>
      <c r="R62" s="128">
        <f t="shared" si="24"/>
        <v>1</v>
      </c>
      <c r="S62" s="151">
        <f>IF(AND(Main!$AN$10=5,P62=$U$12),$T$12,IF(OR(P62=$Q$11,P62=$S$11,$Q$12=P62),VLOOKUP(P62,$P$30:$S$41,4),MAX(IF(Main!$AN$10=4,VLOOKUP(S61,$W$2:$Y$7,R62),VLOOKUP(S61,$W$8:$Z$92,R62)),T62)))</f>
        <v>55410</v>
      </c>
      <c r="T62" s="124">
        <f t="shared" si="17"/>
        <v>0</v>
      </c>
      <c r="U62" s="123"/>
      <c r="V62" s="123"/>
      <c r="W62" s="3">
        <f>IF(Main!$C$26="UGC",SUM(I61,CEILING(I61*3%,10)),AB62)</f>
        <v>58330</v>
      </c>
      <c r="X62" s="3">
        <f t="shared" si="13"/>
        <v>59890</v>
      </c>
      <c r="Y62" s="3">
        <f t="shared" si="13"/>
        <v>61450</v>
      </c>
      <c r="Z62" s="3">
        <f t="shared" si="13"/>
        <v>63010</v>
      </c>
      <c r="AB62" s="34">
        <v>58330</v>
      </c>
      <c r="AM62" s="149"/>
      <c r="AN62" s="130"/>
      <c r="AO62" s="128"/>
      <c r="AP62" s="128"/>
      <c r="AQ62" s="151"/>
      <c r="AR62" s="124"/>
      <c r="AS62" s="123"/>
      <c r="AT62" s="123"/>
      <c r="AU62" s="3"/>
      <c r="AV62" s="3"/>
      <c r="AW62" s="3"/>
      <c r="AX62" s="3"/>
    </row>
    <row r="63" spans="1:50" ht="21.95" customHeight="1">
      <c r="A63" s="149">
        <f t="shared" si="20"/>
        <v>42461</v>
      </c>
      <c r="B63" s="130">
        <f>MIN(IF(AND(Main!AN18=4,$C$12&gt;B62),$C$12,IF(AND($A$16&gt;B62,$A$16&lt;MIN($C$11,$E$11)),$A$16,$C$9)),IF(AND($A$17&gt;B62,$A$17&lt;MIN($C$11,$E$11)),$A$17,$C$9),IF(AND($A$18&gt;B62,$A$18&lt;MIN($C$11,$E$11)),$A$18,$C$9),IF(AND($A$20&gt;B62,$A$20&gt;$C$11),$A$20,$C$9),IF(AND($A$21&gt;B62,$A$21&gt;$C$11),$A$21,$C$9),IF(AND($A$25&gt;B62,$A$25&gt;$E$11),$A$25,$C$9),IF(AND($A$26&gt;B62,$A$26&gt;$E$11),$A$26,$C$9),IF($C$11&gt;B62,$C$11,$C$9),IF($C$12&gt;B62,$C$12,$C$9),IF($E$11&gt;B62,$E$11,$C$9),IF($E$12&gt;B62,$E$12,$C$9),IF($C$13&gt;B62,$C$13,$C$9),IF($E$13&gt;B62,$E$13,$C$9))</f>
        <v>42461</v>
      </c>
      <c r="C63" s="128">
        <f t="shared" si="21"/>
        <v>55410</v>
      </c>
      <c r="D63" s="128">
        <f t="shared" si="22"/>
        <v>1</v>
      </c>
      <c r="E63" s="151">
        <f>IF(AND(Main!$AN$10=5,B63=$G$12),$F$12,IF(OR(B63=$C$11,B63=$E$11,$C$12=B63),VLOOKUP(B63,$B$30:$E$41,4),MAX(IF(Main!$AN$10=4,VLOOKUP(E62,$I$2:$K$7,D63),VLOOKUP(E62,$I$8:$L$92,D63)),F63)))</f>
        <v>55410</v>
      </c>
      <c r="F63" s="124">
        <f t="shared" si="23"/>
        <v>0</v>
      </c>
      <c r="G63" s="123"/>
      <c r="H63" s="123"/>
      <c r="I63" s="3">
        <f>IF(Main!$C$26="UGC",SUM(I62,CEILING(I62*3%,10)),AB63)</f>
        <v>59890</v>
      </c>
      <c r="J63" s="3">
        <f t="shared" si="14"/>
        <v>61450</v>
      </c>
      <c r="K63" s="3">
        <f t="shared" si="14"/>
        <v>63010</v>
      </c>
      <c r="L63" s="3">
        <f t="shared" si="14"/>
        <v>64670</v>
      </c>
      <c r="O63" s="149">
        <f t="shared" si="18"/>
        <v>42461</v>
      </c>
      <c r="P63" s="130">
        <f>MIN(IF(AND(Main!AN18=4,$Q$12&gt;P62),$Q$12,IF(AND($O$16&gt;P62,$O$16&lt;MIN($Q$11,$S$11)),$O$16,$Q$9)),IF(AND($O$17&gt;P62,$O$17&lt;MIN($Q$11,$S$11)),$O$17,$Q$9),IF(AND($O$18&gt;P62,$O$18&lt;MIN($Q$11,$S$11)),$O$18,$Q$9),IF(AND($O$20&gt;P62,$O$20&gt;$Q$11),$O$20,$Q$9),IF(AND($O$21&gt;P62,$O$21&gt;$Q$11),$O$21,$Q$9),IF(AND($O$25&gt;P62,$O$25&gt;$S$11),$O$25,$Q$9),IF(AND($O$26&gt;P62,$O$26&gt;$S$11),$O$26,$Q$9),IF($Q$11&gt;P62,$Q$11,$Q$9),IF($Q$12&gt;P62,$Q$12,$Q$9),IF($S$11&gt;P62,$S$11,$Q$9),IF($S$12&gt;P62,$S$12,$Q$9),IF($Q$13&gt;P62,$Q$13,$Q$9),IF($S$13&gt;P62,$S$13,$Q$9))</f>
        <v>42461</v>
      </c>
      <c r="Q63" s="128">
        <f t="shared" si="19"/>
        <v>55410</v>
      </c>
      <c r="R63" s="128">
        <f t="shared" si="24"/>
        <v>1</v>
      </c>
      <c r="S63" s="151">
        <f>IF(AND(Main!$AN$10=5,P63=$U$12),$T$12,IF(OR(P63=$Q$11,P63=$S$11,$Q$12=P63),VLOOKUP(P63,$P$30:$S$41,4),MAX(IF(Main!$AN$10=4,VLOOKUP(S62,$W$2:$Y$7,R63),VLOOKUP(S62,$W$8:$Z$92,R63)),T63)))</f>
        <v>55410</v>
      </c>
      <c r="T63" s="124">
        <f t="shared" si="17"/>
        <v>0</v>
      </c>
      <c r="U63" s="123"/>
      <c r="V63" s="123"/>
      <c r="W63" s="3">
        <f>IF(Main!$C$26="UGC",SUM(I62,CEILING(I62*3%,10)),AB63)</f>
        <v>59890</v>
      </c>
      <c r="X63" s="3">
        <f t="shared" si="13"/>
        <v>61450</v>
      </c>
      <c r="Y63" s="3">
        <f t="shared" si="13"/>
        <v>63010</v>
      </c>
      <c r="Z63" s="3">
        <f t="shared" si="13"/>
        <v>64670</v>
      </c>
      <c r="AB63" s="34">
        <v>59890</v>
      </c>
      <c r="AM63" s="149"/>
      <c r="AN63" s="130"/>
      <c r="AO63" s="128"/>
      <c r="AP63" s="128"/>
      <c r="AQ63" s="151"/>
      <c r="AR63" s="124"/>
      <c r="AS63" s="123"/>
      <c r="AT63" s="123"/>
      <c r="AU63" s="3"/>
      <c r="AV63" s="3"/>
      <c r="AW63" s="3"/>
      <c r="AX63" s="3"/>
    </row>
    <row r="64" spans="1:50" ht="21.95" customHeight="1">
      <c r="A64" s="149">
        <f t="shared" si="20"/>
        <v>42461</v>
      </c>
      <c r="B64" s="130">
        <f>MIN(IF(AND(Main!AN19=4,$C$12&gt;B63),$C$12,IF(AND($A$16&gt;B63,$A$16&lt;MIN($C$11,$E$11)),$A$16,$C$9)),IF(AND($A$17&gt;B63,$A$17&lt;MIN($C$11,$E$11)),$A$17,$C$9),IF(AND($A$18&gt;B63,$A$18&lt;MIN($C$11,$E$11)),$A$18,$C$9),IF(AND($A$20&gt;B63,$A$20&gt;$C$11),$A$20,$C$9),IF(AND($A$21&gt;B63,$A$21&gt;$C$11),$A$21,$C$9),IF(AND($A$25&gt;B63,$A$25&gt;$E$11),$A$25,$C$9),IF(AND($A$26&gt;B63,$A$26&gt;$E$11),$A$26,$C$9),IF($C$11&gt;B63,$C$11,$C$9),IF($C$12&gt;B63,$C$12,$C$9),IF($E$11&gt;B63,$E$11,$C$9),IF($E$12&gt;B63,$E$12,$C$9),IF($C$13&gt;B63,$C$13,$C$9),IF($E$13&gt;B63,$E$13,$C$9))</f>
        <v>42461</v>
      </c>
      <c r="C64" s="128">
        <f t="shared" si="21"/>
        <v>55410</v>
      </c>
      <c r="D64" s="128">
        <f t="shared" si="22"/>
        <v>1</v>
      </c>
      <c r="E64" s="151">
        <f>IF(AND(Main!$AN$10=5,B64=$G$12),$F$12,IF(OR(B64=$C$11,B64=$E$11,$C$12=B64),VLOOKUP(B64,$B$30:$E$41,4),MAX(IF(Main!$AN$10=4,VLOOKUP(E63,$I$2:$K$7,D64),VLOOKUP(E63,$I$8:$L$92,D64)),F64)))</f>
        <v>55410</v>
      </c>
      <c r="F64" s="124">
        <f t="shared" si="23"/>
        <v>0</v>
      </c>
      <c r="G64" s="123"/>
      <c r="H64" s="123"/>
      <c r="I64" s="3">
        <f>IF(Main!$C$26="UGC",SUM(I63,CEILING(I63*3%,10)),AB64)</f>
        <v>61450</v>
      </c>
      <c r="J64" s="3">
        <f t="shared" si="14"/>
        <v>63010</v>
      </c>
      <c r="K64" s="3">
        <f t="shared" si="14"/>
        <v>64670</v>
      </c>
      <c r="L64" s="3">
        <f t="shared" si="14"/>
        <v>66330</v>
      </c>
      <c r="O64" s="149">
        <f t="shared" si="18"/>
        <v>42461</v>
      </c>
      <c r="P64" s="130">
        <f>MIN(IF(AND(Main!AN19=4,$Q$12&gt;P63),$Q$12,IF(AND($O$16&gt;P63,$O$16&lt;MIN($Q$11,$S$11)),$O$16,$Q$9)),IF(AND($O$17&gt;P63,$O$17&lt;MIN($Q$11,$S$11)),$O$17,$Q$9),IF(AND($O$18&gt;P63,$O$18&lt;MIN($Q$11,$S$11)),$O$18,$Q$9),IF(AND($O$20&gt;P63,$O$20&gt;$Q$11),$O$20,$Q$9),IF(AND($O$21&gt;P63,$O$21&gt;$Q$11),$O$21,$Q$9),IF(AND($O$25&gt;P63,$O$25&gt;$S$11),$O$25,$Q$9),IF(AND($O$26&gt;P63,$O$26&gt;$S$11),$O$26,$Q$9),IF($Q$11&gt;P63,$Q$11,$Q$9),IF($Q$12&gt;P63,$Q$12,$Q$9),IF($S$11&gt;P63,$S$11,$Q$9),IF($S$12&gt;P63,$S$12,$Q$9),IF($Q$13&gt;P63,$Q$13,$Q$9),IF($S$13&gt;P63,$S$13,$Q$9))</f>
        <v>42461</v>
      </c>
      <c r="Q64" s="128">
        <f t="shared" si="19"/>
        <v>55410</v>
      </c>
      <c r="R64" s="128">
        <f t="shared" si="24"/>
        <v>1</v>
      </c>
      <c r="S64" s="151">
        <f>IF(AND(Main!$AN$10=5,P64=$U$12),$T$12,IF(OR(P64=$Q$11,P64=$S$11,$Q$12=P64),VLOOKUP(P64,$P$30:$S$41,4),MAX(IF(Main!$AN$10=4,VLOOKUP(S63,$W$2:$Y$7,R64),VLOOKUP(S63,$W$8:$Z$92,R64)),T64)))</f>
        <v>55410</v>
      </c>
      <c r="T64" s="124">
        <f t="shared" si="17"/>
        <v>0</v>
      </c>
      <c r="U64" s="123"/>
      <c r="V64" s="123"/>
      <c r="W64" s="3">
        <f>IF(Main!$C$26="UGC",SUM(I63,CEILING(I63*3%,10)),AB64)</f>
        <v>61450</v>
      </c>
      <c r="X64" s="3">
        <f t="shared" si="13"/>
        <v>63010</v>
      </c>
      <c r="Y64" s="3">
        <f t="shared" si="13"/>
        <v>64670</v>
      </c>
      <c r="Z64" s="3">
        <f t="shared" si="13"/>
        <v>66330</v>
      </c>
      <c r="AB64" s="34">
        <v>61450</v>
      </c>
      <c r="AM64" s="149"/>
      <c r="AN64" s="130"/>
      <c r="AO64" s="128"/>
      <c r="AP64" s="128"/>
      <c r="AQ64" s="151"/>
      <c r="AR64" s="124"/>
      <c r="AS64" s="123"/>
      <c r="AT64" s="123"/>
      <c r="AU64" s="3"/>
      <c r="AV64" s="3"/>
      <c r="AW64" s="3"/>
      <c r="AX64" s="3"/>
    </row>
    <row r="65" spans="1:50" ht="21.95" customHeight="1">
      <c r="A65" s="149">
        <f t="shared" si="20"/>
        <v>42461</v>
      </c>
      <c r="B65" s="130">
        <f>MIN(IF(AND(Main!AN20=4,$C$12&gt;B64),$C$12,IF(AND($A$16&gt;B64,$A$16&lt;MIN($C$11,$E$11)),$A$16,$C$9)),IF(AND($A$17&gt;B64,$A$17&lt;MIN($C$11,$E$11)),$A$17,$C$9),IF(AND($A$18&gt;B64,$A$18&lt;MIN($C$11,$E$11)),$A$18,$C$9),IF(AND($A$20&gt;B64,$A$20&gt;$C$11),$A$20,$C$9),IF(AND($A$21&gt;B64,$A$21&gt;$C$11),$A$21,$C$9),IF(AND($A$25&gt;B64,$A$25&gt;$E$11),$A$25,$C$9),IF(AND($A$26&gt;B64,$A$26&gt;$E$11),$A$26,$C$9),IF($C$11&gt;B64,$C$11,$C$9),IF($C$12&gt;B64,$C$12,$C$9),IF($E$11&gt;B64,$E$11,$C$9),IF($E$12&gt;B64,$E$12,$C$9),IF($C$13&gt;B64,$C$13,$C$9),IF($E$13&gt;B64,$E$13,$C$9))</f>
        <v>42461</v>
      </c>
      <c r="C65" s="128">
        <f t="shared" si="21"/>
        <v>55410</v>
      </c>
      <c r="D65" s="128">
        <f t="shared" si="22"/>
        <v>1</v>
      </c>
      <c r="E65" s="151">
        <f>IF(AND(Main!$AN$10=5,B65=$G$12),$F$12,IF(OR(B65=$C$11,B65=$E$11,$C$12=B65),VLOOKUP(B65,$B$30:$E$41,4),MAX(IF(Main!$AN$10=4,VLOOKUP(E64,$I$2:$K$7,D65),VLOOKUP(E64,$I$8:$L$92,D65)),F65)))</f>
        <v>55410</v>
      </c>
      <c r="F65" s="124">
        <f t="shared" si="23"/>
        <v>0</v>
      </c>
      <c r="G65" s="123"/>
      <c r="H65" s="123"/>
      <c r="I65" s="3">
        <f>IF(Main!$C$26="UGC",SUM(I64,CEILING(I64*3%,10)),AB65)</f>
        <v>63010</v>
      </c>
      <c r="J65" s="3">
        <f t="shared" si="14"/>
        <v>64670</v>
      </c>
      <c r="K65" s="3">
        <f t="shared" si="14"/>
        <v>66330</v>
      </c>
      <c r="L65" s="3">
        <f t="shared" si="14"/>
        <v>67990</v>
      </c>
      <c r="O65" s="149">
        <f t="shared" si="18"/>
        <v>42461</v>
      </c>
      <c r="P65" s="130">
        <f>MIN(IF(AND(Main!AN20=4,$Q$12&gt;P64),$Q$12,IF(AND($O$16&gt;P64,$O$16&lt;MIN($Q$11,$S$11)),$O$16,$Q$9)),IF(AND($O$17&gt;P64,$O$17&lt;MIN($Q$11,$S$11)),$O$17,$Q$9),IF(AND($O$18&gt;P64,$O$18&lt;MIN($Q$11,$S$11)),$O$18,$Q$9),IF(AND($O$20&gt;P64,$O$20&gt;$Q$11),$O$20,$Q$9),IF(AND($O$21&gt;P64,$O$21&gt;$Q$11),$O$21,$Q$9),IF(AND($O$25&gt;P64,$O$25&gt;$S$11),$O$25,$Q$9),IF(AND($O$26&gt;P64,$O$26&gt;$S$11),$O$26,$Q$9),IF($Q$11&gt;P64,$Q$11,$Q$9),IF($Q$12&gt;P64,$Q$12,$Q$9),IF($S$11&gt;P64,$S$11,$Q$9),IF($S$12&gt;P64,$S$12,$Q$9),IF($Q$13&gt;P64,$Q$13,$Q$9),IF($S$13&gt;P64,$S$13,$Q$9))</f>
        <v>42461</v>
      </c>
      <c r="Q65" s="128">
        <f t="shared" si="19"/>
        <v>55410</v>
      </c>
      <c r="R65" s="128">
        <f t="shared" si="24"/>
        <v>1</v>
      </c>
      <c r="S65" s="151">
        <f>IF(AND(Main!$AN$10=5,P65=$U$12),$T$12,IF(OR(P65=$Q$11,P65=$S$11,$Q$12=P65),VLOOKUP(P65,$P$30:$S$41,4),MAX(IF(Main!$AN$10=4,VLOOKUP(S64,$W$2:$Y$7,R65),VLOOKUP(S64,$W$8:$Z$92,R65)),T65)))</f>
        <v>55410</v>
      </c>
      <c r="T65" s="124">
        <f t="shared" si="17"/>
        <v>0</v>
      </c>
      <c r="U65" s="123"/>
      <c r="V65" s="123"/>
      <c r="W65" s="3">
        <f>IF(Main!$C$26="UGC",SUM(I64,CEILING(I64*3%,10)),AB65)</f>
        <v>63010</v>
      </c>
      <c r="X65" s="3">
        <f t="shared" si="13"/>
        <v>64670</v>
      </c>
      <c r="Y65" s="3">
        <f t="shared" si="13"/>
        <v>66330</v>
      </c>
      <c r="Z65" s="3">
        <f t="shared" si="13"/>
        <v>67990</v>
      </c>
      <c r="AB65" s="34">
        <v>63010</v>
      </c>
      <c r="AM65" s="149"/>
      <c r="AN65" s="130"/>
      <c r="AO65" s="128"/>
      <c r="AP65" s="128"/>
      <c r="AQ65" s="151"/>
      <c r="AR65" s="124"/>
      <c r="AS65" s="123"/>
      <c r="AT65" s="123"/>
      <c r="AU65" s="3"/>
      <c r="AV65" s="3"/>
      <c r="AW65" s="3"/>
      <c r="AX65" s="3"/>
    </row>
    <row r="66" spans="1:50" ht="21.95" customHeight="1">
      <c r="A66" s="123"/>
      <c r="B66" s="130"/>
      <c r="C66" s="128"/>
      <c r="D66" s="128"/>
      <c r="E66" s="185"/>
      <c r="F66" s="124"/>
      <c r="G66" s="123"/>
      <c r="H66" s="123"/>
      <c r="I66" s="3">
        <f>IF(Main!$C$26="UGC",SUM(I65,CEILING(I65*3%,10)),AB66)</f>
        <v>64670</v>
      </c>
      <c r="J66" s="3">
        <f t="shared" si="14"/>
        <v>66330</v>
      </c>
      <c r="K66" s="3">
        <f t="shared" si="14"/>
        <v>67990</v>
      </c>
      <c r="L66" s="3">
        <f t="shared" si="14"/>
        <v>69750</v>
      </c>
      <c r="O66" s="123"/>
      <c r="P66" s="130"/>
      <c r="Q66" s="128"/>
      <c r="R66" s="128"/>
      <c r="S66" s="185"/>
      <c r="T66" s="124"/>
      <c r="U66" s="123"/>
      <c r="V66" s="123"/>
      <c r="W66" s="3">
        <f>IF(Main!$C$26="UGC",SUM(I65,CEILING(I65*3%,10)),AB66)</f>
        <v>64670</v>
      </c>
      <c r="X66" s="3">
        <f t="shared" si="13"/>
        <v>66330</v>
      </c>
      <c r="Y66" s="3">
        <f t="shared" si="13"/>
        <v>67990</v>
      </c>
      <c r="Z66" s="3">
        <f t="shared" si="13"/>
        <v>69750</v>
      </c>
      <c r="AB66" s="34">
        <v>64670</v>
      </c>
      <c r="AM66" s="123"/>
      <c r="AN66" s="130"/>
      <c r="AO66" s="128"/>
      <c r="AP66" s="128"/>
      <c r="AQ66" s="185"/>
      <c r="AR66" s="124"/>
      <c r="AS66" s="123"/>
      <c r="AT66" s="123"/>
      <c r="AU66" s="3"/>
      <c r="AV66" s="3"/>
      <c r="AW66" s="3"/>
      <c r="AX66" s="3"/>
    </row>
    <row r="67" spans="1:50" ht="21.95" customHeight="1">
      <c r="A67" s="123"/>
      <c r="B67" s="130"/>
      <c r="C67" s="128"/>
      <c r="D67" s="128"/>
      <c r="E67" s="185"/>
      <c r="F67" s="124"/>
      <c r="G67" s="123"/>
      <c r="H67" s="123"/>
      <c r="I67" s="3">
        <f>IF(Main!$C$26="UGC",SUM(I66,CEILING(I66*3%,10)),AB67)</f>
        <v>66330</v>
      </c>
      <c r="J67" s="3">
        <f t="shared" si="14"/>
        <v>67990</v>
      </c>
      <c r="K67" s="3">
        <f t="shared" si="14"/>
        <v>69750</v>
      </c>
      <c r="L67" s="3">
        <f t="shared" si="14"/>
        <v>71510</v>
      </c>
      <c r="O67" s="123"/>
      <c r="P67" s="130"/>
      <c r="Q67" s="128"/>
      <c r="R67" s="128"/>
      <c r="S67" s="185"/>
      <c r="T67" s="124"/>
      <c r="U67" s="123"/>
      <c r="V67" s="123"/>
      <c r="W67" s="3">
        <f>IF(Main!$C$26="UGC",SUM(I66,CEILING(I66*3%,10)),AB67)</f>
        <v>66330</v>
      </c>
      <c r="X67" s="3">
        <f t="shared" si="13"/>
        <v>67990</v>
      </c>
      <c r="Y67" s="3">
        <f t="shared" si="13"/>
        <v>69750</v>
      </c>
      <c r="Z67" s="3">
        <f t="shared" si="13"/>
        <v>71510</v>
      </c>
      <c r="AB67" s="34">
        <v>66330</v>
      </c>
      <c r="AM67" s="123"/>
      <c r="AN67" s="130"/>
      <c r="AO67" s="128"/>
      <c r="AP67" s="128"/>
      <c r="AQ67" s="185"/>
      <c r="AR67" s="124"/>
      <c r="AS67" s="123"/>
      <c r="AT67" s="123"/>
      <c r="AU67" s="3"/>
      <c r="AV67" s="3"/>
      <c r="AW67" s="3"/>
      <c r="AX67" s="3"/>
    </row>
    <row r="68" spans="1:50" ht="21.95" customHeight="1">
      <c r="A68" s="123"/>
      <c r="B68" s="130"/>
      <c r="C68" s="128"/>
      <c r="D68" s="128"/>
      <c r="E68" s="123"/>
      <c r="F68" s="124"/>
      <c r="G68" s="123"/>
      <c r="H68" s="123"/>
      <c r="I68" s="3">
        <f>IF(Main!$C$26="UGC",SUM(I67,CEILING(I67*3%,10)),AB68)</f>
        <v>67990</v>
      </c>
      <c r="J68" s="3">
        <f t="shared" si="14"/>
        <v>69750</v>
      </c>
      <c r="K68" s="3">
        <f t="shared" si="14"/>
        <v>71510</v>
      </c>
      <c r="L68" s="3">
        <f t="shared" si="14"/>
        <v>73270</v>
      </c>
      <c r="O68" s="123"/>
      <c r="P68" s="130"/>
      <c r="Q68" s="128"/>
      <c r="R68" s="128"/>
      <c r="S68" s="123">
        <f>VLOOKUP(R69,P70:S81,4)</f>
        <v>53950</v>
      </c>
      <c r="T68" s="124"/>
      <c r="U68" s="123"/>
      <c r="V68" s="123"/>
      <c r="W68" s="3">
        <f>IF(Main!$C$26="UGC",SUM(I67,CEILING(I67*3%,10)),AB68)</f>
        <v>67990</v>
      </c>
      <c r="X68" s="3">
        <f t="shared" si="13"/>
        <v>69750</v>
      </c>
      <c r="Y68" s="3">
        <f t="shared" si="13"/>
        <v>71510</v>
      </c>
      <c r="Z68" s="3">
        <f t="shared" si="13"/>
        <v>73270</v>
      </c>
      <c r="AB68" s="34">
        <v>67990</v>
      </c>
      <c r="AM68" s="123"/>
      <c r="AN68" s="130"/>
      <c r="AO68" s="128"/>
      <c r="AP68" s="128"/>
      <c r="AQ68" s="123"/>
      <c r="AR68" s="124"/>
      <c r="AS68" s="123"/>
      <c r="AT68" s="123"/>
      <c r="AU68" s="3"/>
      <c r="AV68" s="3"/>
      <c r="AW68" s="3"/>
      <c r="AX68" s="3"/>
    </row>
    <row r="69" spans="1:50" ht="21.95" customHeight="1">
      <c r="A69" s="149"/>
      <c r="B69" s="123"/>
      <c r="C69" s="123" t="s">
        <v>1532</v>
      </c>
      <c r="D69" s="149">
        <f>D53</f>
        <v>42005</v>
      </c>
      <c r="E69" s="184">
        <f>VLOOKUP(D69,B54:E65,4)</f>
        <v>53950</v>
      </c>
      <c r="F69" s="123" t="s">
        <v>1558</v>
      </c>
      <c r="G69" s="123"/>
      <c r="H69" s="123"/>
      <c r="I69" s="3">
        <f>IF(Main!$C$26="UGC",SUM(I68,CEILING(I68*3%,10)),AB69)</f>
        <v>69750</v>
      </c>
      <c r="J69" s="3">
        <f t="shared" si="14"/>
        <v>71510</v>
      </c>
      <c r="K69" s="3">
        <f t="shared" si="14"/>
        <v>73270</v>
      </c>
      <c r="L69" s="3">
        <f t="shared" si="14"/>
        <v>75150</v>
      </c>
      <c r="O69" s="149"/>
      <c r="P69" s="123"/>
      <c r="Q69" s="123" t="s">
        <v>1532</v>
      </c>
      <c r="R69" s="149">
        <f>U14</f>
        <v>42005</v>
      </c>
      <c r="S69" s="184">
        <f>VLOOKUP(R69,P46:Q57,2)</f>
        <v>53950</v>
      </c>
      <c r="T69" s="123" t="s">
        <v>1558</v>
      </c>
      <c r="U69" s="123"/>
      <c r="V69" s="123"/>
      <c r="W69" s="3">
        <f>IF(Main!$C$26="UGC",SUM(I68,CEILING(I68*3%,10)),AB69)</f>
        <v>69750</v>
      </c>
      <c r="X69" s="3">
        <f t="shared" si="13"/>
        <v>71510</v>
      </c>
      <c r="Y69" s="3">
        <f t="shared" si="13"/>
        <v>73270</v>
      </c>
      <c r="Z69" s="3">
        <f t="shared" si="13"/>
        <v>75150</v>
      </c>
      <c r="AB69" s="34">
        <v>69750</v>
      </c>
      <c r="AM69" s="149"/>
      <c r="AN69" s="123"/>
      <c r="AO69" s="123"/>
      <c r="AP69" s="149"/>
      <c r="AQ69" s="184"/>
      <c r="AR69" s="123"/>
      <c r="AS69" s="123"/>
      <c r="AT69" s="123"/>
      <c r="AU69" s="3"/>
      <c r="AV69" s="3"/>
      <c r="AW69" s="3"/>
      <c r="AX69" s="3"/>
    </row>
    <row r="70" spans="1:50" ht="21.95" customHeight="1">
      <c r="A70" s="123"/>
      <c r="B70" s="133">
        <f>D69</f>
        <v>42005</v>
      </c>
      <c r="C70" s="128">
        <f>E52</f>
        <v>53950</v>
      </c>
      <c r="D70" s="124"/>
      <c r="E70" s="151">
        <f>C70</f>
        <v>53950</v>
      </c>
      <c r="F70" s="124">
        <f>IF(B70&gt;=$E$11,$G$22,IF(B70&gt;=$C$11,$G$19,0))</f>
        <v>0</v>
      </c>
      <c r="G70" s="123"/>
      <c r="H70" s="123"/>
      <c r="I70" s="3">
        <f>IF(Main!$C$26="UGC",SUM(I69,CEILING(I69*3%,10)),AB70)</f>
        <v>71510</v>
      </c>
      <c r="J70" s="3">
        <f t="shared" si="14"/>
        <v>73270</v>
      </c>
      <c r="K70" s="3">
        <f t="shared" si="14"/>
        <v>75150</v>
      </c>
      <c r="L70" s="3">
        <f t="shared" si="14"/>
        <v>77030</v>
      </c>
      <c r="O70" s="123"/>
      <c r="P70" s="133">
        <f>R69</f>
        <v>42005</v>
      </c>
      <c r="Q70" s="128">
        <f>S52</f>
        <v>53950</v>
      </c>
      <c r="R70" s="124"/>
      <c r="S70" s="151">
        <f>Q70</f>
        <v>53950</v>
      </c>
      <c r="T70" s="124">
        <f t="shared" ref="T70:T89" si="25">IF(P70&gt;=$S$11,$U$22,IF(P70&gt;=$Q$11,$U$19,0))</f>
        <v>0</v>
      </c>
      <c r="U70" s="123"/>
      <c r="V70" s="123"/>
      <c r="W70" s="3">
        <f>IF(Main!$C$26="UGC",SUM(I69,CEILING(I69*3%,10)),AB70)</f>
        <v>71510</v>
      </c>
      <c r="X70" s="3">
        <f t="shared" si="13"/>
        <v>73270</v>
      </c>
      <c r="Y70" s="3">
        <f t="shared" si="13"/>
        <v>75150</v>
      </c>
      <c r="Z70" s="3">
        <f t="shared" si="13"/>
        <v>77030</v>
      </c>
      <c r="AB70" s="34">
        <v>71510</v>
      </c>
      <c r="AM70" s="123"/>
      <c r="AN70" s="133"/>
      <c r="AO70" s="128"/>
      <c r="AP70" s="124"/>
      <c r="AQ70" s="151"/>
      <c r="AR70" s="124"/>
      <c r="AS70" s="123"/>
      <c r="AT70" s="123"/>
      <c r="AU70" s="3"/>
      <c r="AV70" s="3"/>
      <c r="AW70" s="3"/>
      <c r="AX70" s="3"/>
    </row>
    <row r="71" spans="1:50" ht="21.95" customHeight="1">
      <c r="A71" s="133">
        <f>B70</f>
        <v>42005</v>
      </c>
      <c r="B71" s="130">
        <f>MIN(IF(AND(Main!AN26=4,$C$12&gt;B70),$C$12,IF(AND($A$16&gt;B70,$A$16&lt;MIN($C$11,$E$11)),$A$16,$C$9)),IF(AND($A$17&gt;B70,$A$17&lt;MIN($C$11,$E$11)),$A$17,$C$9),IF(AND($A$18&gt;B70,$A$18&lt;MIN($C$11,$E$11)),$A$18,$C$9),IF(AND($A$20&gt;B70,$A$20&gt;$C$11),$A$20,$C$9),IF(AND($A$21&gt;B70,$A$21&gt;$C$11),$A$21,$C$9),IF(AND($A$25&gt;B70,$A$25&gt;$E$11),$A$25,$C$9),IF(AND($A$26&gt;B70,$A$26&gt;$E$11),$A$26,$C$9),IF($C$11&gt;B70,$C$11,$C$9),IF($C$12&gt;B70,$C$12,$C$9),IF($E$11&gt;B70,$E$11,$C$9),IF($E$12&gt;B70,$E$12,$C$9),IF($C$13&gt;B70,$C$13,$C$9),IF($E$13&gt;B70,$E$13,$C$9))</f>
        <v>42248</v>
      </c>
      <c r="C71" s="128">
        <f>IF(B71=$B$26,$C$26,IF(B71=$B$25,$C$25,IF(B71=$B$24,$C$24,IF(B71=$B$23,$C$23,IF(B71=$B$21,$C$21,IF(B71=$B$20,$C$20,IF(B71=$B$19,$C$19,IF(B71=$B$18,$C$18,IF(B71=$B$17,$C$17,IF(B71=$B$16,$C$16,LOOKUP(B71,$B$30:$C$41)))))))))))</f>
        <v>55410</v>
      </c>
      <c r="D71" s="128">
        <f t="shared" ref="D71:D89" si="26">IF(AND(B71=$E$11,$B$24&gt;=$E$11),$D$24,IF(AND(B71=$E$11,$B$23&gt;=$E$11),$D$23,IF(B71=$C$11,$D$19,IF(ISNA(VLOOKUP(B71,$A$91:$B$95,1,FALSE)),1,LOOKUP(B71,$A$91:$B$95)))))</f>
        <v>2</v>
      </c>
      <c r="E71" s="151">
        <f>IF(AND(Main!AN26=5,B71=$G$12),$F$12,IF(OR(B71=$C$11,B71=$E$11,$C$12=B71),VLOOKUP(B71,$B$30:$E$41,4),MAX(IF(Main!$AN$10=4,VLOOKUP(E70,$I$2:$K$7,D71),VLOOKUP(E70,$I$8:$L$92,D71)),F71)))</f>
        <v>55410</v>
      </c>
      <c r="F71" s="124">
        <f>IF(B71&gt;=$E$11,$G$22,IF(B71&gt;=$C$11,$G$19,0))</f>
        <v>0</v>
      </c>
      <c r="G71" s="123"/>
      <c r="H71" s="123"/>
      <c r="I71" s="3">
        <f>IF(Main!$C$26="UGC",SUM(I70,CEILING(I70*3%,10)),AB71)</f>
        <v>73270</v>
      </c>
      <c r="J71" s="3">
        <f t="shared" si="14"/>
        <v>75150</v>
      </c>
      <c r="K71" s="3">
        <f t="shared" si="14"/>
        <v>77030</v>
      </c>
      <c r="L71" s="3">
        <f t="shared" si="14"/>
        <v>78910</v>
      </c>
      <c r="O71" s="133">
        <f t="shared" ref="O71:O89" si="27">P70</f>
        <v>42005</v>
      </c>
      <c r="P71" s="130">
        <f>MIN(IF(AND(Main!AN26=4,$Q$12&gt;P70),$Q$12,IF(AND($O$16&gt;P70,$O$16&lt;MIN($Q$11,$S$11)),$O$16,$Q$9)),IF(AND($O$17&gt;P70,$O$17&lt;MIN($Q$11,$S$11)),$O$17,$Q$9),IF(AND($O$18&gt;P70,$O$18&lt;MIN($Q$11,$S$11)),$O$18,$Q$9),IF(AND($O$20&gt;P70,$O$20&gt;$Q$11),$O$20,$Q$9),IF(AND($O$21&gt;P70,$O$21&gt;$Q$11),$O$21,$Q$9),IF(AND($O$25&gt;P70,$O$25&gt;$S$11),$O$25,$Q$9),IF(AND($O$26&gt;P70,$O$26&gt;$S$11),$O$26,$Q$9),IF($Q$11&gt;P70,$Q$11,$Q$9),IF($Q$12&gt;P70,$Q$12,$Q$9),IF($S$11&gt;P70,$S$11,$Q$9),IF($S$12&gt;P70,$S$12,$Q$9),IF($Q$13&gt;P70,$Q$13,$Q$9),IF($S$13&gt;P70,$S$13,$Q$9))</f>
        <v>42248</v>
      </c>
      <c r="Q71" s="128">
        <f t="shared" ref="Q71:Q89" si="28">IF(P71=$P$26,$Q$26,IF(P71=$P$25,$Q$25,IF(P71=$P$24,$Q$24,IF(P71=$P$23,$Q$23,IF(P71=$P$21,$Q$21,IF(P71=$P$20,$Q$20,IF(P71=$P$19,$Q$19,IF(P71=$P$18,$Q$18,IF(P71=$P$17,$Q$17,IF(P71=$P$16,$Q$16,LOOKUP(P71,$P$30:$Q$41)))))))))))</f>
        <v>55410</v>
      </c>
      <c r="R71" s="128">
        <f>IF(AND(P71=$S$11,$P$24&gt;=$S$11),$R$24,IF(AND(P71=$S$11,$P$23&gt;=$S$11),$R$23,IF(P71=$Q$11,$R$19,IF(ISNA(VLOOKUP(P71,$O$91:$P$95,1,FALSE)),1,LOOKUP(P71,$O$91:$P$95)))))</f>
        <v>2</v>
      </c>
      <c r="S71" s="151">
        <f>IF(AND(Main!$AN$10=5,P71=$U$12),$T$12,IF(OR(P71=$Q$11,P71=$S$11,$Q$12=P71),VLOOKUP(P71,$P$30:$S$41,4),MAX(IF(Main!$AN$10=4,VLOOKUP(S70,$W$2:$Y$7,R71),VLOOKUP(S70,$W$8:$Z$92,R71)),T71)))</f>
        <v>55410</v>
      </c>
      <c r="T71" s="124">
        <f t="shared" si="25"/>
        <v>0</v>
      </c>
      <c r="U71" s="123"/>
      <c r="V71" s="123"/>
      <c r="W71" s="3">
        <f>IF(Main!$C$26="UGC",SUM(I70,CEILING(I70*3%,10)),AB71)</f>
        <v>73270</v>
      </c>
      <c r="X71" s="3">
        <f t="shared" si="13"/>
        <v>75150</v>
      </c>
      <c r="Y71" s="3">
        <f t="shared" si="13"/>
        <v>77030</v>
      </c>
      <c r="Z71" s="3">
        <f t="shared" si="13"/>
        <v>78910</v>
      </c>
      <c r="AB71" s="34">
        <v>73270</v>
      </c>
      <c r="AM71" s="133"/>
      <c r="AN71" s="130"/>
      <c r="AO71" s="128"/>
      <c r="AP71" s="128"/>
      <c r="AQ71" s="151"/>
      <c r="AR71" s="124"/>
      <c r="AS71" s="123"/>
      <c r="AT71" s="123"/>
      <c r="AU71" s="3"/>
      <c r="AV71" s="3"/>
      <c r="AW71" s="3"/>
      <c r="AX71" s="3"/>
    </row>
    <row r="72" spans="1:50" ht="21.95" customHeight="1">
      <c r="A72" s="133">
        <f t="shared" ref="A72:A89" si="29">B71</f>
        <v>42248</v>
      </c>
      <c r="B72" s="130">
        <f>MIN(IF(AND(Main!AN27=4,$C$12&gt;B71),$C$12,IF(AND($A$16&gt;B71,$A$16&lt;MIN($C$11,$E$11)),$A$16,$C$9)),IF(AND($A$17&gt;B71,$A$17&lt;MIN($C$11,$E$11)),$A$17,$C$9),IF(AND($A$18&gt;B71,$A$18&lt;MIN($C$11,$E$11)),$A$18,$C$9),IF(AND($A$20&gt;B71,$A$20&gt;$C$11),$A$20,$C$9),IF(AND($A$21&gt;B71,$A$21&gt;$C$11),$A$21,$C$9),IF(AND($A$25&gt;B71,$A$25&gt;$E$11),$A$25,$C$9),IF(AND($A$26&gt;B71,$A$26&gt;$E$11),$A$26,$C$9),IF($C$11&gt;B71,$C$11,$C$9),IF($C$12&gt;B71,$C$12,$C$9),IF($E$11&gt;B71,$E$11,$C$9),IF($E$12&gt;B71,$E$12,$C$9),IF($C$13&gt;B71,$C$13,$C$9),IF($E$13&gt;B71,$E$13,$C$9))</f>
        <v>42461</v>
      </c>
      <c r="C72" s="128">
        <f t="shared" ref="C72:C89" si="30">IF(B72=$B$26,$C$26,IF(B72=$B$25,$C$25,IF(B72=$B$24,$C$24,IF(B72=$B$23,$C$23,IF(B72=$B$21,$C$21,IF(B72=$B$20,$C$20,IF(B72=$B$19,$C$19,IF(B72=$B$18,$C$18,IF(B72=$B$17,$C$17,IF(B72=$B$16,$C$16,LOOKUP(B72,$B$30:$C$41)))))))))))</f>
        <v>55410</v>
      </c>
      <c r="D72" s="128">
        <f t="shared" si="26"/>
        <v>1</v>
      </c>
      <c r="E72" s="151">
        <f>IF(AND(Main!AN27=5,B72=$G$12),$F$12,IF(OR(B72=$C$11,B72=$E$11,$C$12=B72),VLOOKUP(B72,$B$30:$E$41,4),MAX(IF(Main!$AN$10=4,VLOOKUP(E71,$I$2:$K$7,D72),VLOOKUP(E71,$I$8:$L$92,D72)),F72)))</f>
        <v>55410</v>
      </c>
      <c r="F72" s="124">
        <f t="shared" ref="F72:F89" si="31">IF(B72&gt;=$E$11,$G$22,IF(B72&gt;=$C$11,$G$19,0))</f>
        <v>0</v>
      </c>
      <c r="G72" s="123"/>
      <c r="H72" s="123"/>
      <c r="I72" s="3">
        <f>IF(Main!$C$26="UGC",SUM(I71,CEILING(I71*3%,10)),AB72)</f>
        <v>75150</v>
      </c>
      <c r="J72" s="3">
        <f t="shared" si="14"/>
        <v>77030</v>
      </c>
      <c r="K72" s="3">
        <f t="shared" si="14"/>
        <v>78910</v>
      </c>
      <c r="L72" s="3">
        <f t="shared" si="14"/>
        <v>80930</v>
      </c>
      <c r="O72" s="133">
        <f t="shared" si="27"/>
        <v>42248</v>
      </c>
      <c r="P72" s="130">
        <f>MIN(IF(AND(Main!AN27=4,$Q$12&gt;P71),$Q$12,IF(AND($O$16&gt;P71,$O$16&lt;MIN($Q$11,$S$11)),$O$16,$Q$9)),IF(AND($O$17&gt;P71,$O$17&lt;MIN($Q$11,$S$11)),$O$17,$Q$9),IF(AND($O$18&gt;P71,$O$18&lt;MIN($Q$11,$S$11)),$O$18,$Q$9),IF(AND($O$20&gt;P71,$O$20&gt;$Q$11),$O$20,$Q$9),IF(AND($O$21&gt;P71,$O$21&gt;$Q$11),$O$21,$Q$9),IF(AND($O$25&gt;P71,$O$25&gt;$S$11),$O$25,$Q$9),IF(AND($O$26&gt;P71,$O$26&gt;$S$11),$O$26,$Q$9),IF($Q$11&gt;P71,$Q$11,$Q$9),IF($Q$12&gt;P71,$Q$12,$Q$9),IF($S$11&gt;P71,$S$11,$Q$9),IF($S$12&gt;P71,$S$12,$Q$9),IF($Q$13&gt;P71,$Q$13,$Q$9),IF($S$13&gt;P71,$S$13,$Q$9))</f>
        <v>42461</v>
      </c>
      <c r="Q72" s="128">
        <f t="shared" si="28"/>
        <v>55410</v>
      </c>
      <c r="R72" s="128">
        <f t="shared" ref="R72:R89" si="32">IF(AND(P72=$S$11,$P$24&gt;=$S$11),$R$24,IF(AND(P72=$S$11,$P$23&gt;=$S$11),$R$23,IF(P72=$Q$11,$R$19,IF(ISNA(VLOOKUP(P72,$O$91:$P$95,1,FALSE)),1,LOOKUP(P72,$O$91:$P$95)))))</f>
        <v>1</v>
      </c>
      <c r="S72" s="151">
        <f>IF(AND(Main!$AN$10=5,P72=$U$12),$T$12,IF(OR(P72=$Q$11,P72=$S$11,$Q$12=P72),VLOOKUP(P72,$P$30:$S$41,4),MAX(IF(Main!$AN$10=4,VLOOKUP(S71,$W$2:$Y$7,R72),VLOOKUP(S71,$W$8:$Z$92,R72)),T72)))</f>
        <v>55410</v>
      </c>
      <c r="T72" s="124">
        <f t="shared" si="25"/>
        <v>0</v>
      </c>
      <c r="U72" s="123"/>
      <c r="V72" s="123"/>
      <c r="W72" s="3">
        <f>IF(Main!$C$26="UGC",SUM(I71,CEILING(I71*3%,10)),AB72)</f>
        <v>75150</v>
      </c>
      <c r="X72" s="3">
        <f t="shared" si="13"/>
        <v>77030</v>
      </c>
      <c r="Y72" s="3">
        <f t="shared" si="13"/>
        <v>78910</v>
      </c>
      <c r="Z72" s="3">
        <f t="shared" si="13"/>
        <v>80930</v>
      </c>
      <c r="AB72" s="34">
        <v>75150</v>
      </c>
      <c r="AM72" s="133"/>
      <c r="AN72" s="130"/>
      <c r="AO72" s="128"/>
      <c r="AP72" s="128"/>
      <c r="AQ72" s="151"/>
      <c r="AR72" s="124"/>
      <c r="AS72" s="123"/>
      <c r="AT72" s="123"/>
      <c r="AU72" s="3"/>
      <c r="AV72" s="3"/>
      <c r="AW72" s="3"/>
      <c r="AX72" s="3"/>
    </row>
    <row r="73" spans="1:50" ht="21.95" customHeight="1">
      <c r="A73" s="133">
        <f t="shared" si="29"/>
        <v>42461</v>
      </c>
      <c r="B73" s="130">
        <f>MIN(IF(AND(Main!AN28=4,$C$12&gt;B72),$C$12,IF(AND($A$16&gt;B72,$A$16&lt;MIN($C$11,$E$11)),$A$16,$C$9)),IF(AND($A$17&gt;B72,$A$17&lt;MIN($C$11,$E$11)),$A$17,$C$9),IF(AND($A$18&gt;B72,$A$18&lt;MIN($C$11,$E$11)),$A$18,$C$9),IF(AND($A$20&gt;B72,$A$20&gt;$C$11),$A$20,$C$9),IF(AND($A$21&gt;B72,$A$21&gt;$C$11),$A$21,$C$9),IF(AND($A$25&gt;B72,$A$25&gt;$E$11),$A$25,$C$9),IF(AND($A$26&gt;B72,$A$26&gt;$E$11),$A$26,$C$9),IF($C$11&gt;B72,$C$11,$C$9),IF($C$12&gt;B72,$C$12,$C$9),IF($E$11&gt;B72,$E$11,$C$9),IF($E$12&gt;B72,$E$12,$C$9),IF($C$13&gt;B72,$C$13,$C$9),IF($E$13&gt;B72,$E$13,$C$9))</f>
        <v>42461</v>
      </c>
      <c r="C73" s="128">
        <f t="shared" si="30"/>
        <v>55410</v>
      </c>
      <c r="D73" s="128">
        <f t="shared" si="26"/>
        <v>1</v>
      </c>
      <c r="E73" s="151">
        <f>IF(AND(Main!AN28=5,B73=$G$12),$F$12,IF(OR(B73=$C$11,B73=$E$11,$C$12=B73),VLOOKUP(B73,$B$30:$E$41,4),MAX(IF(Main!$AN$10=4,VLOOKUP(E72,$I$2:$K$7,D73),VLOOKUP(E72,$I$8:$L$92,D73)),F73)))</f>
        <v>55410</v>
      </c>
      <c r="F73" s="124">
        <f t="shared" si="31"/>
        <v>0</v>
      </c>
      <c r="G73" s="123"/>
      <c r="H73" s="123"/>
      <c r="I73" s="3">
        <f>IF(Main!$C$26="UGC",SUM(I72,CEILING(I72*3%,10)),AB73)</f>
        <v>77030</v>
      </c>
      <c r="J73" s="3">
        <f t="shared" si="14"/>
        <v>78910</v>
      </c>
      <c r="K73" s="3">
        <f t="shared" si="14"/>
        <v>80930</v>
      </c>
      <c r="L73" s="3">
        <f t="shared" si="14"/>
        <v>82950</v>
      </c>
      <c r="O73" s="133">
        <f t="shared" si="27"/>
        <v>42461</v>
      </c>
      <c r="P73" s="130">
        <f>MIN(IF(AND(Main!AN28=4,$Q$12&gt;P72),$Q$12,IF(AND($O$16&gt;P72,$O$16&lt;MIN($Q$11,$S$11)),$O$16,$Q$9)),IF(AND($O$17&gt;P72,$O$17&lt;MIN($Q$11,$S$11)),$O$17,$Q$9),IF(AND($O$18&gt;P72,$O$18&lt;MIN($Q$11,$S$11)),$O$18,$Q$9),IF(AND($O$20&gt;P72,$O$20&gt;$Q$11),$O$20,$Q$9),IF(AND($O$21&gt;P72,$O$21&gt;$Q$11),$O$21,$Q$9),IF(AND($O$25&gt;P72,$O$25&gt;$S$11),$O$25,$Q$9),IF(AND($O$26&gt;P72,$O$26&gt;$S$11),$O$26,$Q$9),IF($Q$11&gt;P72,$Q$11,$Q$9),IF($Q$12&gt;P72,$Q$12,$Q$9),IF($S$11&gt;P72,$S$11,$Q$9),IF($S$12&gt;P72,$S$12,$Q$9),IF($Q$13&gt;P72,$Q$13,$Q$9),IF($S$13&gt;P72,$S$13,$Q$9))</f>
        <v>42461</v>
      </c>
      <c r="Q73" s="128">
        <f t="shared" si="28"/>
        <v>55410</v>
      </c>
      <c r="R73" s="128">
        <f t="shared" si="32"/>
        <v>1</v>
      </c>
      <c r="S73" s="151">
        <f>IF(AND(Main!$AN$10=5,P73=$U$12),$T$12,IF(OR(P73=$Q$11,P73=$S$11,$Q$12=P73),VLOOKUP(P73,$P$30:$S$41,4),MAX(IF(Main!$AN$10=4,VLOOKUP(S72,$W$2:$Y$7,R73),VLOOKUP(S72,$W$8:$Z$92,R73)),T73)))</f>
        <v>55410</v>
      </c>
      <c r="T73" s="124">
        <f t="shared" si="25"/>
        <v>0</v>
      </c>
      <c r="U73" s="123"/>
      <c r="V73" s="123"/>
      <c r="W73" s="3">
        <f>IF(Main!$C$26="UGC",SUM(I72,CEILING(I72*3%,10)),AB73)</f>
        <v>77030</v>
      </c>
      <c r="X73" s="3">
        <f t="shared" ref="X73:Z92" si="33">W74</f>
        <v>78910</v>
      </c>
      <c r="Y73" s="3">
        <f t="shared" si="33"/>
        <v>80930</v>
      </c>
      <c r="Z73" s="3">
        <f t="shared" si="33"/>
        <v>82950</v>
      </c>
      <c r="AB73" s="34">
        <v>77030</v>
      </c>
      <c r="AM73" s="133"/>
      <c r="AN73" s="130"/>
      <c r="AO73" s="128"/>
      <c r="AP73" s="128"/>
      <c r="AQ73" s="151"/>
      <c r="AR73" s="124"/>
      <c r="AS73" s="123"/>
      <c r="AT73" s="123"/>
      <c r="AU73" s="3"/>
      <c r="AV73" s="3"/>
      <c r="AW73" s="3"/>
      <c r="AX73" s="3"/>
    </row>
    <row r="74" spans="1:50" ht="21.95" customHeight="1">
      <c r="A74" s="133">
        <f t="shared" si="29"/>
        <v>42461</v>
      </c>
      <c r="B74" s="130">
        <f>MIN(IF(AND(Main!AN29=4,$C$12&gt;B73),$C$12,IF(AND($A$16&gt;B73,$A$16&lt;MIN($C$11,$E$11)),$A$16,$C$9)),IF(AND($A$17&gt;B73,$A$17&lt;MIN($C$11,$E$11)),$A$17,$C$9),IF(AND($A$18&gt;B73,$A$18&lt;MIN($C$11,$E$11)),$A$18,$C$9),IF(AND($A$20&gt;B73,$A$20&gt;$C$11),$A$20,$C$9),IF(AND($A$21&gt;B73,$A$21&gt;$C$11),$A$21,$C$9),IF(AND($A$25&gt;B73,$A$25&gt;$E$11),$A$25,$C$9),IF(AND($A$26&gt;B73,$A$26&gt;$E$11),$A$26,$C$9),IF($C$11&gt;B73,$C$11,$C$9),IF($C$12&gt;B73,$C$12,$C$9),IF($E$11&gt;B73,$E$11,$C$9),IF($E$12&gt;B73,$E$12,$C$9),IF($C$13&gt;B73,$C$13,$C$9),IF($E$13&gt;B73,$E$13,$C$9))</f>
        <v>42461</v>
      </c>
      <c r="C74" s="128">
        <f t="shared" si="30"/>
        <v>55410</v>
      </c>
      <c r="D74" s="128">
        <f t="shared" si="26"/>
        <v>1</v>
      </c>
      <c r="E74" s="151">
        <f>IF(AND(Main!AN29=5,B74=$G$12),$F$12,IF(OR(B74=$C$11,B74=$E$11,$C$12=B74),VLOOKUP(B74,$B$30:$E$41,4),MAX(IF(Main!$AN$10=4,VLOOKUP(E73,$I$2:$K$7,D74),VLOOKUP(E73,$I$8:$L$92,D74)),F74)))</f>
        <v>55410</v>
      </c>
      <c r="F74" s="124">
        <f t="shared" si="31"/>
        <v>0</v>
      </c>
      <c r="G74" s="123"/>
      <c r="H74" s="123"/>
      <c r="I74" s="3">
        <f>IF(Main!$C$26="UGC",SUM(I73,CEILING(I73*3%,10)),AB74)</f>
        <v>78910</v>
      </c>
      <c r="J74" s="3">
        <f t="shared" ref="J74:L92" si="34">I75</f>
        <v>80930</v>
      </c>
      <c r="K74" s="3">
        <f t="shared" si="34"/>
        <v>82950</v>
      </c>
      <c r="L74" s="3">
        <f t="shared" si="34"/>
        <v>84970</v>
      </c>
      <c r="O74" s="133">
        <f t="shared" si="27"/>
        <v>42461</v>
      </c>
      <c r="P74" s="130">
        <f>MIN(IF(AND(Main!AN29=4,$Q$12&gt;P73),$Q$12,IF(AND($O$16&gt;P73,$O$16&lt;MIN($Q$11,$S$11)),$O$16,$Q$9)),IF(AND($O$17&gt;P73,$O$17&lt;MIN($Q$11,$S$11)),$O$17,$Q$9),IF(AND($O$18&gt;P73,$O$18&lt;MIN($Q$11,$S$11)),$O$18,$Q$9),IF(AND($O$20&gt;P73,$O$20&gt;$Q$11),$O$20,$Q$9),IF(AND($O$21&gt;P73,$O$21&gt;$Q$11),$O$21,$Q$9),IF(AND($O$25&gt;P73,$O$25&gt;$S$11),$O$25,$Q$9),IF(AND($O$26&gt;P73,$O$26&gt;$S$11),$O$26,$Q$9),IF($Q$11&gt;P73,$Q$11,$Q$9),IF($Q$12&gt;P73,$Q$12,$Q$9),IF($S$11&gt;P73,$S$11,$Q$9),IF($S$12&gt;P73,$S$12,$Q$9),IF($Q$13&gt;P73,$Q$13,$Q$9),IF($S$13&gt;P73,$S$13,$Q$9))</f>
        <v>42461</v>
      </c>
      <c r="Q74" s="128">
        <f t="shared" si="28"/>
        <v>55410</v>
      </c>
      <c r="R74" s="128">
        <f t="shared" si="32"/>
        <v>1</v>
      </c>
      <c r="S74" s="151">
        <f>IF(AND(Main!$AN$10=5,P74=$U$12),$T$12,IF(OR(P74=$Q$11,P74=$S$11,$Q$12=P74),VLOOKUP(P74,$P$30:$S$41,4),MAX(IF(Main!$AN$10=4,VLOOKUP(S73,$W$2:$Y$7,R74),VLOOKUP(S73,$W$8:$Z$92,R74)),T74)))</f>
        <v>55410</v>
      </c>
      <c r="T74" s="124">
        <f t="shared" si="25"/>
        <v>0</v>
      </c>
      <c r="U74" s="123"/>
      <c r="V74" s="123"/>
      <c r="W74" s="3">
        <f>IF(Main!$C$26="UGC",SUM(I73,CEILING(I73*3%,10)),AB74)</f>
        <v>78910</v>
      </c>
      <c r="X74" s="3">
        <f t="shared" si="33"/>
        <v>80930</v>
      </c>
      <c r="Y74" s="3">
        <f t="shared" si="33"/>
        <v>82950</v>
      </c>
      <c r="Z74" s="3">
        <f t="shared" si="33"/>
        <v>84970</v>
      </c>
      <c r="AB74" s="34">
        <v>78910</v>
      </c>
      <c r="AM74" s="133"/>
      <c r="AN74" s="130"/>
      <c r="AO74" s="128"/>
      <c r="AP74" s="128"/>
      <c r="AQ74" s="151"/>
      <c r="AR74" s="124"/>
      <c r="AS74" s="123"/>
      <c r="AT74" s="123"/>
      <c r="AU74" s="3"/>
      <c r="AV74" s="3"/>
      <c r="AW74" s="3"/>
      <c r="AX74" s="3"/>
    </row>
    <row r="75" spans="1:50" ht="21.95" customHeight="1">
      <c r="A75" s="133">
        <f t="shared" si="29"/>
        <v>42461</v>
      </c>
      <c r="B75" s="130">
        <f>MIN(IF(AND(Main!AN30=4,$C$12&gt;B74),$C$12,IF(AND($A$16&gt;B74,$A$16&lt;MIN($C$11,$E$11)),$A$16,$C$9)),IF(AND($A$17&gt;B74,$A$17&lt;MIN($C$11,$E$11)),$A$17,$C$9),IF(AND($A$18&gt;B74,$A$18&lt;MIN($C$11,$E$11)),$A$18,$C$9),IF(AND($A$20&gt;B74,$A$20&gt;$C$11),$A$20,$C$9),IF(AND($A$21&gt;B74,$A$21&gt;$C$11),$A$21,$C$9),IF(AND($A$25&gt;B74,$A$25&gt;$E$11),$A$25,$C$9),IF(AND($A$26&gt;B74,$A$26&gt;$E$11),$A$26,$C$9),IF($C$11&gt;B74,$C$11,$C$9),IF($C$12&gt;B74,$C$12,$C$9),IF($E$11&gt;B74,$E$11,$C$9),IF($E$12&gt;B74,$E$12,$C$9),IF($C$13&gt;B74,$C$13,$C$9),IF($E$13&gt;B74,$E$13,$C$9))</f>
        <v>42461</v>
      </c>
      <c r="C75" s="128">
        <f t="shared" si="30"/>
        <v>55410</v>
      </c>
      <c r="D75" s="128">
        <f t="shared" si="26"/>
        <v>1</v>
      </c>
      <c r="E75" s="151">
        <f>IF(AND(Main!AN30=5,B75=$G$12),$F$12,IF(OR(B75=$C$11,B75=$E$11,$C$12=B75),VLOOKUP(B75,$B$30:$E$41,4),MAX(IF(Main!$AN$10=4,VLOOKUP(E74,$I$2:$K$7,D75),VLOOKUP(E74,$I$8:$L$92,D75)),F75)))</f>
        <v>55410</v>
      </c>
      <c r="F75" s="124">
        <f t="shared" si="31"/>
        <v>0</v>
      </c>
      <c r="G75" s="123"/>
      <c r="H75" s="123"/>
      <c r="I75" s="3">
        <f>IF(Main!$C$26="UGC",SUM(I74,CEILING(I74*3%,10)),AB75)</f>
        <v>80930</v>
      </c>
      <c r="J75" s="3">
        <f t="shared" si="34"/>
        <v>82950</v>
      </c>
      <c r="K75" s="3">
        <f t="shared" si="34"/>
        <v>84970</v>
      </c>
      <c r="L75" s="3">
        <f t="shared" si="34"/>
        <v>87130</v>
      </c>
      <c r="O75" s="133">
        <f t="shared" si="27"/>
        <v>42461</v>
      </c>
      <c r="P75" s="130">
        <f>MIN(IF(AND(Main!AN30=4,$Q$12&gt;P74),$Q$12,IF(AND($O$16&gt;P74,$O$16&lt;MIN($Q$11,$S$11)),$O$16,$Q$9)),IF(AND($O$17&gt;P74,$O$17&lt;MIN($Q$11,$S$11)),$O$17,$Q$9),IF(AND($O$18&gt;P74,$O$18&lt;MIN($Q$11,$S$11)),$O$18,$Q$9),IF(AND($O$20&gt;P74,$O$20&gt;$Q$11),$O$20,$Q$9),IF(AND($O$21&gt;P74,$O$21&gt;$Q$11),$O$21,$Q$9),IF(AND($O$25&gt;P74,$O$25&gt;$S$11),$O$25,$Q$9),IF(AND($O$26&gt;P74,$O$26&gt;$S$11),$O$26,$Q$9),IF($Q$11&gt;P74,$Q$11,$Q$9),IF($Q$12&gt;P74,$Q$12,$Q$9),IF($S$11&gt;P74,$S$11,$Q$9),IF($S$12&gt;P74,$S$12,$Q$9),IF($Q$13&gt;P74,$Q$13,$Q$9),IF($S$13&gt;P74,$S$13,$Q$9))</f>
        <v>42461</v>
      </c>
      <c r="Q75" s="128">
        <f t="shared" si="28"/>
        <v>55410</v>
      </c>
      <c r="R75" s="128">
        <f t="shared" si="32"/>
        <v>1</v>
      </c>
      <c r="S75" s="151">
        <f>IF(AND(Main!$AN$10=5,P75=$U$12),$T$12,IF(OR(P75=$Q$11,P75=$S$11,$Q$12=P75),VLOOKUP(P75,$P$30:$S$41,4),MAX(IF(Main!$AN$10=4,VLOOKUP(S74,$W$2:$Y$7,R75),VLOOKUP(S74,$W$8:$Z$92,R75)),T75)))</f>
        <v>55410</v>
      </c>
      <c r="T75" s="124">
        <f t="shared" si="25"/>
        <v>0</v>
      </c>
      <c r="U75" s="123"/>
      <c r="V75" s="123"/>
      <c r="W75" s="3">
        <f>IF(Main!$C$26="UGC",SUM(I74,CEILING(I74*3%,10)),AB75)</f>
        <v>80930</v>
      </c>
      <c r="X75" s="3">
        <f t="shared" si="33"/>
        <v>82950</v>
      </c>
      <c r="Y75" s="3">
        <f t="shared" si="33"/>
        <v>84970</v>
      </c>
      <c r="Z75" s="3">
        <f t="shared" si="33"/>
        <v>87130</v>
      </c>
      <c r="AB75" s="34">
        <v>80930</v>
      </c>
      <c r="AM75" s="133"/>
      <c r="AN75" s="130"/>
      <c r="AO75" s="128"/>
      <c r="AP75" s="128"/>
      <c r="AQ75" s="151"/>
      <c r="AR75" s="124"/>
      <c r="AS75" s="123"/>
      <c r="AT75" s="123"/>
      <c r="AU75" s="3"/>
      <c r="AV75" s="3"/>
      <c r="AW75" s="3"/>
      <c r="AX75" s="3"/>
    </row>
    <row r="76" spans="1:50" ht="21.95" customHeight="1">
      <c r="A76" s="133">
        <f t="shared" si="29"/>
        <v>42461</v>
      </c>
      <c r="B76" s="130">
        <f>MIN(IF(AND(Main!AN31=4,$C$12&gt;B75),$C$12,IF(AND($A$16&gt;B75,$A$16&lt;MIN($C$11,$E$11)),$A$16,$C$9)),IF(AND($A$17&gt;B75,$A$17&lt;MIN($C$11,$E$11)),$A$17,$C$9),IF(AND($A$18&gt;B75,$A$18&lt;MIN($C$11,$E$11)),$A$18,$C$9),IF(AND($A$20&gt;B75,$A$20&gt;$C$11),$A$20,$C$9),IF(AND($A$21&gt;B75,$A$21&gt;$C$11),$A$21,$C$9),IF(AND($A$25&gt;B75,$A$25&gt;$E$11),$A$25,$C$9),IF(AND($A$26&gt;B75,$A$26&gt;$E$11),$A$26,$C$9),IF($C$11&gt;B75,$C$11,$C$9),IF($C$12&gt;B75,$C$12,$C$9),IF($E$11&gt;B75,$E$11,$C$9),IF($E$12&gt;B75,$E$12,$C$9),IF($C$13&gt;B75,$C$13,$C$9),IF($E$13&gt;B75,$E$13,$C$9))</f>
        <v>42461</v>
      </c>
      <c r="C76" s="128">
        <f t="shared" si="30"/>
        <v>55410</v>
      </c>
      <c r="D76" s="128">
        <f t="shared" si="26"/>
        <v>1</v>
      </c>
      <c r="E76" s="151">
        <f>IF(AND(Main!AN31=5,B76=$G$12),$F$12,IF(OR(B76=$C$11,B76=$E$11,$C$12=B76),VLOOKUP(B76,$B$30:$E$41,4),MAX(IF(Main!$AN$10=4,VLOOKUP(E75,$I$2:$K$7,D76),VLOOKUP(E75,$I$8:$L$92,D76)),F76)))</f>
        <v>55410</v>
      </c>
      <c r="F76" s="124">
        <f t="shared" si="31"/>
        <v>0</v>
      </c>
      <c r="G76" s="123"/>
      <c r="H76" s="123"/>
      <c r="I76" s="3">
        <f>IF(Main!$C$26="UGC",SUM(I75,CEILING(I75*3%,10)),AB76)</f>
        <v>82950</v>
      </c>
      <c r="J76" s="3">
        <f t="shared" si="34"/>
        <v>84970</v>
      </c>
      <c r="K76" s="3">
        <f t="shared" si="34"/>
        <v>87130</v>
      </c>
      <c r="L76" s="3">
        <f t="shared" si="34"/>
        <v>89290</v>
      </c>
      <c r="O76" s="133">
        <f t="shared" si="27"/>
        <v>42461</v>
      </c>
      <c r="P76" s="130">
        <f>MIN(IF(AND(Main!AN31=4,$Q$12&gt;P75),$Q$12,IF(AND($O$16&gt;P75,$O$16&lt;MIN($Q$11,$S$11)),$O$16,$Q$9)),IF(AND($O$17&gt;P75,$O$17&lt;MIN($Q$11,$S$11)),$O$17,$Q$9),IF(AND($O$18&gt;P75,$O$18&lt;MIN($Q$11,$S$11)),$O$18,$Q$9),IF(AND($O$20&gt;P75,$O$20&gt;$Q$11),$O$20,$Q$9),IF(AND($O$21&gt;P75,$O$21&gt;$Q$11),$O$21,$Q$9),IF(AND($O$25&gt;P75,$O$25&gt;$S$11),$O$25,$Q$9),IF(AND($O$26&gt;P75,$O$26&gt;$S$11),$O$26,$Q$9),IF($Q$11&gt;P75,$Q$11,$Q$9),IF($Q$12&gt;P75,$Q$12,$Q$9),IF($S$11&gt;P75,$S$11,$Q$9),IF($S$12&gt;P75,$S$12,$Q$9),IF($Q$13&gt;P75,$Q$13,$Q$9),IF($S$13&gt;P75,$S$13,$Q$9))</f>
        <v>42461</v>
      </c>
      <c r="Q76" s="128">
        <f t="shared" si="28"/>
        <v>55410</v>
      </c>
      <c r="R76" s="128">
        <f t="shared" si="32"/>
        <v>1</v>
      </c>
      <c r="S76" s="151">
        <f>IF(AND(Main!$AN$10=5,P76=$U$12),$T$12,IF(OR(P76=$Q$11,P76=$S$11,$Q$12=P76),VLOOKUP(P76,$P$30:$S$41,4),MAX(IF(Main!$AN$10=4,VLOOKUP(S75,$W$2:$Y$7,R76),VLOOKUP(S75,$W$8:$Z$92,R76)),T76)))</f>
        <v>55410</v>
      </c>
      <c r="T76" s="124">
        <f t="shared" si="25"/>
        <v>0</v>
      </c>
      <c r="U76" s="123"/>
      <c r="V76" s="123"/>
      <c r="W76" s="3">
        <f>IF(Main!$C$26="UGC",SUM(I75,CEILING(I75*3%,10)),AB76)</f>
        <v>82950</v>
      </c>
      <c r="X76" s="3">
        <f t="shared" si="33"/>
        <v>84970</v>
      </c>
      <c r="Y76" s="3">
        <f t="shared" si="33"/>
        <v>87130</v>
      </c>
      <c r="Z76" s="3">
        <f t="shared" si="33"/>
        <v>89290</v>
      </c>
      <c r="AB76" s="34">
        <v>82950</v>
      </c>
      <c r="AM76" s="133"/>
      <c r="AN76" s="130"/>
      <c r="AO76" s="128"/>
      <c r="AP76" s="128"/>
      <c r="AQ76" s="151"/>
      <c r="AR76" s="124"/>
      <c r="AS76" s="123"/>
      <c r="AT76" s="123"/>
      <c r="AU76" s="3"/>
      <c r="AV76" s="3"/>
      <c r="AW76" s="3"/>
      <c r="AX76" s="3"/>
    </row>
    <row r="77" spans="1:50" ht="21.95" customHeight="1">
      <c r="A77" s="133">
        <f t="shared" si="29"/>
        <v>42461</v>
      </c>
      <c r="B77" s="130">
        <f>MIN(IF(AND(Main!AN32=4,$C$12&gt;B76),$C$12,IF(AND($A$16&gt;B76,$A$16&lt;MIN($C$11,$E$11)),$A$16,$C$9)),IF(AND($A$17&gt;B76,$A$17&lt;MIN($C$11,$E$11)),$A$17,$C$9),IF(AND($A$18&gt;B76,$A$18&lt;MIN($C$11,$E$11)),$A$18,$C$9),IF(AND($A$20&gt;B76,$A$20&gt;$C$11),$A$20,$C$9),IF(AND($A$21&gt;B76,$A$21&gt;$C$11),$A$21,$C$9),IF(AND($A$25&gt;B76,$A$25&gt;$E$11),$A$25,$C$9),IF(AND($A$26&gt;B76,$A$26&gt;$E$11),$A$26,$C$9),IF($C$11&gt;B76,$C$11,$C$9),IF($C$12&gt;B76,$C$12,$C$9),IF($E$11&gt;B76,$E$11,$C$9),IF($E$12&gt;B76,$E$12,$C$9),IF($C$13&gt;B76,$C$13,$C$9),IF($E$13&gt;B76,$E$13,$C$9))</f>
        <v>42461</v>
      </c>
      <c r="C77" s="128">
        <f t="shared" si="30"/>
        <v>55410</v>
      </c>
      <c r="D77" s="128">
        <f t="shared" si="26"/>
        <v>1</v>
      </c>
      <c r="E77" s="151">
        <f>IF(AND(Main!AN32=5,B77=$G$12),$F$12,IF(OR(B77=$C$11,B77=$E$11,$C$12=B77),VLOOKUP(B77,$B$30:$E$41,4),MAX(IF(Main!$AN$10=4,VLOOKUP(E76,$I$2:$K$7,D77),VLOOKUP(E76,$I$8:$L$92,D77)),F77)))</f>
        <v>55410</v>
      </c>
      <c r="F77" s="124">
        <f t="shared" si="31"/>
        <v>0</v>
      </c>
      <c r="G77" s="123"/>
      <c r="H77" s="123"/>
      <c r="I77" s="3">
        <f>IF(Main!$C$26="UGC",SUM(I76,CEILING(I76*3%,10)),AB77)</f>
        <v>84970</v>
      </c>
      <c r="J77" s="3">
        <f t="shared" si="34"/>
        <v>87130</v>
      </c>
      <c r="K77" s="3">
        <f t="shared" si="34"/>
        <v>89290</v>
      </c>
      <c r="L77" s="3">
        <f t="shared" si="34"/>
        <v>91450</v>
      </c>
      <c r="O77" s="133">
        <f t="shared" si="27"/>
        <v>42461</v>
      </c>
      <c r="P77" s="130">
        <f>MIN(IF(AND(Main!AN32=4,$Q$12&gt;P76),$Q$12,IF(AND($O$16&gt;P76,$O$16&lt;MIN($Q$11,$S$11)),$O$16,$Q$9)),IF(AND($O$17&gt;P76,$O$17&lt;MIN($Q$11,$S$11)),$O$17,$Q$9),IF(AND($O$18&gt;P76,$O$18&lt;MIN($Q$11,$S$11)),$O$18,$Q$9),IF(AND($O$20&gt;P76,$O$20&gt;$Q$11),$O$20,$Q$9),IF(AND($O$21&gt;P76,$O$21&gt;$Q$11),$O$21,$Q$9),IF(AND($O$25&gt;P76,$O$25&gt;$S$11),$O$25,$Q$9),IF(AND($O$26&gt;P76,$O$26&gt;$S$11),$O$26,$Q$9),IF($Q$11&gt;P76,$Q$11,$Q$9),IF($Q$12&gt;P76,$Q$12,$Q$9),IF($S$11&gt;P76,$S$11,$Q$9),IF($S$12&gt;P76,$S$12,$Q$9),IF($Q$13&gt;P76,$Q$13,$Q$9),IF($S$13&gt;P76,$S$13,$Q$9))</f>
        <v>42461</v>
      </c>
      <c r="Q77" s="128">
        <f t="shared" si="28"/>
        <v>55410</v>
      </c>
      <c r="R77" s="128">
        <f t="shared" si="32"/>
        <v>1</v>
      </c>
      <c r="S77" s="151">
        <f>IF(AND(Main!$AN$10=5,P77=$U$12),$T$12,IF(OR(P77=$Q$11,P77=$S$11,$Q$12=P77),VLOOKUP(P77,$P$30:$S$41,4),MAX(IF(Main!$AN$10=4,VLOOKUP(S76,$W$2:$Y$7,R77),VLOOKUP(S76,$W$8:$Z$92,R77)),T77)))</f>
        <v>55410</v>
      </c>
      <c r="T77" s="124">
        <f t="shared" si="25"/>
        <v>0</v>
      </c>
      <c r="U77" s="123"/>
      <c r="V77" s="123"/>
      <c r="W77" s="3">
        <f>IF(Main!$C$26="UGC",SUM(I76,CEILING(I76*3%,10)),AB77)</f>
        <v>84970</v>
      </c>
      <c r="X77" s="3">
        <f t="shared" si="33"/>
        <v>87130</v>
      </c>
      <c r="Y77" s="3">
        <f t="shared" si="33"/>
        <v>89290</v>
      </c>
      <c r="Z77" s="3">
        <f t="shared" si="33"/>
        <v>91450</v>
      </c>
      <c r="AB77" s="34">
        <v>84970</v>
      </c>
      <c r="AM77" s="133"/>
      <c r="AN77" s="130"/>
      <c r="AO77" s="128"/>
      <c r="AP77" s="128"/>
      <c r="AQ77" s="151"/>
      <c r="AR77" s="124"/>
      <c r="AS77" s="123"/>
      <c r="AT77" s="123"/>
      <c r="AU77" s="3"/>
      <c r="AV77" s="3"/>
      <c r="AW77" s="3"/>
      <c r="AX77" s="3"/>
    </row>
    <row r="78" spans="1:50" ht="21.95" customHeight="1">
      <c r="A78" s="133">
        <f t="shared" si="29"/>
        <v>42461</v>
      </c>
      <c r="B78" s="130">
        <f>MIN(IF(AND(Main!AN33=4,$C$12&gt;B77),$C$12,IF(AND($A$16&gt;B77,$A$16&lt;MIN($C$11,$E$11)),$A$16,$C$9)),IF(AND($A$17&gt;B77,$A$17&lt;MIN($C$11,$E$11)),$A$17,$C$9),IF(AND($A$18&gt;B77,$A$18&lt;MIN($C$11,$E$11)),$A$18,$C$9),IF(AND($A$20&gt;B77,$A$20&gt;$C$11),$A$20,$C$9),IF(AND($A$21&gt;B77,$A$21&gt;$C$11),$A$21,$C$9),IF(AND($A$25&gt;B77,$A$25&gt;$E$11),$A$25,$C$9),IF(AND($A$26&gt;B77,$A$26&gt;$E$11),$A$26,$C$9),IF($C$11&gt;B77,$C$11,$C$9),IF($C$12&gt;B77,$C$12,$C$9),IF($E$11&gt;B77,$E$11,$C$9),IF($E$12&gt;B77,$E$12,$C$9),IF($C$13&gt;B77,$C$13,$C$9),IF($E$13&gt;B77,$E$13,$C$9))</f>
        <v>42461</v>
      </c>
      <c r="C78" s="128">
        <f t="shared" si="30"/>
        <v>55410</v>
      </c>
      <c r="D78" s="128">
        <f t="shared" si="26"/>
        <v>1</v>
      </c>
      <c r="E78" s="151">
        <f>IF(AND(Main!AN33=5,B78=$G$12),$F$12,IF(OR(B78=$C$11,B78=$E$11,$C$12=B78),VLOOKUP(B78,$B$30:$E$41,4),MAX(IF(Main!$AN$10=4,VLOOKUP(E77,$I$2:$K$7,D78),VLOOKUP(E77,$I$8:$L$92,D78)),F78)))</f>
        <v>55410</v>
      </c>
      <c r="F78" s="124">
        <f t="shared" si="31"/>
        <v>0</v>
      </c>
      <c r="G78" s="123"/>
      <c r="H78" s="123"/>
      <c r="I78" s="3">
        <f>IF(Main!$C$26="UGC",SUM(I77,CEILING(I77*3%,10)),AB78)</f>
        <v>87130</v>
      </c>
      <c r="J78" s="3">
        <f t="shared" si="34"/>
        <v>89290</v>
      </c>
      <c r="K78" s="3">
        <f t="shared" si="34"/>
        <v>91450</v>
      </c>
      <c r="L78" s="3">
        <f t="shared" si="34"/>
        <v>93780</v>
      </c>
      <c r="O78" s="133">
        <f t="shared" si="27"/>
        <v>42461</v>
      </c>
      <c r="P78" s="130">
        <f>MIN(IF(AND(Main!AN33=4,$Q$12&gt;P77),$Q$12,IF(AND($O$16&gt;P77,$O$16&lt;MIN($Q$11,$S$11)),$O$16,$Q$9)),IF(AND($O$17&gt;P77,$O$17&lt;MIN($Q$11,$S$11)),$O$17,$Q$9),IF(AND($O$18&gt;P77,$O$18&lt;MIN($Q$11,$S$11)),$O$18,$Q$9),IF(AND($O$20&gt;P77,$O$20&gt;$Q$11),$O$20,$Q$9),IF(AND($O$21&gt;P77,$O$21&gt;$Q$11),$O$21,$Q$9),IF(AND($O$25&gt;P77,$O$25&gt;$S$11),$O$25,$Q$9),IF(AND($O$26&gt;P77,$O$26&gt;$S$11),$O$26,$Q$9),IF($Q$11&gt;P77,$Q$11,$Q$9),IF($Q$12&gt;P77,$Q$12,$Q$9),IF($S$11&gt;P77,$S$11,$Q$9),IF($S$12&gt;P77,$S$12,$Q$9),IF($Q$13&gt;P77,$Q$13,$Q$9),IF($S$13&gt;P77,$S$13,$Q$9))</f>
        <v>42461</v>
      </c>
      <c r="Q78" s="128">
        <f t="shared" si="28"/>
        <v>55410</v>
      </c>
      <c r="R78" s="128">
        <f t="shared" si="32"/>
        <v>1</v>
      </c>
      <c r="S78" s="151">
        <f>IF(AND(Main!$AN$10=5,P78=$U$12),$T$12,IF(OR(P78=$Q$11,P78=$S$11,$Q$12=P78),VLOOKUP(P78,$P$30:$S$41,4),MAX(IF(Main!$AN$10=4,VLOOKUP(S77,$W$2:$Y$7,R78),VLOOKUP(S77,$W$8:$Z$92,R78)),T78)))</f>
        <v>55410</v>
      </c>
      <c r="T78" s="124">
        <f t="shared" si="25"/>
        <v>0</v>
      </c>
      <c r="U78" s="123"/>
      <c r="V78" s="123"/>
      <c r="W78" s="3">
        <f>IF(Main!$C$26="UGC",SUM(I77,CEILING(I77*3%,10)),AB78)</f>
        <v>87130</v>
      </c>
      <c r="X78" s="3">
        <f t="shared" si="33"/>
        <v>89290</v>
      </c>
      <c r="Y78" s="3">
        <f t="shared" si="33"/>
        <v>91450</v>
      </c>
      <c r="Z78" s="3">
        <f t="shared" si="33"/>
        <v>93780</v>
      </c>
      <c r="AB78" s="34">
        <v>87130</v>
      </c>
      <c r="AM78" s="133"/>
      <c r="AN78" s="130"/>
      <c r="AO78" s="128"/>
      <c r="AP78" s="128"/>
      <c r="AQ78" s="151"/>
      <c r="AR78" s="124"/>
      <c r="AS78" s="123"/>
      <c r="AT78" s="123"/>
      <c r="AU78" s="3"/>
      <c r="AV78" s="3"/>
      <c r="AW78" s="3"/>
      <c r="AX78" s="3"/>
    </row>
    <row r="79" spans="1:50" ht="21.95" customHeight="1">
      <c r="A79" s="133">
        <f t="shared" si="29"/>
        <v>42461</v>
      </c>
      <c r="B79" s="130">
        <f>MIN(IF(AND(Main!AN34=4,$C$12&gt;B78),$C$12,IF(AND($A$16&gt;B78,$A$16&lt;MIN($C$11,$E$11)),$A$16,$C$9)),IF(AND($A$17&gt;B78,$A$17&lt;MIN($C$11,$E$11)),$A$17,$C$9),IF(AND($A$18&gt;B78,$A$18&lt;MIN($C$11,$E$11)),$A$18,$C$9),IF(AND($A$20&gt;B78,$A$20&gt;$C$11),$A$20,$C$9),IF(AND($A$21&gt;B78,$A$21&gt;$C$11),$A$21,$C$9),IF(AND($A$25&gt;B78,$A$25&gt;$E$11),$A$25,$C$9),IF(AND($A$26&gt;B78,$A$26&gt;$E$11),$A$26,$C$9),IF($C$11&gt;B78,$C$11,$C$9),IF($C$12&gt;B78,$C$12,$C$9),IF($E$11&gt;B78,$E$11,$C$9),IF($E$12&gt;B78,$E$12,$C$9),IF($C$13&gt;B78,$C$13,$C$9),IF($E$13&gt;B78,$E$13,$C$9))</f>
        <v>42461</v>
      </c>
      <c r="C79" s="128">
        <f t="shared" si="30"/>
        <v>55410</v>
      </c>
      <c r="D79" s="128">
        <f t="shared" si="26"/>
        <v>1</v>
      </c>
      <c r="E79" s="151">
        <f>IF(AND(Main!AN34=5,B79=$G$12),$F$12,IF(OR(B79=$C$11,B79=$E$11,$C$12=B79),VLOOKUP(B79,$B$30:$E$41,4),MAX(IF(Main!$AN$10=4,VLOOKUP(E78,$I$2:$K$7,D79),VLOOKUP(E78,$I$8:$L$92,D79)),F79)))</f>
        <v>55410</v>
      </c>
      <c r="F79" s="124">
        <f t="shared" si="31"/>
        <v>0</v>
      </c>
      <c r="G79" s="123"/>
      <c r="H79" s="123"/>
      <c r="I79" s="3">
        <f>IF(Main!$C$26="UGC",SUM(I78,CEILING(I78*3%,10)),AB79)</f>
        <v>89290</v>
      </c>
      <c r="J79" s="3">
        <f t="shared" si="34"/>
        <v>91450</v>
      </c>
      <c r="K79" s="3">
        <f t="shared" si="34"/>
        <v>93780</v>
      </c>
      <c r="L79" s="3">
        <f t="shared" si="34"/>
        <v>96110</v>
      </c>
      <c r="O79" s="133">
        <f t="shared" si="27"/>
        <v>42461</v>
      </c>
      <c r="P79" s="130">
        <f>MIN(IF(AND(Main!AN34=4,$Q$12&gt;P78),$Q$12,IF(AND($O$16&gt;P78,$O$16&lt;MIN($Q$11,$S$11)),$O$16,$Q$9)),IF(AND($O$17&gt;P78,$O$17&lt;MIN($Q$11,$S$11)),$O$17,$Q$9),IF(AND($O$18&gt;P78,$O$18&lt;MIN($Q$11,$S$11)),$O$18,$Q$9),IF(AND($O$20&gt;P78,$O$20&gt;$Q$11),$O$20,$Q$9),IF(AND($O$21&gt;P78,$O$21&gt;$Q$11),$O$21,$Q$9),IF(AND($O$25&gt;P78,$O$25&gt;$S$11),$O$25,$Q$9),IF(AND($O$26&gt;P78,$O$26&gt;$S$11),$O$26,$Q$9),IF($Q$11&gt;P78,$Q$11,$Q$9),IF($Q$12&gt;P78,$Q$12,$Q$9),IF($S$11&gt;P78,$S$11,$Q$9),IF($S$12&gt;P78,$S$12,$Q$9),IF($Q$13&gt;P78,$Q$13,$Q$9),IF($S$13&gt;P78,$S$13,$Q$9))</f>
        <v>42461</v>
      </c>
      <c r="Q79" s="128">
        <f t="shared" si="28"/>
        <v>55410</v>
      </c>
      <c r="R79" s="128">
        <f t="shared" si="32"/>
        <v>1</v>
      </c>
      <c r="S79" s="151">
        <f>IF(AND(Main!$AN$10=5,P79=$U$12),$T$12,IF(OR(P79=$Q$11,P79=$S$11,$Q$12=P79),VLOOKUP(P79,$P$30:$S$41,4),MAX(IF(Main!$AN$10=4,VLOOKUP(S78,$W$2:$Y$7,R79),VLOOKUP(S78,$W$8:$Z$92,R79)),T79)))</f>
        <v>55410</v>
      </c>
      <c r="T79" s="124">
        <f t="shared" si="25"/>
        <v>0</v>
      </c>
      <c r="U79" s="123"/>
      <c r="V79" s="123"/>
      <c r="W79" s="3">
        <f>IF(Main!$C$26="UGC",SUM(I78,CEILING(I78*3%,10)),AB79)</f>
        <v>89290</v>
      </c>
      <c r="X79" s="3">
        <f t="shared" si="33"/>
        <v>91450</v>
      </c>
      <c r="Y79" s="3">
        <f t="shared" si="33"/>
        <v>93780</v>
      </c>
      <c r="Z79" s="3">
        <f t="shared" si="33"/>
        <v>96110</v>
      </c>
      <c r="AB79" s="34">
        <v>89290</v>
      </c>
      <c r="AM79" s="133"/>
      <c r="AN79" s="130"/>
      <c r="AO79" s="128"/>
      <c r="AP79" s="128"/>
      <c r="AQ79" s="151"/>
      <c r="AR79" s="124"/>
      <c r="AS79" s="123"/>
      <c r="AT79" s="123"/>
      <c r="AU79" s="3"/>
      <c r="AV79" s="3"/>
      <c r="AW79" s="3"/>
      <c r="AX79" s="3"/>
    </row>
    <row r="80" spans="1:50" ht="21.95" customHeight="1">
      <c r="A80" s="133">
        <f t="shared" si="29"/>
        <v>42461</v>
      </c>
      <c r="B80" s="130">
        <f>MIN(IF(AND(Main!AN35=4,$C$12&gt;B79),$C$12,IF(AND($A$16&gt;B79,$A$16&lt;MIN($C$11,$E$11)),$A$16,$C$9)),IF(AND($A$17&gt;B79,$A$17&lt;MIN($C$11,$E$11)),$A$17,$C$9),IF(AND($A$18&gt;B79,$A$18&lt;MIN($C$11,$E$11)),$A$18,$C$9),IF(AND($A$20&gt;B79,$A$20&gt;$C$11),$A$20,$C$9),IF(AND($A$21&gt;B79,$A$21&gt;$C$11),$A$21,$C$9),IF(AND($A$25&gt;B79,$A$25&gt;$E$11),$A$25,$C$9),IF(AND($A$26&gt;B79,$A$26&gt;$E$11),$A$26,$C$9),IF($C$11&gt;B79,$C$11,$C$9),IF($C$12&gt;B79,$C$12,$C$9),IF($E$11&gt;B79,$E$11,$C$9),IF($E$12&gt;B79,$E$12,$C$9),IF($C$13&gt;B79,$C$13,$C$9),IF($E$13&gt;B79,$E$13,$C$9))</f>
        <v>42461</v>
      </c>
      <c r="C80" s="128">
        <f t="shared" si="30"/>
        <v>55410</v>
      </c>
      <c r="D80" s="128">
        <f t="shared" si="26"/>
        <v>1</v>
      </c>
      <c r="E80" s="151">
        <f>IF(AND(Main!AN35=5,B80=$G$12),$F$12,IF(OR(B80=$C$11,B80=$E$11,$C$12=B80),VLOOKUP(B80,$B$30:$E$41,4),MAX(IF(Main!$AN$10=4,VLOOKUP(E79,$I$2:$K$7,D80),VLOOKUP(E79,$I$8:$L$92,D80)),F80)))</f>
        <v>55410</v>
      </c>
      <c r="F80" s="124">
        <f t="shared" si="31"/>
        <v>0</v>
      </c>
      <c r="G80" s="123"/>
      <c r="H80" s="123"/>
      <c r="I80" s="3">
        <f>IF(Main!$C$26="UGC",SUM(I79,CEILING(I79*3%,10)),AB80)</f>
        <v>91450</v>
      </c>
      <c r="J80" s="3">
        <f t="shared" si="34"/>
        <v>93780</v>
      </c>
      <c r="K80" s="3">
        <f t="shared" si="34"/>
        <v>96110</v>
      </c>
      <c r="L80" s="3">
        <f t="shared" si="34"/>
        <v>98440</v>
      </c>
      <c r="O80" s="133">
        <f t="shared" si="27"/>
        <v>42461</v>
      </c>
      <c r="P80" s="130">
        <f>MIN(IF(AND(Main!AN35=4,$Q$12&gt;P79),$Q$12,IF(AND($O$16&gt;P79,$O$16&lt;MIN($Q$11,$S$11)),$O$16,$Q$9)),IF(AND($O$17&gt;P79,$O$17&lt;MIN($Q$11,$S$11)),$O$17,$Q$9),IF(AND($O$18&gt;P79,$O$18&lt;MIN($Q$11,$S$11)),$O$18,$Q$9),IF(AND($O$20&gt;P79,$O$20&gt;$Q$11),$O$20,$Q$9),IF(AND($O$21&gt;P79,$O$21&gt;$Q$11),$O$21,$Q$9),IF(AND($O$25&gt;P79,$O$25&gt;$S$11),$O$25,$Q$9),IF(AND($O$26&gt;P79,$O$26&gt;$S$11),$O$26,$Q$9),IF($Q$11&gt;P79,$Q$11,$Q$9),IF($Q$12&gt;P79,$Q$12,$Q$9),IF($S$11&gt;P79,$S$11,$Q$9),IF($S$12&gt;P79,$S$12,$Q$9),IF($Q$13&gt;P79,$Q$13,$Q$9),IF($S$13&gt;P79,$S$13,$Q$9))</f>
        <v>42461</v>
      </c>
      <c r="Q80" s="128">
        <f t="shared" si="28"/>
        <v>55410</v>
      </c>
      <c r="R80" s="128">
        <f t="shared" si="32"/>
        <v>1</v>
      </c>
      <c r="S80" s="151">
        <f>IF(AND(Main!$AN$10=5,P80=$U$12),$T$12,IF(OR(P80=$Q$11,P80=$S$11,$Q$12=P80),VLOOKUP(P80,$P$30:$S$41,4),MAX(IF(Main!$AN$10=4,VLOOKUP(S79,$W$2:$Y$7,R80),VLOOKUP(S79,$W$8:$Z$92,R80)),T80)))</f>
        <v>55410</v>
      </c>
      <c r="T80" s="124">
        <f t="shared" si="25"/>
        <v>0</v>
      </c>
      <c r="U80" s="123"/>
      <c r="V80" s="123"/>
      <c r="W80" s="3">
        <f>IF(Main!$C$26="UGC",SUM(I79,CEILING(I79*3%,10)),AB80)</f>
        <v>91450</v>
      </c>
      <c r="X80" s="3">
        <f t="shared" si="33"/>
        <v>93780</v>
      </c>
      <c r="Y80" s="3">
        <f t="shared" si="33"/>
        <v>96110</v>
      </c>
      <c r="Z80" s="3">
        <f t="shared" si="33"/>
        <v>98440</v>
      </c>
      <c r="AB80" s="34">
        <v>91450</v>
      </c>
      <c r="AM80" s="133"/>
      <c r="AN80" s="130"/>
      <c r="AO80" s="128"/>
      <c r="AP80" s="128"/>
      <c r="AQ80" s="151"/>
      <c r="AR80" s="124"/>
      <c r="AS80" s="123"/>
      <c r="AT80" s="123"/>
      <c r="AU80" s="3"/>
      <c r="AV80" s="3"/>
      <c r="AW80" s="3"/>
      <c r="AX80" s="3"/>
    </row>
    <row r="81" spans="1:50" ht="20.25" customHeight="1">
      <c r="A81" s="133">
        <f t="shared" si="29"/>
        <v>42461</v>
      </c>
      <c r="B81" s="130">
        <f>MIN(IF(AND(Main!AN36=4,$C$12&gt;B80),$C$12,IF(AND($A$16&gt;B80,$A$16&lt;MIN($C$11,$E$11)),$A$16,$C$9)),IF(AND($A$17&gt;B80,$A$17&lt;MIN($C$11,$E$11)),$A$17,$C$9),IF(AND($A$18&gt;B80,$A$18&lt;MIN($C$11,$E$11)),$A$18,$C$9),IF(AND($A$20&gt;B80,$A$20&gt;$C$11),$A$20,$C$9),IF(AND($A$21&gt;B80,$A$21&gt;$C$11),$A$21,$C$9),IF(AND($A$25&gt;B80,$A$25&gt;$E$11),$A$25,$C$9),IF(AND($A$26&gt;B80,$A$26&gt;$E$11),$A$26,$C$9),IF($C$11&gt;B80,$C$11,$C$9),IF($C$12&gt;B80,$C$12,$C$9),IF($E$11&gt;B80,$E$11,$C$9),IF($E$12&gt;B80,$E$12,$C$9),IF($C$13&gt;B80,$C$13,$C$9),IF($E$13&gt;B80,$E$13,$C$9))</f>
        <v>42461</v>
      </c>
      <c r="C81" s="128">
        <f t="shared" si="30"/>
        <v>55410</v>
      </c>
      <c r="D81" s="128">
        <f t="shared" si="26"/>
        <v>1</v>
      </c>
      <c r="E81" s="151">
        <f>IF(AND(Main!AN36=5,B81=$G$12),$F$12,IF(OR(B81=$C$11,B81=$E$11,$C$12=B81),VLOOKUP(B81,$B$30:$E$41,4),MAX(IF(Main!$AN$10=4,VLOOKUP(E80,$I$2:$K$7,D81),VLOOKUP(E80,$I$8:$L$92,D81)),F81)))</f>
        <v>55410</v>
      </c>
      <c r="F81" s="124">
        <f t="shared" si="31"/>
        <v>0</v>
      </c>
      <c r="G81" s="123"/>
      <c r="H81" s="123"/>
      <c r="I81" s="3">
        <f>IF(Main!$C$26="UGC",SUM(I80,CEILING(I80*3%,10)),AB81)</f>
        <v>93780</v>
      </c>
      <c r="J81" s="3">
        <f t="shared" si="34"/>
        <v>96110</v>
      </c>
      <c r="K81" s="3">
        <f t="shared" si="34"/>
        <v>98440</v>
      </c>
      <c r="L81" s="3">
        <f t="shared" si="34"/>
        <v>100770</v>
      </c>
      <c r="O81" s="133">
        <f t="shared" si="27"/>
        <v>42461</v>
      </c>
      <c r="P81" s="130">
        <f>MIN(IF(AND(Main!AN36=4,$Q$12&gt;P80),$Q$12,IF(AND($O$16&gt;P80,$O$16&lt;MIN($Q$11,$S$11)),$O$16,$Q$9)),IF(AND($O$17&gt;P80,$O$17&lt;MIN($Q$11,$S$11)),$O$17,$Q$9),IF(AND($O$18&gt;P80,$O$18&lt;MIN($Q$11,$S$11)),$O$18,$Q$9),IF(AND($O$20&gt;P80,$O$20&gt;$Q$11),$O$20,$Q$9),IF(AND($O$21&gt;P80,$O$21&gt;$Q$11),$O$21,$Q$9),IF(AND($O$25&gt;P80,$O$25&gt;$S$11),$O$25,$Q$9),IF(AND($O$26&gt;P80,$O$26&gt;$S$11),$O$26,$Q$9),IF($Q$11&gt;P80,$Q$11,$Q$9),IF($Q$12&gt;P80,$Q$12,$Q$9),IF($S$11&gt;P80,$S$11,$Q$9),IF($S$12&gt;P80,$S$12,$Q$9),IF($Q$13&gt;P80,$Q$13,$Q$9),IF($S$13&gt;P80,$S$13,$Q$9))</f>
        <v>42461</v>
      </c>
      <c r="Q81" s="128">
        <f t="shared" si="28"/>
        <v>55410</v>
      </c>
      <c r="R81" s="128">
        <f t="shared" si="32"/>
        <v>1</v>
      </c>
      <c r="S81" s="151">
        <f>IF(AND(Main!$AN$10=5,P81=$U$12),$T$12,IF(OR(P81=$Q$11,P81=$S$11,$Q$12=P81),VLOOKUP(P81,$P$30:$S$41,4),MAX(IF(Main!$AN$10=4,VLOOKUP(S80,$W$2:$Y$7,R81),VLOOKUP(S80,$W$8:$Z$92,R81)),T81)))</f>
        <v>55410</v>
      </c>
      <c r="T81" s="124">
        <f t="shared" si="25"/>
        <v>0</v>
      </c>
      <c r="U81" s="123"/>
      <c r="V81" s="123"/>
      <c r="W81" s="3">
        <f>IF(Main!$C$26="UGC",SUM(I80,CEILING(I80*3%,10)),AB81)</f>
        <v>93780</v>
      </c>
      <c r="X81" s="3">
        <f t="shared" si="33"/>
        <v>96110</v>
      </c>
      <c r="Y81" s="3">
        <f t="shared" si="33"/>
        <v>98440</v>
      </c>
      <c r="Z81" s="3">
        <f t="shared" si="33"/>
        <v>100770</v>
      </c>
      <c r="AB81" s="34">
        <v>93780</v>
      </c>
      <c r="AM81" s="133"/>
      <c r="AN81" s="130"/>
      <c r="AO81" s="128"/>
      <c r="AP81" s="128"/>
      <c r="AQ81" s="151"/>
      <c r="AR81" s="124"/>
      <c r="AS81" s="123"/>
      <c r="AT81" s="123"/>
      <c r="AU81" s="3"/>
      <c r="AV81" s="3"/>
      <c r="AW81" s="3"/>
      <c r="AX81" s="3"/>
    </row>
    <row r="82" spans="1:50" ht="21.95" customHeight="1">
      <c r="A82" s="133">
        <f t="shared" si="29"/>
        <v>42461</v>
      </c>
      <c r="B82" s="130">
        <f>MIN(IF(AND(Main!AN37=4,$C$12&gt;B81),$C$12,IF(AND($A$16&gt;B81,$A$16&lt;MIN($C$11,$E$11)),$A$16,$C$9)),IF(AND($A$17&gt;B81,$A$17&lt;MIN($C$11,$E$11)),$A$17,$C$9),IF(AND($A$18&gt;B81,$A$18&lt;MIN($C$11,$E$11)),$A$18,$C$9),IF(AND($A$20&gt;B81,$A$20&gt;$C$11),$A$20,$C$9),IF(AND($A$21&gt;B81,$A$21&gt;$C$11),$A$21,$C$9),IF(AND($A$25&gt;B81,$A$25&gt;$E$11),$A$25,$C$9),IF(AND($A$26&gt;B81,$A$26&gt;$E$11),$A$26,$C$9),IF($C$11&gt;B81,$C$11,$C$9),IF($C$12&gt;B81,$C$12,$C$9),IF($E$11&gt;B81,$E$11,$C$9),IF($E$12&gt;B81,$E$12,$C$9),IF($C$13&gt;B81,$C$13,$C$9),IF($E$13&gt;B81,$E$13,$C$9))</f>
        <v>42461</v>
      </c>
      <c r="C82" s="128">
        <f t="shared" si="30"/>
        <v>55410</v>
      </c>
      <c r="D82" s="128">
        <f t="shared" si="26"/>
        <v>1</v>
      </c>
      <c r="E82" s="151">
        <f>IF(AND(Main!AN37=5,B82=$G$12),$F$12,IF(OR(B82=$C$11,B82=$E$11,$C$12=B82),VLOOKUP(B82,$B$30:$E$41,4),MAX(IF(Main!$AN$10=4,VLOOKUP(E81,$I$2:$K$7,D82),VLOOKUP(E81,$I$8:$L$92,D82)),F82)))</f>
        <v>55410</v>
      </c>
      <c r="F82" s="124">
        <f t="shared" si="31"/>
        <v>0</v>
      </c>
      <c r="G82" s="123"/>
      <c r="H82" s="123"/>
      <c r="I82" s="3">
        <f>IF(Main!$C$26="UGC",SUM(I81,CEILING(I81*3%,10)),AB82)</f>
        <v>96110</v>
      </c>
      <c r="J82" s="3">
        <f t="shared" si="34"/>
        <v>98440</v>
      </c>
      <c r="K82" s="3">
        <f t="shared" si="34"/>
        <v>100770</v>
      </c>
      <c r="L82" s="3">
        <f t="shared" si="34"/>
        <v>103290</v>
      </c>
      <c r="O82" s="133">
        <f t="shared" si="27"/>
        <v>42461</v>
      </c>
      <c r="P82" s="130">
        <f>MIN(IF(AND(Main!AN37=4,$Q$12&gt;P81),$Q$12,IF(AND($O$16&gt;P81,$O$16&lt;MIN($Q$11,$S$11)),$O$16,$Q$9)),IF(AND($O$17&gt;P81,$O$17&lt;MIN($Q$11,$S$11)),$O$17,$Q$9),IF(AND($O$18&gt;P81,$O$18&lt;MIN($Q$11,$S$11)),$O$18,$Q$9),IF(AND($O$20&gt;P81,$O$20&gt;$Q$11),$O$20,$Q$9),IF(AND($O$21&gt;P81,$O$21&gt;$Q$11),$O$21,$Q$9),IF(AND($O$25&gt;P81,$O$25&gt;$S$11),$O$25,$Q$9),IF(AND($O$26&gt;P81,$O$26&gt;$S$11),$O$26,$Q$9),IF($Q$11&gt;P81,$Q$11,$Q$9),IF($Q$12&gt;P81,$Q$12,$Q$9),IF($S$11&gt;P81,$S$11,$Q$9),IF($S$12&gt;P81,$S$12,$Q$9),IF($Q$13&gt;P81,$Q$13,$Q$9),IF($S$13&gt;P81,$S$13,$Q$9))</f>
        <v>42461</v>
      </c>
      <c r="Q82" s="128">
        <f t="shared" si="28"/>
        <v>55410</v>
      </c>
      <c r="R82" s="128">
        <f t="shared" si="32"/>
        <v>1</v>
      </c>
      <c r="S82" s="151">
        <f>IF(AND(Main!$AN$10=5,P82=$U$12),$T$12,IF(OR(P82=$Q$11,P82=$S$11,$Q$12=P82),VLOOKUP(P82,$P$30:$S$41,4),MAX(IF(Main!$AN$10=4,VLOOKUP(S81,$W$2:$Y$7,R82),VLOOKUP(S81,$W$8:$Z$92,R82)),T82)))</f>
        <v>55410</v>
      </c>
      <c r="T82" s="124">
        <f t="shared" si="25"/>
        <v>0</v>
      </c>
      <c r="U82" s="123"/>
      <c r="V82" s="123"/>
      <c r="W82" s="3">
        <f>IF(Main!$C$26="UGC",SUM(I81,CEILING(I81*3%,10)),AB82)</f>
        <v>96110</v>
      </c>
      <c r="X82" s="3">
        <f t="shared" si="33"/>
        <v>98440</v>
      </c>
      <c r="Y82" s="3">
        <f t="shared" si="33"/>
        <v>100770</v>
      </c>
      <c r="Z82" s="3">
        <f t="shared" si="33"/>
        <v>103290</v>
      </c>
      <c r="AB82" s="34">
        <v>96110</v>
      </c>
      <c r="AM82" s="133"/>
      <c r="AN82" s="130"/>
      <c r="AO82" s="128"/>
      <c r="AP82" s="128"/>
      <c r="AQ82" s="151"/>
      <c r="AR82" s="124"/>
      <c r="AS82" s="123"/>
      <c r="AT82" s="123"/>
      <c r="AU82" s="3"/>
      <c r="AV82" s="3"/>
      <c r="AW82" s="3"/>
      <c r="AX82" s="3"/>
    </row>
    <row r="83" spans="1:50" ht="21.95" customHeight="1">
      <c r="A83" s="133">
        <f t="shared" si="29"/>
        <v>42461</v>
      </c>
      <c r="B83" s="130">
        <f>MIN(IF(AND(Main!AN38=4,$C$12&gt;B82),$C$12,IF(AND($A$16&gt;B82,$A$16&lt;MIN($C$11,$E$11)),$A$16,$C$9)),IF(AND($A$17&gt;B82,$A$17&lt;MIN($C$11,$E$11)),$A$17,$C$9),IF(AND($A$18&gt;B82,$A$18&lt;MIN($C$11,$E$11)),$A$18,$C$9),IF(AND($A$20&gt;B82,$A$20&gt;$C$11),$A$20,$C$9),IF(AND($A$21&gt;B82,$A$21&gt;$C$11),$A$21,$C$9),IF(AND($A$25&gt;B82,$A$25&gt;$E$11),$A$25,$C$9),IF(AND($A$26&gt;B82,$A$26&gt;$E$11),$A$26,$C$9),IF($C$11&gt;B82,$C$11,$C$9),IF($C$12&gt;B82,$C$12,$C$9),IF($E$11&gt;B82,$E$11,$C$9),IF($E$12&gt;B82,$E$12,$C$9),IF($C$13&gt;B82,$C$13,$C$9),IF($E$13&gt;B82,$E$13,$C$9))</f>
        <v>42461</v>
      </c>
      <c r="C83" s="128">
        <f t="shared" si="30"/>
        <v>55410</v>
      </c>
      <c r="D83" s="128">
        <f t="shared" si="26"/>
        <v>1</v>
      </c>
      <c r="E83" s="151">
        <f>IF(AND(Main!AN38=5,B83=$G$12),$F$12,IF(OR(B83=$C$11,B83=$E$11,$C$12=B83),VLOOKUP(B83,$B$30:$E$41,4),MAX(IF(Main!$AN$10=4,VLOOKUP(E82,$I$2:$K$7,D83),VLOOKUP(E82,$I$8:$L$92,D83)),F83)))</f>
        <v>55410</v>
      </c>
      <c r="F83" s="124">
        <f t="shared" si="31"/>
        <v>0</v>
      </c>
      <c r="G83" s="123"/>
      <c r="H83" s="123"/>
      <c r="I83" s="3">
        <f>IF(Main!$C$26="UGC",SUM(I82,CEILING(I82*3%,10)),AB83)</f>
        <v>98440</v>
      </c>
      <c r="J83" s="3">
        <f t="shared" si="34"/>
        <v>100770</v>
      </c>
      <c r="K83" s="3">
        <f t="shared" si="34"/>
        <v>103290</v>
      </c>
      <c r="L83" s="3">
        <f t="shared" si="34"/>
        <v>105810</v>
      </c>
      <c r="O83" s="133">
        <f t="shared" si="27"/>
        <v>42461</v>
      </c>
      <c r="P83" s="130">
        <f>MIN(IF(AND(Main!AN38=4,$Q$12&gt;P82),$Q$12,IF(AND($O$16&gt;P82,$O$16&lt;MIN($Q$11,$S$11)),$O$16,$Q$9)),IF(AND($O$17&gt;P82,$O$17&lt;MIN($Q$11,$S$11)),$O$17,$Q$9),IF(AND($O$18&gt;P82,$O$18&lt;MIN($Q$11,$S$11)),$O$18,$Q$9),IF(AND($O$20&gt;P82,$O$20&gt;$Q$11),$O$20,$Q$9),IF(AND($O$21&gt;P82,$O$21&gt;$Q$11),$O$21,$Q$9),IF(AND($O$25&gt;P82,$O$25&gt;$S$11),$O$25,$Q$9),IF(AND($O$26&gt;P82,$O$26&gt;$S$11),$O$26,$Q$9),IF($Q$11&gt;P82,$Q$11,$Q$9),IF($Q$12&gt;P82,$Q$12,$Q$9),IF($S$11&gt;P82,$S$11,$Q$9),IF($S$12&gt;P82,$S$12,$Q$9),IF($Q$13&gt;P82,$Q$13,$Q$9),IF($S$13&gt;P82,$S$13,$Q$9))</f>
        <v>42461</v>
      </c>
      <c r="Q83" s="128">
        <f t="shared" si="28"/>
        <v>55410</v>
      </c>
      <c r="R83" s="128">
        <f t="shared" si="32"/>
        <v>1</v>
      </c>
      <c r="S83" s="151">
        <f>IF(AND(Main!$AN$10=5,P83=$U$12),$T$12,IF(OR(P83=$Q$11,P83=$S$11,$Q$12=P83),VLOOKUP(P83,$P$30:$S$41,4),MAX(IF(Main!$AN$10=4,VLOOKUP(S82,$W$2:$Y$7,R83),VLOOKUP(S82,$W$8:$Z$92,R83)),T83)))</f>
        <v>55410</v>
      </c>
      <c r="T83" s="124">
        <f t="shared" si="25"/>
        <v>0</v>
      </c>
      <c r="U83" s="123"/>
      <c r="V83" s="123"/>
      <c r="W83" s="3">
        <f>IF(Main!$C$26="UGC",SUM(I82,CEILING(I82*3%,10)),AB83)</f>
        <v>98440</v>
      </c>
      <c r="X83" s="3">
        <f t="shared" si="33"/>
        <v>100770</v>
      </c>
      <c r="Y83" s="3">
        <f t="shared" si="33"/>
        <v>103290</v>
      </c>
      <c r="Z83" s="3">
        <f t="shared" si="33"/>
        <v>105810</v>
      </c>
      <c r="AB83" s="34">
        <v>98440</v>
      </c>
      <c r="AM83" s="133"/>
      <c r="AN83" s="130"/>
      <c r="AO83" s="128"/>
      <c r="AP83" s="128"/>
      <c r="AQ83" s="151"/>
      <c r="AR83" s="124"/>
      <c r="AS83" s="123"/>
      <c r="AT83" s="123"/>
      <c r="AU83" s="3"/>
      <c r="AV83" s="3"/>
      <c r="AW83" s="3"/>
      <c r="AX83" s="3"/>
    </row>
    <row r="84" spans="1:50" ht="21.95" customHeight="1">
      <c r="A84" s="133">
        <f t="shared" si="29"/>
        <v>42461</v>
      </c>
      <c r="B84" s="130">
        <f>MIN(IF(AND(Main!AN39=4,$C$12&gt;B83),$C$12,IF(AND($A$16&gt;B83,$A$16&lt;MIN($C$11,$E$11)),$A$16,$C$9)),IF(AND($A$17&gt;B83,$A$17&lt;MIN($C$11,$E$11)),$A$17,$C$9),IF(AND($A$18&gt;B83,$A$18&lt;MIN($C$11,$E$11)),$A$18,$C$9),IF(AND($A$20&gt;B83,$A$20&gt;$C$11),$A$20,$C$9),IF(AND($A$21&gt;B83,$A$21&gt;$C$11),$A$21,$C$9),IF(AND($A$25&gt;B83,$A$25&gt;$E$11),$A$25,$C$9),IF(AND($A$26&gt;B83,$A$26&gt;$E$11),$A$26,$C$9),IF($C$11&gt;B83,$C$11,$C$9),IF($C$12&gt;B83,$C$12,$C$9),IF($E$11&gt;B83,$E$11,$C$9),IF($E$12&gt;B83,$E$12,$C$9),IF($C$13&gt;B83,$C$13,$C$9),IF($E$13&gt;B83,$E$13,$C$9))</f>
        <v>42461</v>
      </c>
      <c r="C84" s="128">
        <f t="shared" si="30"/>
        <v>55410</v>
      </c>
      <c r="D84" s="128">
        <f t="shared" si="26"/>
        <v>1</v>
      </c>
      <c r="E84" s="151">
        <f>IF(AND(Main!AN39=5,B84=$G$12),$F$12,IF(OR(B84=$C$11,B84=$E$11,$C$12=B84),VLOOKUP(B84,$B$30:$E$41,4),MAX(IF(Main!$AN$10=4,VLOOKUP(E83,$I$2:$K$7,D84),VLOOKUP(E83,$I$8:$L$92,D84)),F84)))</f>
        <v>55410</v>
      </c>
      <c r="F84" s="124">
        <f t="shared" si="31"/>
        <v>0</v>
      </c>
      <c r="G84" s="123"/>
      <c r="H84" s="123"/>
      <c r="I84" s="3">
        <f>IF(Main!$C$26="UGC",SUM(I83,CEILING(I83*3%,10)),AB84)</f>
        <v>100770</v>
      </c>
      <c r="J84" s="3">
        <f t="shared" si="34"/>
        <v>103290</v>
      </c>
      <c r="K84" s="3">
        <f t="shared" si="34"/>
        <v>105810</v>
      </c>
      <c r="L84" s="3">
        <f t="shared" si="34"/>
        <v>108330</v>
      </c>
      <c r="O84" s="133">
        <f t="shared" si="27"/>
        <v>42461</v>
      </c>
      <c r="P84" s="130">
        <f>MIN(IF(AND(Main!AN39=4,$Q$12&gt;P83),$Q$12,IF(AND($O$16&gt;P83,$O$16&lt;MIN($Q$11,$S$11)),$O$16,$Q$9)),IF(AND($O$17&gt;P83,$O$17&lt;MIN($Q$11,$S$11)),$O$17,$Q$9),IF(AND($O$18&gt;P83,$O$18&lt;MIN($Q$11,$S$11)),$O$18,$Q$9),IF(AND($O$20&gt;P83,$O$20&gt;$Q$11),$O$20,$Q$9),IF(AND($O$21&gt;P83,$O$21&gt;$Q$11),$O$21,$Q$9),IF(AND($O$25&gt;P83,$O$25&gt;$S$11),$O$25,$Q$9),IF(AND($O$26&gt;P83,$O$26&gt;$S$11),$O$26,$Q$9),IF($Q$11&gt;P83,$Q$11,$Q$9),IF($Q$12&gt;P83,$Q$12,$Q$9),IF($S$11&gt;P83,$S$11,$Q$9),IF($S$12&gt;P83,$S$12,$Q$9),IF($Q$13&gt;P83,$Q$13,$Q$9),IF($S$13&gt;P83,$S$13,$Q$9))</f>
        <v>42461</v>
      </c>
      <c r="Q84" s="128">
        <f t="shared" si="28"/>
        <v>55410</v>
      </c>
      <c r="R84" s="128">
        <f t="shared" si="32"/>
        <v>1</v>
      </c>
      <c r="S84" s="151">
        <f>IF(AND(Main!$AN$10=5,P84=$U$12),$T$12,IF(OR(P84=$Q$11,P84=$S$11,$Q$12=P84),VLOOKUP(P84,$P$30:$S$41,4),MAX(IF(Main!$AN$10=4,VLOOKUP(S83,$W$2:$Y$7,R84),VLOOKUP(S83,$W$8:$Z$92,R84)),T84)))</f>
        <v>55410</v>
      </c>
      <c r="T84" s="124">
        <f t="shared" si="25"/>
        <v>0</v>
      </c>
      <c r="U84" s="123"/>
      <c r="V84" s="123"/>
      <c r="W84" s="3">
        <f>IF(Main!$C$26="UGC",SUM(I83,CEILING(I83*3%,10)),AB84)</f>
        <v>100770</v>
      </c>
      <c r="X84" s="3">
        <f t="shared" si="33"/>
        <v>103290</v>
      </c>
      <c r="Y84" s="3">
        <f t="shared" si="33"/>
        <v>105810</v>
      </c>
      <c r="Z84" s="3">
        <f t="shared" si="33"/>
        <v>108330</v>
      </c>
      <c r="AB84" s="34">
        <v>100770</v>
      </c>
      <c r="AM84" s="133"/>
      <c r="AN84" s="130"/>
      <c r="AO84" s="128"/>
      <c r="AP84" s="128"/>
      <c r="AQ84" s="151"/>
      <c r="AR84" s="124"/>
      <c r="AS84" s="123"/>
      <c r="AT84" s="123"/>
      <c r="AU84" s="3"/>
      <c r="AV84" s="3"/>
      <c r="AW84" s="3"/>
      <c r="AX84" s="3"/>
    </row>
    <row r="85" spans="1:50" ht="21.95" customHeight="1">
      <c r="A85" s="133">
        <f t="shared" si="29"/>
        <v>42461</v>
      </c>
      <c r="B85" s="130">
        <f>MIN(IF(AND(Main!AN40=4,$C$12&gt;B84),$C$12,IF(AND($A$16&gt;B84,$A$16&lt;MIN($C$11,$E$11)),$A$16,$C$9)),IF(AND($A$17&gt;B84,$A$17&lt;MIN($C$11,$E$11)),$A$17,$C$9),IF(AND($A$18&gt;B84,$A$18&lt;MIN($C$11,$E$11)),$A$18,$C$9),IF(AND($A$20&gt;B84,$A$20&gt;$C$11),$A$20,$C$9),IF(AND($A$21&gt;B84,$A$21&gt;$C$11),$A$21,$C$9),IF(AND($A$25&gt;B84,$A$25&gt;$E$11),$A$25,$C$9),IF(AND($A$26&gt;B84,$A$26&gt;$E$11),$A$26,$C$9),IF($C$11&gt;B84,$C$11,$C$9),IF($C$12&gt;B84,$C$12,$C$9),IF($E$11&gt;B84,$E$11,$C$9),IF($E$12&gt;B84,$E$12,$C$9),IF($C$13&gt;B84,$C$13,$C$9),IF($E$13&gt;B84,$E$13,$C$9))</f>
        <v>42461</v>
      </c>
      <c r="C85" s="128">
        <f t="shared" si="30"/>
        <v>55410</v>
      </c>
      <c r="D85" s="128">
        <f t="shared" si="26"/>
        <v>1</v>
      </c>
      <c r="E85" s="151">
        <f>IF(AND(Main!AN40=5,B85=$G$12),$F$12,IF(OR(B85=$C$11,B85=$E$11,$C$12=B85),VLOOKUP(B85,$B$30:$E$41,4),MAX(IF(Main!$AN$10=4,VLOOKUP(E84,$I$2:$K$7,D85),VLOOKUP(E84,$I$8:$L$92,D85)),F85)))</f>
        <v>55410</v>
      </c>
      <c r="F85" s="124">
        <f t="shared" si="31"/>
        <v>0</v>
      </c>
      <c r="G85" s="123"/>
      <c r="H85" s="123"/>
      <c r="I85" s="3">
        <f>IF(Main!$C$26="UGC",SUM(I84,CEILING(I84*3%,10)),AB85)</f>
        <v>103290</v>
      </c>
      <c r="J85" s="3">
        <f t="shared" si="34"/>
        <v>105810</v>
      </c>
      <c r="K85" s="3">
        <f t="shared" si="34"/>
        <v>108330</v>
      </c>
      <c r="L85" s="3">
        <f t="shared" si="34"/>
        <v>110850</v>
      </c>
      <c r="O85" s="133">
        <f t="shared" si="27"/>
        <v>42461</v>
      </c>
      <c r="P85" s="130">
        <f>MIN(IF(AND(Main!AN40=4,$Q$12&gt;P84),$Q$12,IF(AND($O$16&gt;P84,$O$16&lt;MIN($Q$11,$S$11)),$O$16,$Q$9)),IF(AND($O$17&gt;P84,$O$17&lt;MIN($Q$11,$S$11)),$O$17,$Q$9),IF(AND($O$18&gt;P84,$O$18&lt;MIN($Q$11,$S$11)),$O$18,$Q$9),IF(AND($O$20&gt;P84,$O$20&gt;$Q$11),$O$20,$Q$9),IF(AND($O$21&gt;P84,$O$21&gt;$Q$11),$O$21,$Q$9),IF(AND($O$25&gt;P84,$O$25&gt;$S$11),$O$25,$Q$9),IF(AND($O$26&gt;P84,$O$26&gt;$S$11),$O$26,$Q$9),IF($Q$11&gt;P84,$Q$11,$Q$9),IF($Q$12&gt;P84,$Q$12,$Q$9),IF($S$11&gt;P84,$S$11,$Q$9),IF($S$12&gt;P84,$S$12,$Q$9),IF($Q$13&gt;P84,$Q$13,$Q$9),IF($S$13&gt;P84,$S$13,$Q$9))</f>
        <v>42461</v>
      </c>
      <c r="Q85" s="128">
        <f t="shared" si="28"/>
        <v>55410</v>
      </c>
      <c r="R85" s="128">
        <f t="shared" si="32"/>
        <v>1</v>
      </c>
      <c r="S85" s="151">
        <f>IF(AND(Main!$AN$10=5,P85=$U$12),$T$12,IF(OR(P85=$Q$11,P85=$S$11,$Q$12=P85),VLOOKUP(P85,$P$30:$S$41,4),MAX(IF(Main!$AN$10=4,VLOOKUP(S84,$W$2:$Y$7,R85),VLOOKUP(S84,$W$8:$Z$92,R85)),T85)))</f>
        <v>55410</v>
      </c>
      <c r="T85" s="124">
        <f t="shared" si="25"/>
        <v>0</v>
      </c>
      <c r="U85" s="123"/>
      <c r="V85" s="123"/>
      <c r="W85" s="3">
        <f>IF(Main!$C$26="UGC",SUM(I84,CEILING(I84*3%,10)),AB85)</f>
        <v>103290</v>
      </c>
      <c r="X85" s="3">
        <f t="shared" si="33"/>
        <v>105810</v>
      </c>
      <c r="Y85" s="3">
        <f t="shared" si="33"/>
        <v>108330</v>
      </c>
      <c r="Z85" s="3">
        <f t="shared" si="33"/>
        <v>110850</v>
      </c>
      <c r="AB85" s="34">
        <v>103290</v>
      </c>
      <c r="AM85" s="133"/>
      <c r="AN85" s="130"/>
      <c r="AO85" s="128"/>
      <c r="AP85" s="128"/>
      <c r="AQ85" s="151"/>
      <c r="AR85" s="124"/>
      <c r="AS85" s="123"/>
      <c r="AT85" s="123"/>
      <c r="AU85" s="3"/>
      <c r="AV85" s="3"/>
      <c r="AW85" s="3"/>
      <c r="AX85" s="3"/>
    </row>
    <row r="86" spans="1:50" ht="21.95" customHeight="1">
      <c r="A86" s="133">
        <f t="shared" si="29"/>
        <v>42461</v>
      </c>
      <c r="B86" s="130">
        <f>MIN(IF(AND(Main!AN41=4,$C$12&gt;B85),$C$12,IF(AND($A$16&gt;B85,$A$16&lt;MIN($C$11,$E$11)),$A$16,$C$9)),IF(AND($A$17&gt;B85,$A$17&lt;MIN($C$11,$E$11)),$A$17,$C$9),IF(AND($A$18&gt;B85,$A$18&lt;MIN($C$11,$E$11)),$A$18,$C$9),IF(AND($A$20&gt;B85,$A$20&gt;$C$11),$A$20,$C$9),IF(AND($A$21&gt;B85,$A$21&gt;$C$11),$A$21,$C$9),IF(AND($A$25&gt;B85,$A$25&gt;$E$11),$A$25,$C$9),IF(AND($A$26&gt;B85,$A$26&gt;$E$11),$A$26,$C$9),IF($C$11&gt;B85,$C$11,$C$9),IF($C$12&gt;B85,$C$12,$C$9),IF($E$11&gt;B85,$E$11,$C$9),IF($E$12&gt;B85,$E$12,$C$9),IF($C$13&gt;B85,$C$13,$C$9),IF($E$13&gt;B85,$E$13,$C$9))</f>
        <v>42461</v>
      </c>
      <c r="C86" s="128">
        <f t="shared" si="30"/>
        <v>55410</v>
      </c>
      <c r="D86" s="128">
        <f t="shared" si="26"/>
        <v>1</v>
      </c>
      <c r="E86" s="151">
        <f>IF(AND(Main!AN41=5,B86=$G$12),$F$12,IF(OR(B86=$C$11,B86=$E$11,$C$12=B86),VLOOKUP(B86,$B$30:$E$41,4),MAX(IF(Main!$AN$10=4,VLOOKUP(E85,$I$2:$K$7,D86),VLOOKUP(E85,$I$8:$L$92,D86)),F86)))</f>
        <v>55410</v>
      </c>
      <c r="F86" s="124">
        <f t="shared" si="31"/>
        <v>0</v>
      </c>
      <c r="G86" s="123"/>
      <c r="H86" s="123"/>
      <c r="I86" s="3">
        <f>IF(Main!$C$26="UGC",SUM(I85,CEILING(I85*3%,10)),AB86)</f>
        <v>105810</v>
      </c>
      <c r="J86" s="3">
        <f t="shared" si="34"/>
        <v>108330</v>
      </c>
      <c r="K86" s="3">
        <f t="shared" si="34"/>
        <v>110850</v>
      </c>
      <c r="L86" s="3">
        <f t="shared" si="34"/>
        <v>113370</v>
      </c>
      <c r="O86" s="133">
        <f t="shared" si="27"/>
        <v>42461</v>
      </c>
      <c r="P86" s="130">
        <f>MIN(IF(AND(Main!AN41=4,$Q$12&gt;P85),$Q$12,IF(AND($O$16&gt;P85,$O$16&lt;MIN($Q$11,$S$11)),$O$16,$Q$9)),IF(AND($O$17&gt;P85,$O$17&lt;MIN($Q$11,$S$11)),$O$17,$Q$9),IF(AND($O$18&gt;P85,$O$18&lt;MIN($Q$11,$S$11)),$O$18,$Q$9),IF(AND($O$20&gt;P85,$O$20&gt;$Q$11),$O$20,$Q$9),IF(AND($O$21&gt;P85,$O$21&gt;$Q$11),$O$21,$Q$9),IF(AND($O$25&gt;P85,$O$25&gt;$S$11),$O$25,$Q$9),IF(AND($O$26&gt;P85,$O$26&gt;$S$11),$O$26,$Q$9),IF($Q$11&gt;P85,$Q$11,$Q$9),IF($Q$12&gt;P85,$Q$12,$Q$9),IF($S$11&gt;P85,$S$11,$Q$9),IF($S$12&gt;P85,$S$12,$Q$9),IF($Q$13&gt;P85,$Q$13,$Q$9),IF($S$13&gt;P85,$S$13,$Q$9))</f>
        <v>42461</v>
      </c>
      <c r="Q86" s="128">
        <f t="shared" si="28"/>
        <v>55410</v>
      </c>
      <c r="R86" s="128">
        <f t="shared" si="32"/>
        <v>1</v>
      </c>
      <c r="S86" s="151">
        <f>IF(AND(Main!$AN$10=5,P86=$U$12),$T$12,IF(OR(P86=$Q$11,P86=$S$11,$Q$12=P86),VLOOKUP(P86,$P$30:$S$41,4),MAX(IF(Main!$AN$10=4,VLOOKUP(S85,$W$2:$Y$7,R86),VLOOKUP(S85,$W$8:$Z$92,R86)),T86)))</f>
        <v>55410</v>
      </c>
      <c r="T86" s="124">
        <f t="shared" si="25"/>
        <v>0</v>
      </c>
      <c r="U86" s="123"/>
      <c r="V86" s="123"/>
      <c r="W86" s="3">
        <f>IF(Main!$C$26="UGC",SUM(I85,CEILING(I85*3%,10)),AB86)</f>
        <v>105810</v>
      </c>
      <c r="X86" s="3">
        <f t="shared" si="33"/>
        <v>108330</v>
      </c>
      <c r="Y86" s="3">
        <f t="shared" si="33"/>
        <v>110850</v>
      </c>
      <c r="Z86" s="3">
        <f t="shared" si="33"/>
        <v>113370</v>
      </c>
      <c r="AB86" s="34">
        <v>105810</v>
      </c>
      <c r="AM86" s="133"/>
      <c r="AN86" s="130"/>
      <c r="AO86" s="128"/>
      <c r="AP86" s="128"/>
      <c r="AQ86" s="151"/>
      <c r="AR86" s="124"/>
      <c r="AS86" s="123"/>
      <c r="AT86" s="123"/>
      <c r="AU86" s="3"/>
      <c r="AV86" s="3"/>
      <c r="AW86" s="3"/>
      <c r="AX86" s="3"/>
    </row>
    <row r="87" spans="1:50" ht="21.95" customHeight="1">
      <c r="A87" s="133">
        <f t="shared" si="29"/>
        <v>42461</v>
      </c>
      <c r="B87" s="130">
        <f>MIN(IF(AND(Main!AN42=4,$C$12&gt;B86),$C$12,IF(AND($A$16&gt;B86,$A$16&lt;MIN($C$11,$E$11)),$A$16,$C$9)),IF(AND($A$17&gt;B86,$A$17&lt;MIN($C$11,$E$11)),$A$17,$C$9),IF(AND($A$18&gt;B86,$A$18&lt;MIN($C$11,$E$11)),$A$18,$C$9),IF(AND($A$20&gt;B86,$A$20&gt;$C$11),$A$20,$C$9),IF(AND($A$21&gt;B86,$A$21&gt;$C$11),$A$21,$C$9),IF(AND($A$25&gt;B86,$A$25&gt;$E$11),$A$25,$C$9),IF(AND($A$26&gt;B86,$A$26&gt;$E$11),$A$26,$C$9),IF($C$11&gt;B86,$C$11,$C$9),IF($C$12&gt;B86,$C$12,$C$9),IF($E$11&gt;B86,$E$11,$C$9),IF($E$12&gt;B86,$E$12,$C$9),IF($C$13&gt;B86,$C$13,$C$9),IF($E$13&gt;B86,$E$13,$C$9))</f>
        <v>42461</v>
      </c>
      <c r="C87" s="128">
        <f t="shared" si="30"/>
        <v>55410</v>
      </c>
      <c r="D87" s="128">
        <f t="shared" si="26"/>
        <v>1</v>
      </c>
      <c r="E87" s="151">
        <f>IF(AND(Main!AN42=5,B87=$G$12),$F$12,IF(OR(B87=$C$11,B87=$E$11,$C$12=B87),VLOOKUP(B87,$B$30:$E$41,4),MAX(IF(Main!$AN$10=4,VLOOKUP(E86,$I$2:$K$7,D87),VLOOKUP(E86,$I$8:$L$92,D87)),F87)))</f>
        <v>55410</v>
      </c>
      <c r="F87" s="124">
        <f t="shared" si="31"/>
        <v>0</v>
      </c>
      <c r="G87" s="123"/>
      <c r="H87" s="123"/>
      <c r="I87" s="3">
        <f>IF(Main!$C$26="UGC",SUM(I86,CEILING(I86*3%,10)),AB87)</f>
        <v>108330</v>
      </c>
      <c r="J87" s="3">
        <f t="shared" si="34"/>
        <v>110850</v>
      </c>
      <c r="K87" s="3">
        <f t="shared" si="34"/>
        <v>113370</v>
      </c>
      <c r="L87" s="3">
        <f t="shared" si="34"/>
        <v>115890</v>
      </c>
      <c r="O87" s="133">
        <f t="shared" si="27"/>
        <v>42461</v>
      </c>
      <c r="P87" s="130">
        <f>MIN(IF(AND(Main!AN42=4,$Q$12&gt;P86),$Q$12,IF(AND($O$16&gt;P86,$O$16&lt;MIN($Q$11,$S$11)),$O$16,$Q$9)),IF(AND($O$17&gt;P86,$O$17&lt;MIN($Q$11,$S$11)),$O$17,$Q$9),IF(AND($O$18&gt;P86,$O$18&lt;MIN($Q$11,$S$11)),$O$18,$Q$9),IF(AND($O$20&gt;P86,$O$20&gt;$Q$11),$O$20,$Q$9),IF(AND($O$21&gt;P86,$O$21&gt;$Q$11),$O$21,$Q$9),IF(AND($O$25&gt;P86,$O$25&gt;$S$11),$O$25,$Q$9),IF(AND($O$26&gt;P86,$O$26&gt;$S$11),$O$26,$Q$9),IF($Q$11&gt;P86,$Q$11,$Q$9),IF($Q$12&gt;P86,$Q$12,$Q$9),IF($S$11&gt;P86,$S$11,$Q$9),IF($S$12&gt;P86,$S$12,$Q$9),IF($Q$13&gt;P86,$Q$13,$Q$9),IF($S$13&gt;P86,$S$13,$Q$9))</f>
        <v>42461</v>
      </c>
      <c r="Q87" s="128">
        <f t="shared" si="28"/>
        <v>55410</v>
      </c>
      <c r="R87" s="128">
        <f t="shared" si="32"/>
        <v>1</v>
      </c>
      <c r="S87" s="151">
        <f>IF(AND(Main!$AN$10=5,P87=$U$12),$T$12,IF(OR(P87=$Q$11,P87=$S$11,$Q$12=P87),VLOOKUP(P87,$P$30:$S$41,4),MAX(IF(Main!$AN$10=4,VLOOKUP(S86,$W$2:$Y$7,R87),VLOOKUP(S86,$W$8:$Z$92,R87)),T87)))</f>
        <v>55410</v>
      </c>
      <c r="T87" s="124">
        <f t="shared" si="25"/>
        <v>0</v>
      </c>
      <c r="U87" s="123"/>
      <c r="V87" s="123"/>
      <c r="W87" s="3">
        <f>IF(Main!$C$26="UGC",SUM(I86,CEILING(I86*3%,10)),AB87)</f>
        <v>108330</v>
      </c>
      <c r="X87" s="3">
        <f t="shared" si="33"/>
        <v>110850</v>
      </c>
      <c r="Y87" s="3">
        <f t="shared" si="33"/>
        <v>113370</v>
      </c>
      <c r="Z87" s="3">
        <f t="shared" si="33"/>
        <v>115890</v>
      </c>
      <c r="AB87" s="34">
        <v>108330</v>
      </c>
      <c r="AM87" s="133"/>
      <c r="AN87" s="130"/>
      <c r="AO87" s="128"/>
      <c r="AP87" s="128"/>
      <c r="AQ87" s="151"/>
      <c r="AR87" s="124"/>
      <c r="AS87" s="123"/>
      <c r="AT87" s="123"/>
      <c r="AU87" s="3"/>
      <c r="AV87" s="3"/>
      <c r="AW87" s="3"/>
      <c r="AX87" s="3"/>
    </row>
    <row r="88" spans="1:50" ht="21.95" customHeight="1">
      <c r="A88" s="133">
        <f t="shared" si="29"/>
        <v>42461</v>
      </c>
      <c r="B88" s="130">
        <f>MIN(IF(AND(Main!AN43=4,$C$12&gt;B87),$C$12,IF(AND($A$16&gt;B87,$A$16&lt;MIN($C$11,$E$11)),$A$16,$C$9)),IF(AND($A$17&gt;B87,$A$17&lt;MIN($C$11,$E$11)),$A$17,$C$9),IF(AND($A$18&gt;B87,$A$18&lt;MIN($C$11,$E$11)),$A$18,$C$9),IF(AND($A$20&gt;B87,$A$20&gt;$C$11),$A$20,$C$9),IF(AND($A$21&gt;B87,$A$21&gt;$C$11),$A$21,$C$9),IF(AND($A$25&gt;B87,$A$25&gt;$E$11),$A$25,$C$9),IF(AND($A$26&gt;B87,$A$26&gt;$E$11),$A$26,$C$9),IF($C$11&gt;B87,$C$11,$C$9),IF($C$12&gt;B87,$C$12,$C$9),IF($E$11&gt;B87,$E$11,$C$9),IF($E$12&gt;B87,$E$12,$C$9),IF($C$13&gt;B87,$C$13,$C$9),IF($E$13&gt;B87,$E$13,$C$9))</f>
        <v>42461</v>
      </c>
      <c r="C88" s="128">
        <f t="shared" si="30"/>
        <v>55410</v>
      </c>
      <c r="D88" s="128">
        <f t="shared" si="26"/>
        <v>1</v>
      </c>
      <c r="E88" s="151">
        <f>IF(AND(Main!AN43=5,B88=$G$12),$F$12,IF(OR(B88=$C$11,B88=$E$11,$C$12=B88),VLOOKUP(B88,$B$30:$E$41,4),MAX(IF(Main!$AN$10=4,VLOOKUP(E87,$I$2:$K$7,D88),VLOOKUP(E87,$I$8:$L$92,D88)),F88)))</f>
        <v>55410</v>
      </c>
      <c r="F88" s="124">
        <f t="shared" si="31"/>
        <v>0</v>
      </c>
      <c r="G88" s="123"/>
      <c r="H88" s="123"/>
      <c r="I88" s="3">
        <f>IF(Main!$C$26="UGC",SUM(I87,CEILING(I87*3%,10)),AB88)</f>
        <v>110850</v>
      </c>
      <c r="J88" s="3">
        <f t="shared" si="34"/>
        <v>113370</v>
      </c>
      <c r="K88" s="3">
        <f t="shared" si="34"/>
        <v>115890</v>
      </c>
      <c r="L88" s="3">
        <f t="shared" si="34"/>
        <v>118410</v>
      </c>
      <c r="O88" s="133">
        <f t="shared" si="27"/>
        <v>42461</v>
      </c>
      <c r="P88" s="130">
        <f>MIN(IF(AND(Main!AN43=4,$Q$12&gt;P87),$Q$12,IF(AND($O$16&gt;P87,$O$16&lt;MIN($Q$11,$S$11)),$O$16,$Q$9)),IF(AND($O$17&gt;P87,$O$17&lt;MIN($Q$11,$S$11)),$O$17,$Q$9),IF(AND($O$18&gt;P87,$O$18&lt;MIN($Q$11,$S$11)),$O$18,$Q$9),IF(AND($O$20&gt;P87,$O$20&gt;$Q$11),$O$20,$Q$9),IF(AND($O$21&gt;P87,$O$21&gt;$Q$11),$O$21,$Q$9),IF(AND($O$25&gt;P87,$O$25&gt;$S$11),$O$25,$Q$9),IF(AND($O$26&gt;P87,$O$26&gt;$S$11),$O$26,$Q$9),IF($Q$11&gt;P87,$Q$11,$Q$9),IF($Q$12&gt;P87,$Q$12,$Q$9),IF($S$11&gt;P87,$S$11,$Q$9),IF($S$12&gt;P87,$S$12,$Q$9),IF($Q$13&gt;P87,$Q$13,$Q$9),IF($S$13&gt;P87,$S$13,$Q$9))</f>
        <v>42461</v>
      </c>
      <c r="Q88" s="128">
        <f t="shared" si="28"/>
        <v>55410</v>
      </c>
      <c r="R88" s="128">
        <f t="shared" si="32"/>
        <v>1</v>
      </c>
      <c r="S88" s="151">
        <f>IF(AND(Main!$AN$10=5,P88=$U$12),$T$12,IF(OR(P88=$Q$11,P88=$S$11,$Q$12=P88),VLOOKUP(P88,$P$30:$S$41,4),MAX(IF(Main!$AN$10=4,VLOOKUP(S87,$W$2:$Y$7,R88),VLOOKUP(S87,$W$8:$Z$92,R88)),T88)))</f>
        <v>55410</v>
      </c>
      <c r="T88" s="124">
        <f t="shared" si="25"/>
        <v>0</v>
      </c>
      <c r="U88" s="123"/>
      <c r="V88" s="123"/>
      <c r="W88" s="3">
        <f>IF(Main!$C$26="UGC",SUM(I87,CEILING(I87*3%,10)),AB88)</f>
        <v>110850</v>
      </c>
      <c r="X88" s="3">
        <f t="shared" si="33"/>
        <v>113370</v>
      </c>
      <c r="Y88" s="3">
        <f t="shared" si="33"/>
        <v>115890</v>
      </c>
      <c r="Z88" s="3">
        <f t="shared" si="33"/>
        <v>118410</v>
      </c>
      <c r="AB88" s="34">
        <v>110850</v>
      </c>
      <c r="AM88" s="133"/>
      <c r="AN88" s="130"/>
      <c r="AO88" s="128"/>
      <c r="AP88" s="128"/>
      <c r="AQ88" s="151"/>
      <c r="AR88" s="124"/>
      <c r="AS88" s="123"/>
      <c r="AT88" s="123"/>
      <c r="AU88" s="3"/>
      <c r="AV88" s="3"/>
      <c r="AW88" s="3"/>
      <c r="AX88" s="3"/>
    </row>
    <row r="89" spans="1:50" ht="21.95" customHeight="1">
      <c r="A89" s="133">
        <f t="shared" si="29"/>
        <v>42461</v>
      </c>
      <c r="B89" s="130">
        <f>MIN(IF(AND(Main!AN44=4,$C$12&gt;B88),$C$12,IF(AND($A$16&gt;B88,$A$16&lt;MIN($C$11,$E$11)),$A$16,$C$9)),IF(AND($A$17&gt;B88,$A$17&lt;MIN($C$11,$E$11)),$A$17,$C$9),IF(AND($A$18&gt;B88,$A$18&lt;MIN($C$11,$E$11)),$A$18,$C$9),IF(AND($A$20&gt;B88,$A$20&gt;$C$11),$A$20,$C$9),IF(AND($A$21&gt;B88,$A$21&gt;$C$11),$A$21,$C$9),IF(AND($A$25&gt;B88,$A$25&gt;$E$11),$A$25,$C$9),IF(AND($A$26&gt;B88,$A$26&gt;$E$11),$A$26,$C$9),IF($C$11&gt;B88,$C$11,$C$9),IF($C$12&gt;B88,$C$12,$C$9),IF($E$11&gt;B88,$E$11,$C$9),IF($E$12&gt;B88,$E$12,$C$9),IF($C$13&gt;B88,$C$13,$C$9),IF($E$13&gt;B88,$E$13,$C$9))</f>
        <v>42461</v>
      </c>
      <c r="C89" s="128">
        <f t="shared" si="30"/>
        <v>55410</v>
      </c>
      <c r="D89" s="128">
        <f t="shared" si="26"/>
        <v>1</v>
      </c>
      <c r="E89" s="151">
        <f>IF(AND(Main!AN44=5,B89=$G$12),$F$12,IF(OR(B89=$C$11,B89=$E$11,$C$12=B89),VLOOKUP(B89,$B$30:$E$41,4),MAX(IF(Main!$AN$10=4,VLOOKUP(E88,$I$2:$K$7,D89),VLOOKUP(E88,$I$8:$L$92,D89)),F89)))</f>
        <v>55410</v>
      </c>
      <c r="F89" s="124">
        <f t="shared" si="31"/>
        <v>0</v>
      </c>
      <c r="G89" s="123"/>
      <c r="H89" s="123"/>
      <c r="I89" s="3">
        <f>IF(Main!$C$26="UGC",SUM(I88,CEILING(I88*3%,10)),AB89)</f>
        <v>113370</v>
      </c>
      <c r="J89" s="3">
        <f t="shared" si="34"/>
        <v>115890</v>
      </c>
      <c r="K89" s="3">
        <f t="shared" si="34"/>
        <v>118410</v>
      </c>
      <c r="L89" s="3">
        <f t="shared" si="34"/>
        <v>120930</v>
      </c>
      <c r="O89" s="133">
        <f t="shared" si="27"/>
        <v>42461</v>
      </c>
      <c r="P89" s="130">
        <f>MIN(IF(AND(Main!AN44=4,$Q$12&gt;P88),$Q$12,IF(AND($O$16&gt;P88,$O$16&lt;MIN($Q$11,$S$11)),$O$16,$Q$9)),IF(AND($O$17&gt;P88,$O$17&lt;MIN($Q$11,$S$11)),$O$17,$Q$9),IF(AND($O$18&gt;P88,$O$18&lt;MIN($Q$11,$S$11)),$O$18,$Q$9),IF(AND($O$20&gt;P88,$O$20&gt;$Q$11),$O$20,$Q$9),IF(AND($O$21&gt;P88,$O$21&gt;$Q$11),$O$21,$Q$9),IF(AND($O$25&gt;P88,$O$25&gt;$S$11),$O$25,$Q$9),IF(AND($O$26&gt;P88,$O$26&gt;$S$11),$O$26,$Q$9),IF($Q$11&gt;P88,$Q$11,$Q$9),IF($Q$12&gt;P88,$Q$12,$Q$9),IF($S$11&gt;P88,$S$11,$Q$9),IF($S$12&gt;P88,$S$12,$Q$9),IF($Q$13&gt;P88,$Q$13,$Q$9),IF($S$13&gt;P88,$S$13,$Q$9))</f>
        <v>42461</v>
      </c>
      <c r="Q89" s="128">
        <f t="shared" si="28"/>
        <v>55410</v>
      </c>
      <c r="R89" s="128">
        <f t="shared" si="32"/>
        <v>1</v>
      </c>
      <c r="S89" s="151">
        <f>IF(AND(Main!$AN$10=5,P89=$U$12),$T$12,IF(OR(P89=$Q$11,P89=$S$11,$Q$12=P89),VLOOKUP(P89,$P$30:$S$41,4),MAX(IF(Main!$AN$10=4,VLOOKUP(S88,$W$2:$Y$7,R89),VLOOKUP(S88,$W$8:$Z$92,R89)),T89)))</f>
        <v>55410</v>
      </c>
      <c r="T89" s="124">
        <f t="shared" si="25"/>
        <v>0</v>
      </c>
      <c r="U89" s="123"/>
      <c r="V89" s="123"/>
      <c r="W89" s="3">
        <f>IF(Main!$C$26="UGC",SUM(I88,CEILING(I88*3%,10)),AB89)</f>
        <v>113370</v>
      </c>
      <c r="X89" s="3">
        <f t="shared" si="33"/>
        <v>115890</v>
      </c>
      <c r="Y89" s="3">
        <f t="shared" si="33"/>
        <v>118410</v>
      </c>
      <c r="Z89" s="3">
        <f t="shared" si="33"/>
        <v>120930</v>
      </c>
      <c r="AB89" s="34">
        <v>113370</v>
      </c>
      <c r="AM89" s="133"/>
      <c r="AN89" s="130"/>
      <c r="AO89" s="128"/>
      <c r="AP89" s="128"/>
      <c r="AQ89" s="151"/>
      <c r="AR89" s="124"/>
      <c r="AS89" s="123"/>
      <c r="AT89" s="123"/>
      <c r="AU89" s="3"/>
      <c r="AV89" s="3"/>
      <c r="AW89" s="3"/>
      <c r="AX89" s="3"/>
    </row>
    <row r="90" spans="1:50" ht="21.95" customHeight="1">
      <c r="A90" s="123" t="s">
        <v>1527</v>
      </c>
      <c r="B90" s="130"/>
      <c r="C90" s="128"/>
      <c r="D90" s="128"/>
      <c r="E90" s="185"/>
      <c r="F90" s="124"/>
      <c r="G90" s="123"/>
      <c r="H90" s="123"/>
      <c r="I90" s="3">
        <f>IF(Main!$C$26="UGC",SUM(I89,CEILING(I89*3%,10)),AB90)</f>
        <v>115890</v>
      </c>
      <c r="J90" s="3">
        <f t="shared" si="34"/>
        <v>118410</v>
      </c>
      <c r="K90" s="3">
        <f t="shared" si="34"/>
        <v>120930</v>
      </c>
      <c r="L90" s="3">
        <f t="shared" si="34"/>
        <v>0</v>
      </c>
      <c r="O90" s="123" t="s">
        <v>1527</v>
      </c>
      <c r="P90" s="130"/>
      <c r="Q90" s="128"/>
      <c r="R90" s="128"/>
      <c r="S90" s="185"/>
      <c r="T90" s="124"/>
      <c r="U90" s="123"/>
      <c r="V90" s="123"/>
      <c r="W90" s="3">
        <f>IF(Main!$C$26="UGC",SUM(I89,CEILING(I89*3%,10)),AB90)</f>
        <v>115890</v>
      </c>
      <c r="X90" s="3">
        <f t="shared" si="33"/>
        <v>118410</v>
      </c>
      <c r="Y90" s="3">
        <f t="shared" si="33"/>
        <v>120930</v>
      </c>
      <c r="Z90" s="3">
        <f t="shared" si="33"/>
        <v>123450</v>
      </c>
      <c r="AB90" s="34">
        <v>115890</v>
      </c>
      <c r="AM90" s="123"/>
      <c r="AN90" s="130"/>
      <c r="AO90" s="128"/>
      <c r="AP90" s="128"/>
      <c r="AQ90" s="185"/>
      <c r="AR90" s="124"/>
      <c r="AS90" s="123"/>
      <c r="AT90" s="123"/>
      <c r="AU90" s="3"/>
      <c r="AV90" s="3"/>
      <c r="AW90" s="3"/>
      <c r="AX90" s="123"/>
    </row>
    <row r="91" spans="1:50" ht="21.95" customHeight="1">
      <c r="A91" s="155">
        <f>MIN(A16,A17,A20,A25,A26)</f>
        <v>42248</v>
      </c>
      <c r="B91" s="156">
        <f>IF(OR(Main!$AN$10=4,A91=$C$9),1,2)</f>
        <v>2</v>
      </c>
      <c r="D91" s="153">
        <f>Main!BL4</f>
        <v>42064</v>
      </c>
      <c r="E91" s="154">
        <f>VLOOKUP(D91,$B$70:$E$89,4)</f>
        <v>53950</v>
      </c>
      <c r="F91" s="123"/>
      <c r="G91" s="123"/>
      <c r="H91" s="123"/>
      <c r="I91" s="3">
        <f>IF(Main!$C$26="UGC",SUM(I90,CEILING(I90*3%,10)),AB91)</f>
        <v>118410</v>
      </c>
      <c r="J91" s="3">
        <f t="shared" si="34"/>
        <v>120930</v>
      </c>
      <c r="K91" s="3">
        <f t="shared" si="34"/>
        <v>0</v>
      </c>
      <c r="L91" s="3">
        <f t="shared" si="34"/>
        <v>0</v>
      </c>
      <c r="O91" s="155">
        <f>MIN(O16,O17,O20,O25,O26)</f>
        <v>42248</v>
      </c>
      <c r="P91" s="156">
        <f>IF(OR(Main!$AN$10=4,O91=$Q$9),1,2)</f>
        <v>2</v>
      </c>
      <c r="R91" s="153">
        <f>R69</f>
        <v>42005</v>
      </c>
      <c r="S91" s="154">
        <f t="shared" ref="S91:S102" si="35">VLOOKUP(R91,$P$70:$S$89,4)</f>
        <v>53950</v>
      </c>
      <c r="T91" s="123"/>
      <c r="U91" s="123"/>
      <c r="V91" s="123"/>
      <c r="W91" s="3">
        <f>IF(Main!$C$26="UGC",SUM(I90,CEILING(I90*3%,10)),AB91)</f>
        <v>118410</v>
      </c>
      <c r="X91" s="3">
        <f t="shared" si="33"/>
        <v>120930</v>
      </c>
      <c r="Y91" s="3">
        <f t="shared" si="33"/>
        <v>123450</v>
      </c>
      <c r="Z91" s="3">
        <f t="shared" si="33"/>
        <v>123450</v>
      </c>
      <c r="AB91" s="34">
        <v>118410</v>
      </c>
      <c r="AM91" s="155"/>
      <c r="AN91" s="156"/>
      <c r="AP91" s="153"/>
      <c r="AQ91" s="154"/>
      <c r="AR91" s="123"/>
      <c r="AS91" s="123"/>
      <c r="AT91" s="123"/>
      <c r="AU91" s="3"/>
      <c r="AV91" s="3"/>
      <c r="AW91" s="123"/>
      <c r="AX91" s="123"/>
    </row>
    <row r="92" spans="1:50" ht="21.95" customHeight="1">
      <c r="A92" s="155">
        <f t="shared" ref="A92:A97" si="36">MIN(IF(AND($A$16&gt;A91,$A$16&lt;MIN($C$11,$E$11)),$A$16,$C$9),IF(AND($A$17&gt;A91,$A$17&lt;MIN($C$11,$E$11)),$A$17,$C$9),IF(AND($A$18&gt;A91,$A$18&lt;MIN($C$11,$E$11)),$A$18,$C$9),IF(AND($A$20&gt;A91,$A$20&gt;$C$11),$A$20,$C$9),IF(AND($A$21&gt;A91,$A$21&gt;$C$11),$A$21,$C$9),IF(AND($A$25&gt;A91,$A$25&gt;$E$11),$A$25,$C$9),IF(AND($A$26&gt;A91,$A$26&gt;$E$11),$A$26,$C$9))</f>
        <v>42461</v>
      </c>
      <c r="B92" s="156">
        <f>IF(OR(Main!$AN$10=4,A92=$C$9),1,2)</f>
        <v>1</v>
      </c>
      <c r="C92" s="174">
        <f>D91</f>
        <v>42064</v>
      </c>
      <c r="D92" s="153">
        <f>DATE(YEAR(D91),MONTH(D91)+1,1)</f>
        <v>42095</v>
      </c>
      <c r="E92" s="154">
        <f t="shared" ref="E92:E102" si="37">VLOOKUP(D92,$B$70:$E$89,4)</f>
        <v>53950</v>
      </c>
      <c r="F92" s="123"/>
      <c r="G92" s="123"/>
      <c r="H92" s="123"/>
      <c r="I92" s="3">
        <f>IF(Main!$C$26="UGC",SUM(I91,CEILING(I91*3%,10)),AB92)</f>
        <v>120930</v>
      </c>
      <c r="J92" s="3">
        <f t="shared" si="34"/>
        <v>0</v>
      </c>
      <c r="K92" s="3">
        <f t="shared" si="34"/>
        <v>0</v>
      </c>
      <c r="L92" s="3">
        <f t="shared" si="34"/>
        <v>0</v>
      </c>
      <c r="O92" s="155">
        <f t="shared" ref="O92:O97" si="38">MIN(IF(AND($O$16&gt;O91,$O$16&lt;MIN($Q$11,$S$11)),$O$16,$Q$9),IF(AND($O$17&gt;O91,$O$17&lt;MIN($Q$11,$S$11)),$O$17,$Q$9),IF(AND($O$18&gt;O91,$O$18&lt;MIN($Q$11,$S$11)),$O$18,$Q$9),IF(AND($O$20&gt;O91,$O$20&gt;$Q$11),$O$20,$Q$9),IF(AND($O$21&gt;O91,$O$21&gt;$Q$11),$O$21,$Q$9),IF(AND($O$25&gt;O91,$O$25&gt;$S$11),$O$25,$Q$9),IF(AND($O$26&gt;O91,$O$26&gt;$S$11),$O$26,$Q$9))</f>
        <v>42461</v>
      </c>
      <c r="P92" s="156">
        <f>IF(OR(Main!$AN$10=4,O92=$Q$9),1,2)</f>
        <v>1</v>
      </c>
      <c r="Q92" s="174">
        <f t="shared" ref="Q92:Q102" si="39">R91</f>
        <v>42005</v>
      </c>
      <c r="R92" s="153">
        <f t="shared" ref="R92:R102" si="40">DATE(YEAR(R91),MONTH(R91)+1,1)</f>
        <v>42036</v>
      </c>
      <c r="S92" s="154">
        <f t="shared" si="35"/>
        <v>53950</v>
      </c>
      <c r="T92" s="123"/>
      <c r="U92" s="123"/>
      <c r="V92" s="123"/>
      <c r="W92" s="3">
        <f>IF(Main!$C$26="UGC",SUM(I91,CEILING(I91*3%,10)),AB92)</f>
        <v>120930</v>
      </c>
      <c r="X92" s="3">
        <f t="shared" si="33"/>
        <v>123450</v>
      </c>
      <c r="Y92" s="3">
        <f t="shared" si="33"/>
        <v>123450</v>
      </c>
      <c r="Z92" s="3">
        <f t="shared" si="33"/>
        <v>123450</v>
      </c>
      <c r="AB92" s="34">
        <v>120930</v>
      </c>
      <c r="AM92" s="155"/>
      <c r="AN92" s="156"/>
      <c r="AO92" s="174"/>
      <c r="AP92" s="153"/>
      <c r="AQ92" s="154"/>
      <c r="AR92" s="123"/>
      <c r="AS92" s="123"/>
      <c r="AT92" s="123"/>
      <c r="AU92" s="3"/>
      <c r="AV92" s="123"/>
      <c r="AW92" s="123"/>
      <c r="AX92" s="123"/>
    </row>
    <row r="93" spans="1:50" ht="21.95" customHeight="1">
      <c r="A93" s="155">
        <f t="shared" si="36"/>
        <v>42461</v>
      </c>
      <c r="B93" s="156">
        <f>IF(OR(Main!$AN$10=4,A93=$C$9),1,2)</f>
        <v>1</v>
      </c>
      <c r="C93" s="174">
        <f>D92</f>
        <v>42095</v>
      </c>
      <c r="D93" s="153">
        <f>DATE(YEAR(D92),MONTH(D92)+1,1)</f>
        <v>42125</v>
      </c>
      <c r="E93" s="154">
        <f t="shared" si="37"/>
        <v>53950</v>
      </c>
      <c r="F93" s="123"/>
      <c r="G93" s="123"/>
      <c r="H93" s="123"/>
      <c r="O93" s="155">
        <f t="shared" si="38"/>
        <v>42461</v>
      </c>
      <c r="P93" s="156">
        <f>IF(OR(Main!$AN$10=4,O93=$Q$9),1,2)</f>
        <v>1</v>
      </c>
      <c r="Q93" s="174">
        <f t="shared" si="39"/>
        <v>42036</v>
      </c>
      <c r="R93" s="153">
        <f t="shared" si="40"/>
        <v>42064</v>
      </c>
      <c r="S93" s="154">
        <f t="shared" si="35"/>
        <v>53950</v>
      </c>
      <c r="T93" s="123"/>
      <c r="U93" s="123"/>
      <c r="V93" s="123"/>
      <c r="W93" s="3">
        <f>IF(Main!$C$26="UGC",SUM(I92,CEILING(I92*3%,10)),AB93)</f>
        <v>123450</v>
      </c>
      <c r="X93" s="3">
        <f>X92</f>
        <v>123450</v>
      </c>
      <c r="Y93" s="3">
        <f>Y92</f>
        <v>123450</v>
      </c>
      <c r="Z93" s="3">
        <f>Z92</f>
        <v>123450</v>
      </c>
      <c r="AB93" s="34">
        <v>123450</v>
      </c>
      <c r="AM93" s="155"/>
      <c r="AN93" s="156"/>
      <c r="AO93" s="174"/>
      <c r="AP93" s="153"/>
      <c r="AQ93" s="154"/>
      <c r="AR93" s="123"/>
      <c r="AS93" s="123"/>
      <c r="AT93" s="123"/>
    </row>
    <row r="94" spans="1:50" ht="21.95" customHeight="1">
      <c r="A94" s="155">
        <f t="shared" si="36"/>
        <v>42461</v>
      </c>
      <c r="B94" s="156">
        <f>IF(OR(Main!$AN$10=4,A94=$C$9),1,2)</f>
        <v>1</v>
      </c>
      <c r="C94" s="174">
        <f t="shared" ref="C94:C101" si="41">D93</f>
        <v>42125</v>
      </c>
      <c r="D94" s="153">
        <f>DATE(YEAR(D93),MONTH(D93)+1,1)</f>
        <v>42156</v>
      </c>
      <c r="E94" s="154">
        <f t="shared" si="37"/>
        <v>53950</v>
      </c>
      <c r="F94" s="123"/>
      <c r="G94" s="123"/>
      <c r="H94" s="123"/>
      <c r="O94" s="155">
        <f t="shared" si="38"/>
        <v>42461</v>
      </c>
      <c r="P94" s="156">
        <f>IF(OR(Main!$AN$10=4,O94=$Q$9),1,2)</f>
        <v>1</v>
      </c>
      <c r="Q94" s="174">
        <f t="shared" si="39"/>
        <v>42064</v>
      </c>
      <c r="R94" s="153">
        <f t="shared" si="40"/>
        <v>42095</v>
      </c>
      <c r="S94" s="154">
        <f t="shared" si="35"/>
        <v>53950</v>
      </c>
      <c r="T94" s="123"/>
      <c r="U94" s="123"/>
      <c r="V94" s="123"/>
      <c r="AM94" s="155"/>
      <c r="AN94" s="156"/>
      <c r="AO94" s="174"/>
      <c r="AP94" s="153"/>
      <c r="AQ94" s="154"/>
      <c r="AR94" s="123"/>
      <c r="AS94" s="123"/>
      <c r="AT94" s="123"/>
    </row>
    <row r="95" spans="1:50" ht="21.95" customHeight="1">
      <c r="A95" s="155">
        <f t="shared" si="36"/>
        <v>42461</v>
      </c>
      <c r="B95" s="156">
        <f>IF(OR(Main!$AN$10=4,A95=$C$9),1,2)</f>
        <v>1</v>
      </c>
      <c r="C95" s="174">
        <f t="shared" si="41"/>
        <v>42156</v>
      </c>
      <c r="D95" s="153">
        <f t="shared" ref="D95:D102" si="42">DATE(YEAR(D94),MONTH(D94)+1,1)</f>
        <v>42186</v>
      </c>
      <c r="E95" s="154">
        <f t="shared" si="37"/>
        <v>53950</v>
      </c>
      <c r="F95" s="123"/>
      <c r="G95" s="123"/>
      <c r="H95" s="123"/>
      <c r="O95" s="155">
        <f t="shared" si="38"/>
        <v>42461</v>
      </c>
      <c r="P95" s="156">
        <f>IF(OR(Main!$AN$10=4,O95=$Q$9),1,2)</f>
        <v>1</v>
      </c>
      <c r="Q95" s="174">
        <f t="shared" si="39"/>
        <v>42095</v>
      </c>
      <c r="R95" s="153">
        <f t="shared" si="40"/>
        <v>42125</v>
      </c>
      <c r="S95" s="154">
        <f t="shared" si="35"/>
        <v>53950</v>
      </c>
      <c r="T95" s="123"/>
      <c r="U95" s="123"/>
      <c r="V95" s="123"/>
      <c r="AM95" s="155"/>
      <c r="AN95" s="156"/>
      <c r="AO95" s="174"/>
      <c r="AP95" s="153"/>
      <c r="AQ95" s="154"/>
      <c r="AR95" s="123"/>
      <c r="AS95" s="123"/>
      <c r="AT95" s="123"/>
    </row>
    <row r="96" spans="1:50" ht="21.95" customHeight="1">
      <c r="A96" s="155">
        <f t="shared" si="36"/>
        <v>42461</v>
      </c>
      <c r="B96" s="156">
        <f>IF(OR(Main!$AN$10=4,A96=$C$9),1,2)</f>
        <v>1</v>
      </c>
      <c r="C96" s="174">
        <f t="shared" si="41"/>
        <v>42186</v>
      </c>
      <c r="D96" s="153">
        <f t="shared" si="42"/>
        <v>42217</v>
      </c>
      <c r="E96" s="154">
        <f t="shared" si="37"/>
        <v>53950</v>
      </c>
      <c r="F96" s="123"/>
      <c r="G96" s="123"/>
      <c r="H96" s="123"/>
      <c r="O96" s="155">
        <f t="shared" si="38"/>
        <v>42461</v>
      </c>
      <c r="P96" s="156">
        <f>IF(OR(Main!$AN$10=4,O96=$Q$9),1,2)</f>
        <v>1</v>
      </c>
      <c r="Q96" s="174">
        <f t="shared" si="39"/>
        <v>42125</v>
      </c>
      <c r="R96" s="153">
        <f t="shared" si="40"/>
        <v>42156</v>
      </c>
      <c r="S96" s="154">
        <f t="shared" si="35"/>
        <v>53950</v>
      </c>
      <c r="T96" s="123"/>
      <c r="U96" s="123"/>
      <c r="V96" s="123"/>
      <c r="AM96" s="155"/>
      <c r="AN96" s="156"/>
      <c r="AO96" s="174"/>
      <c r="AP96" s="153"/>
      <c r="AQ96" s="154"/>
      <c r="AR96" s="123"/>
      <c r="AS96" s="123"/>
      <c r="AT96" s="123"/>
    </row>
    <row r="97" spans="1:46" ht="21.95" customHeight="1">
      <c r="A97" s="155">
        <f t="shared" si="36"/>
        <v>42461</v>
      </c>
      <c r="B97" s="156">
        <f>IF(OR(Main!$AN$10=4,A97=$C$9),1,2)</f>
        <v>1</v>
      </c>
      <c r="C97" s="174">
        <f t="shared" si="41"/>
        <v>42217</v>
      </c>
      <c r="D97" s="153">
        <f t="shared" si="42"/>
        <v>42248</v>
      </c>
      <c r="E97" s="154">
        <f t="shared" si="37"/>
        <v>55410</v>
      </c>
      <c r="F97" s="123"/>
      <c r="G97" s="123"/>
      <c r="H97" s="123"/>
      <c r="O97" s="155">
        <f t="shared" si="38"/>
        <v>42461</v>
      </c>
      <c r="P97" s="156">
        <f>IF(OR(Main!$AN$10=4,O97=$Q$9),1,2)</f>
        <v>1</v>
      </c>
      <c r="Q97" s="174">
        <f t="shared" si="39"/>
        <v>42156</v>
      </c>
      <c r="R97" s="153">
        <f t="shared" si="40"/>
        <v>42186</v>
      </c>
      <c r="S97" s="154">
        <f t="shared" si="35"/>
        <v>53950</v>
      </c>
      <c r="T97" s="123"/>
      <c r="U97" s="123"/>
      <c r="V97" s="123"/>
      <c r="AM97" s="155"/>
      <c r="AN97" s="156"/>
      <c r="AO97" s="174"/>
      <c r="AP97" s="153"/>
      <c r="AQ97" s="154"/>
      <c r="AR97" s="123"/>
      <c r="AS97" s="123"/>
      <c r="AT97" s="123"/>
    </row>
    <row r="98" spans="1:46" ht="21.95" customHeight="1">
      <c r="A98" s="123"/>
      <c r="C98" s="174">
        <f t="shared" si="41"/>
        <v>42248</v>
      </c>
      <c r="D98" s="153">
        <f t="shared" si="42"/>
        <v>42278</v>
      </c>
      <c r="E98" s="154">
        <f t="shared" si="37"/>
        <v>55410</v>
      </c>
      <c r="F98" s="123"/>
      <c r="G98" s="123"/>
      <c r="H98" s="123"/>
      <c r="O98" s="123"/>
      <c r="Q98" s="174">
        <f t="shared" si="39"/>
        <v>42186</v>
      </c>
      <c r="R98" s="153">
        <f t="shared" si="40"/>
        <v>42217</v>
      </c>
      <c r="S98" s="154">
        <f t="shared" si="35"/>
        <v>53950</v>
      </c>
      <c r="T98" s="123"/>
      <c r="U98" s="123"/>
      <c r="V98" s="123"/>
      <c r="AM98" s="123"/>
      <c r="AO98" s="174"/>
      <c r="AP98" s="153"/>
      <c r="AQ98" s="154"/>
      <c r="AR98" s="123"/>
      <c r="AS98" s="123"/>
      <c r="AT98" s="123"/>
    </row>
    <row r="99" spans="1:46" ht="21.95" customHeight="1">
      <c r="A99" s="123"/>
      <c r="C99" s="174">
        <f t="shared" si="41"/>
        <v>42278</v>
      </c>
      <c r="D99" s="153">
        <f t="shared" si="42"/>
        <v>42309</v>
      </c>
      <c r="E99" s="154">
        <f t="shared" si="37"/>
        <v>55410</v>
      </c>
      <c r="F99" s="123"/>
      <c r="G99" s="123"/>
      <c r="H99" s="123"/>
      <c r="O99" s="123"/>
      <c r="Q99" s="174">
        <f t="shared" si="39"/>
        <v>42217</v>
      </c>
      <c r="R99" s="153">
        <f t="shared" si="40"/>
        <v>42248</v>
      </c>
      <c r="S99" s="154">
        <f t="shared" si="35"/>
        <v>55410</v>
      </c>
      <c r="T99" s="123"/>
      <c r="U99" s="123"/>
      <c r="V99" s="123"/>
      <c r="AM99" s="123"/>
      <c r="AO99" s="174"/>
      <c r="AP99" s="153"/>
      <c r="AQ99" s="154"/>
      <c r="AR99" s="123"/>
      <c r="AS99" s="123"/>
      <c r="AT99" s="123"/>
    </row>
    <row r="100" spans="1:46" ht="21.95" customHeight="1">
      <c r="A100" s="123"/>
      <c r="C100" s="174">
        <f t="shared" si="41"/>
        <v>42309</v>
      </c>
      <c r="D100" s="153">
        <f t="shared" si="42"/>
        <v>42339</v>
      </c>
      <c r="E100" s="154">
        <f t="shared" si="37"/>
        <v>55410</v>
      </c>
      <c r="F100" s="123"/>
      <c r="G100" s="123"/>
      <c r="H100" s="123"/>
      <c r="O100" s="123"/>
      <c r="Q100" s="174">
        <f t="shared" si="39"/>
        <v>42248</v>
      </c>
      <c r="R100" s="153">
        <f t="shared" si="40"/>
        <v>42278</v>
      </c>
      <c r="S100" s="154">
        <f t="shared" si="35"/>
        <v>55410</v>
      </c>
      <c r="T100" s="123"/>
      <c r="U100" s="123"/>
      <c r="V100" s="123"/>
      <c r="AM100" s="123"/>
      <c r="AO100" s="174"/>
      <c r="AP100" s="153"/>
      <c r="AQ100" s="154"/>
      <c r="AR100" s="123"/>
      <c r="AS100" s="123"/>
      <c r="AT100" s="123"/>
    </row>
    <row r="101" spans="1:46" ht="21.95" customHeight="1">
      <c r="A101" s="123"/>
      <c r="C101" s="174">
        <f t="shared" si="41"/>
        <v>42339</v>
      </c>
      <c r="D101" s="153">
        <f t="shared" si="42"/>
        <v>42370</v>
      </c>
      <c r="E101" s="154">
        <f t="shared" si="37"/>
        <v>55410</v>
      </c>
      <c r="F101" s="123"/>
      <c r="G101" s="123"/>
      <c r="H101" s="123"/>
      <c r="O101" s="123"/>
      <c r="Q101" s="174">
        <f t="shared" si="39"/>
        <v>42278</v>
      </c>
      <c r="R101" s="153">
        <f t="shared" si="40"/>
        <v>42309</v>
      </c>
      <c r="S101" s="154">
        <f t="shared" si="35"/>
        <v>55410</v>
      </c>
      <c r="T101" s="123"/>
      <c r="U101" s="123"/>
      <c r="V101" s="123"/>
      <c r="AM101" s="123"/>
      <c r="AO101" s="174"/>
      <c r="AP101" s="153"/>
      <c r="AQ101" s="154"/>
      <c r="AR101" s="123"/>
      <c r="AS101" s="123"/>
      <c r="AT101" s="123"/>
    </row>
    <row r="102" spans="1:46" ht="21.95" customHeight="1">
      <c r="A102" s="123"/>
      <c r="C102" s="174">
        <f>D101</f>
        <v>42370</v>
      </c>
      <c r="D102" s="153">
        <f t="shared" si="42"/>
        <v>42401</v>
      </c>
      <c r="E102" s="154">
        <f t="shared" si="37"/>
        <v>55410</v>
      </c>
      <c r="F102" s="123"/>
      <c r="G102" s="123"/>
      <c r="H102" s="123"/>
      <c r="O102" s="123"/>
      <c r="Q102" s="174">
        <f t="shared" si="39"/>
        <v>42309</v>
      </c>
      <c r="R102" s="153">
        <f t="shared" si="40"/>
        <v>42339</v>
      </c>
      <c r="S102" s="154">
        <f t="shared" si="35"/>
        <v>55410</v>
      </c>
      <c r="T102" s="123"/>
      <c r="U102" s="123"/>
      <c r="V102" s="123"/>
      <c r="AM102" s="123"/>
      <c r="AO102" s="174"/>
      <c r="AP102" s="153"/>
      <c r="AQ102" s="154"/>
      <c r="AR102" s="123"/>
      <c r="AS102" s="123"/>
      <c r="AT102" s="123"/>
    </row>
    <row r="103" spans="1:46" ht="21.95" customHeight="1">
      <c r="A103" s="123"/>
      <c r="B103" s="1132" t="s">
        <v>1552</v>
      </c>
      <c r="C103" s="1132"/>
      <c r="D103" s="123"/>
      <c r="E103" s="123"/>
      <c r="F103" s="123"/>
      <c r="G103" s="123"/>
      <c r="H103" s="123"/>
      <c r="Q103" s="34">
        <v>1</v>
      </c>
      <c r="R103" s="34">
        <v>2</v>
      </c>
      <c r="S103" s="34">
        <v>3</v>
      </c>
      <c r="T103" s="34">
        <v>4</v>
      </c>
      <c r="W103" s="157"/>
      <c r="AM103" s="123"/>
      <c r="AN103" s="1132"/>
      <c r="AO103" s="1132"/>
      <c r="AP103" s="123"/>
      <c r="AQ103" s="123"/>
      <c r="AR103" s="123"/>
      <c r="AS103" s="123"/>
      <c r="AT103" s="123"/>
    </row>
    <row r="104" spans="1:46" ht="21.95" customHeight="1">
      <c r="A104" s="123"/>
      <c r="B104" s="149">
        <f>B70</f>
        <v>42005</v>
      </c>
      <c r="C104" s="175">
        <f>B71</f>
        <v>42248</v>
      </c>
      <c r="D104" s="123"/>
      <c r="E104" s="123"/>
      <c r="F104" s="123"/>
      <c r="G104" s="123"/>
      <c r="H104" s="123"/>
      <c r="Q104" s="1133" t="s">
        <v>1558</v>
      </c>
      <c r="R104" s="1133"/>
      <c r="S104" s="1133" t="s">
        <v>1593</v>
      </c>
      <c r="T104" s="1134"/>
      <c r="AM104" s="123"/>
      <c r="AN104" s="149"/>
      <c r="AO104" s="175"/>
      <c r="AP104" s="123"/>
      <c r="AQ104" s="123"/>
      <c r="AR104" s="123"/>
      <c r="AS104" s="123"/>
      <c r="AT104" s="123"/>
    </row>
    <row r="105" spans="1:46" ht="21.95" customHeight="1">
      <c r="A105" s="123"/>
      <c r="B105" s="149">
        <f t="shared" ref="B105:B113" si="43">B71</f>
        <v>42248</v>
      </c>
      <c r="C105" s="175">
        <f t="shared" ref="C105:C114" si="44">B72</f>
        <v>42461</v>
      </c>
      <c r="D105" s="123"/>
      <c r="E105" s="123"/>
      <c r="F105" s="123"/>
      <c r="G105" s="123"/>
      <c r="H105" s="123"/>
      <c r="P105" s="297" t="s">
        <v>34</v>
      </c>
      <c r="Q105" s="297">
        <v>1</v>
      </c>
      <c r="R105" s="297">
        <v>2</v>
      </c>
      <c r="S105" s="298">
        <v>1</v>
      </c>
      <c r="T105" s="298">
        <v>2</v>
      </c>
      <c r="U105" s="34" t="s">
        <v>1594</v>
      </c>
      <c r="V105" s="34" t="s">
        <v>1595</v>
      </c>
      <c r="W105" s="34" t="s">
        <v>1596</v>
      </c>
      <c r="AM105" s="123"/>
      <c r="AN105" s="149"/>
      <c r="AO105" s="175"/>
      <c r="AP105" s="123"/>
      <c r="AQ105" s="123"/>
      <c r="AR105" s="123"/>
      <c r="AS105" s="123"/>
      <c r="AT105" s="123"/>
    </row>
    <row r="106" spans="1:46" ht="21.95" customHeight="1">
      <c r="A106" s="123"/>
      <c r="B106" s="149">
        <f t="shared" si="43"/>
        <v>42461</v>
      </c>
      <c r="C106" s="175">
        <f t="shared" si="44"/>
        <v>42461</v>
      </c>
      <c r="D106" s="123"/>
      <c r="E106" s="123"/>
      <c r="F106" s="123"/>
      <c r="G106" s="123"/>
      <c r="H106" s="123"/>
      <c r="P106" s="745">
        <f>MIN(B19,P19,P22,R69)</f>
        <v>42005</v>
      </c>
      <c r="Q106" s="298">
        <f>VLOOKUP(P106,$B$30:$E$41,4)</f>
        <v>53950</v>
      </c>
      <c r="R106" s="298">
        <f>VLOOKUP(P106,$P$30:$S$41,4)</f>
        <v>53950</v>
      </c>
      <c r="S106" s="208">
        <f>VLOOKUP(P106,$B$54:$E$65,4)</f>
        <v>53950</v>
      </c>
      <c r="T106" s="298">
        <f>VLOOKUP(P106,$P$54:$S$65,4)</f>
        <v>53950</v>
      </c>
      <c r="U106" s="34" t="b">
        <f>EXACT(Q106,R106)</f>
        <v>1</v>
      </c>
      <c r="V106" s="34" t="b">
        <f>EXACT(S106,T106)</f>
        <v>1</v>
      </c>
      <c r="W106" s="34" t="b">
        <f>EXACT(R106,S106)</f>
        <v>1</v>
      </c>
      <c r="AM106" s="123"/>
      <c r="AN106" s="149"/>
      <c r="AO106" s="175"/>
      <c r="AP106" s="123"/>
      <c r="AQ106" s="123"/>
      <c r="AR106" s="123"/>
      <c r="AS106" s="123"/>
      <c r="AT106" s="123"/>
    </row>
    <row r="107" spans="1:46" ht="21.95" customHeight="1">
      <c r="A107" s="123"/>
      <c r="B107" s="149">
        <f t="shared" si="43"/>
        <v>42461</v>
      </c>
      <c r="C107" s="175">
        <f t="shared" si="44"/>
        <v>42461</v>
      </c>
      <c r="D107" s="123"/>
      <c r="E107" s="123"/>
      <c r="F107" s="123"/>
      <c r="G107" s="123"/>
      <c r="H107" s="123"/>
      <c r="P107" s="745">
        <f>MIN(IF($B$19&gt;P106,$B$19,$C$9),IF($P$19&gt;P106,$P$19,$C$9),IF($B$24&gt;P106,$B$24,$C$9),IF($P$24&gt;P106,$P$24,$C$9),IF($B$23&gt;P106,$B$23,$C$9),IF($P$23&gt;P106,$P$23,$C$9),IF($P$9&gt;P106,$P$9,$Q$9),DATE(YEAR(P106),MONTH(P106)+1,1))</f>
        <v>42036</v>
      </c>
      <c r="Q107" s="298">
        <f t="shared" ref="Q107:Q144" si="45">VLOOKUP(P107,$B$30:$E$41,4)</f>
        <v>53950</v>
      </c>
      <c r="R107" s="298">
        <f t="shared" ref="R107:R144" si="46">VLOOKUP(P107,$P$30:$S$41,4)</f>
        <v>53950</v>
      </c>
      <c r="S107" s="208">
        <f t="shared" ref="S107:S144" si="47">VLOOKUP(P107,$B$54:$E$65,4)</f>
        <v>53950</v>
      </c>
      <c r="T107" s="298">
        <f t="shared" ref="T107:T144" si="48">VLOOKUP(P107,$P$54:$S$65,4)</f>
        <v>53950</v>
      </c>
      <c r="U107" s="34" t="b">
        <f t="shared" ref="U107:U144" si="49">EXACT(Q107,R107)</f>
        <v>1</v>
      </c>
      <c r="V107" s="34" t="b">
        <f t="shared" ref="V107:V144" si="50">EXACT(S107,T107)</f>
        <v>1</v>
      </c>
      <c r="W107" s="34" t="b">
        <f t="shared" ref="W107:W144" si="51">EXACT(R107,S107)</f>
        <v>1</v>
      </c>
      <c r="AM107" s="123"/>
      <c r="AN107" s="149"/>
      <c r="AO107" s="175"/>
      <c r="AP107" s="123"/>
      <c r="AQ107" s="123"/>
      <c r="AR107" s="123"/>
      <c r="AS107" s="123"/>
      <c r="AT107" s="123"/>
    </row>
    <row r="108" spans="1:46" ht="21.95" customHeight="1">
      <c r="A108" s="123"/>
      <c r="B108" s="149">
        <f t="shared" si="43"/>
        <v>42461</v>
      </c>
      <c r="C108" s="175">
        <f t="shared" si="44"/>
        <v>42461</v>
      </c>
      <c r="D108" s="123"/>
      <c r="E108" s="123"/>
      <c r="F108" s="123"/>
      <c r="G108" s="123"/>
      <c r="H108" s="123"/>
      <c r="P108" s="745">
        <f t="shared" ref="P108:P144" si="52">MIN(IF($B$19&gt;P107,$B$19,$C$9),IF($P$19&gt;P107,$P$19,$C$9),IF($B$24&gt;P107,$B$24,$C$9),IF($P$24&gt;P107,$P$24,$C$9),IF($B$23&gt;P107,$B$23,$C$9),IF($P$23&gt;P107,$P$23,$C$9),IF($P$9&gt;P107,$P$9,$Q$9),DATE(YEAR(P107),MONTH(P107)+1,1))</f>
        <v>42064</v>
      </c>
      <c r="Q108" s="298">
        <f t="shared" si="45"/>
        <v>53950</v>
      </c>
      <c r="R108" s="298">
        <f t="shared" si="46"/>
        <v>53950</v>
      </c>
      <c r="S108" s="208">
        <f t="shared" si="47"/>
        <v>53950</v>
      </c>
      <c r="T108" s="298">
        <f t="shared" si="48"/>
        <v>53950</v>
      </c>
      <c r="U108" s="34" t="b">
        <f t="shared" si="49"/>
        <v>1</v>
      </c>
      <c r="V108" s="34" t="b">
        <f t="shared" si="50"/>
        <v>1</v>
      </c>
      <c r="W108" s="34" t="b">
        <f t="shared" si="51"/>
        <v>1</v>
      </c>
      <c r="AM108" s="123"/>
      <c r="AN108" s="149"/>
      <c r="AO108" s="175"/>
      <c r="AP108" s="123"/>
      <c r="AQ108" s="123"/>
      <c r="AR108" s="123"/>
      <c r="AS108" s="123"/>
      <c r="AT108" s="123"/>
    </row>
    <row r="109" spans="1:46" ht="21.95" customHeight="1">
      <c r="A109" s="123"/>
      <c r="B109" s="149">
        <f t="shared" si="43"/>
        <v>42461</v>
      </c>
      <c r="C109" s="175">
        <f t="shared" si="44"/>
        <v>42461</v>
      </c>
      <c r="D109" s="123"/>
      <c r="E109" s="123"/>
      <c r="F109" s="123"/>
      <c r="G109" s="123"/>
      <c r="H109" s="123"/>
      <c r="P109" s="745">
        <f t="shared" si="52"/>
        <v>42095</v>
      </c>
      <c r="Q109" s="298">
        <f t="shared" si="45"/>
        <v>53950</v>
      </c>
      <c r="R109" s="298">
        <f t="shared" si="46"/>
        <v>53950</v>
      </c>
      <c r="S109" s="208">
        <f t="shared" si="47"/>
        <v>53950</v>
      </c>
      <c r="T109" s="298">
        <f t="shared" si="48"/>
        <v>53950</v>
      </c>
      <c r="U109" s="34" t="b">
        <f t="shared" si="49"/>
        <v>1</v>
      </c>
      <c r="V109" s="34" t="b">
        <f t="shared" si="50"/>
        <v>1</v>
      </c>
      <c r="W109" s="34" t="b">
        <f t="shared" si="51"/>
        <v>1</v>
      </c>
      <c r="AM109" s="123"/>
      <c r="AN109" s="149"/>
      <c r="AO109" s="175"/>
      <c r="AP109" s="123"/>
      <c r="AQ109" s="123"/>
      <c r="AR109" s="123"/>
      <c r="AS109" s="123"/>
      <c r="AT109" s="123"/>
    </row>
    <row r="110" spans="1:46" ht="21.95" customHeight="1">
      <c r="A110" s="123"/>
      <c r="B110" s="149">
        <f t="shared" si="43"/>
        <v>42461</v>
      </c>
      <c r="C110" s="175">
        <f t="shared" si="44"/>
        <v>42461</v>
      </c>
      <c r="D110" s="123"/>
      <c r="E110" s="123"/>
      <c r="F110" s="123"/>
      <c r="G110" s="123"/>
      <c r="H110" s="123"/>
      <c r="P110" s="745">
        <f t="shared" si="52"/>
        <v>42125</v>
      </c>
      <c r="Q110" s="298">
        <f t="shared" si="45"/>
        <v>53950</v>
      </c>
      <c r="R110" s="298">
        <f t="shared" si="46"/>
        <v>53950</v>
      </c>
      <c r="S110" s="208">
        <f t="shared" si="47"/>
        <v>53950</v>
      </c>
      <c r="T110" s="298">
        <f t="shared" si="48"/>
        <v>53950</v>
      </c>
      <c r="U110" s="34" t="b">
        <f t="shared" si="49"/>
        <v>1</v>
      </c>
      <c r="V110" s="34" t="b">
        <f t="shared" si="50"/>
        <v>1</v>
      </c>
      <c r="W110" s="34" t="b">
        <f t="shared" si="51"/>
        <v>1</v>
      </c>
      <c r="AM110" s="123"/>
      <c r="AN110" s="149"/>
      <c r="AO110" s="175"/>
      <c r="AP110" s="123"/>
      <c r="AQ110" s="123"/>
      <c r="AR110" s="123"/>
      <c r="AS110" s="123"/>
      <c r="AT110" s="123"/>
    </row>
    <row r="111" spans="1:46" ht="21.95" customHeight="1">
      <c r="A111" s="123"/>
      <c r="B111" s="149">
        <f t="shared" si="43"/>
        <v>42461</v>
      </c>
      <c r="C111" s="175">
        <f t="shared" si="44"/>
        <v>42461</v>
      </c>
      <c r="D111" s="123"/>
      <c r="E111" s="123"/>
      <c r="F111" s="123"/>
      <c r="G111" s="123"/>
      <c r="H111" s="123"/>
      <c r="P111" s="745">
        <f t="shared" si="52"/>
        <v>42156</v>
      </c>
      <c r="Q111" s="298">
        <f t="shared" si="45"/>
        <v>53950</v>
      </c>
      <c r="R111" s="298">
        <f t="shared" si="46"/>
        <v>53950</v>
      </c>
      <c r="S111" s="208">
        <f t="shared" si="47"/>
        <v>53950</v>
      </c>
      <c r="T111" s="298">
        <f t="shared" si="48"/>
        <v>53950</v>
      </c>
      <c r="U111" s="34" t="b">
        <f t="shared" si="49"/>
        <v>1</v>
      </c>
      <c r="V111" s="34" t="b">
        <f t="shared" si="50"/>
        <v>1</v>
      </c>
      <c r="W111" s="34" t="b">
        <f t="shared" si="51"/>
        <v>1</v>
      </c>
      <c r="AM111" s="123"/>
      <c r="AN111" s="149"/>
      <c r="AO111" s="175"/>
      <c r="AP111" s="123"/>
      <c r="AQ111" s="123"/>
      <c r="AR111" s="123"/>
      <c r="AS111" s="123"/>
      <c r="AT111" s="123"/>
    </row>
    <row r="112" spans="1:46" ht="21.95" customHeight="1">
      <c r="A112" s="123"/>
      <c r="B112" s="149">
        <f t="shared" si="43"/>
        <v>42461</v>
      </c>
      <c r="C112" s="175">
        <f t="shared" si="44"/>
        <v>42461</v>
      </c>
      <c r="D112" s="123"/>
      <c r="E112" s="123"/>
      <c r="F112" s="123"/>
      <c r="G112" s="123"/>
      <c r="H112" s="123"/>
      <c r="P112" s="745">
        <f t="shared" si="52"/>
        <v>42186</v>
      </c>
      <c r="Q112" s="298">
        <f t="shared" si="45"/>
        <v>53950</v>
      </c>
      <c r="R112" s="298">
        <f t="shared" si="46"/>
        <v>53950</v>
      </c>
      <c r="S112" s="208">
        <f t="shared" si="47"/>
        <v>53950</v>
      </c>
      <c r="T112" s="298">
        <f t="shared" si="48"/>
        <v>53950</v>
      </c>
      <c r="U112" s="34" t="b">
        <f t="shared" si="49"/>
        <v>1</v>
      </c>
      <c r="V112" s="34" t="b">
        <f t="shared" si="50"/>
        <v>1</v>
      </c>
      <c r="W112" s="34" t="b">
        <f>EXACT(R112,S112)</f>
        <v>1</v>
      </c>
      <c r="AM112" s="123"/>
      <c r="AN112" s="149"/>
      <c r="AO112" s="175"/>
      <c r="AP112" s="123"/>
      <c r="AQ112" s="123"/>
      <c r="AR112" s="123"/>
      <c r="AS112" s="123"/>
      <c r="AT112" s="123"/>
    </row>
    <row r="113" spans="1:46" ht="21.95" customHeight="1">
      <c r="A113" s="123"/>
      <c r="B113" s="149">
        <f t="shared" si="43"/>
        <v>42461</v>
      </c>
      <c r="C113" s="175">
        <f t="shared" si="44"/>
        <v>42461</v>
      </c>
      <c r="D113" s="123"/>
      <c r="E113" s="123"/>
      <c r="F113" s="123"/>
      <c r="G113" s="123"/>
      <c r="H113" s="123"/>
      <c r="P113" s="745">
        <f t="shared" si="52"/>
        <v>42217</v>
      </c>
      <c r="Q113" s="298">
        <f t="shared" si="45"/>
        <v>53950</v>
      </c>
      <c r="R113" s="298">
        <f t="shared" si="46"/>
        <v>53950</v>
      </c>
      <c r="S113" s="208">
        <f t="shared" si="47"/>
        <v>53950</v>
      </c>
      <c r="T113" s="298">
        <f t="shared" si="48"/>
        <v>53950</v>
      </c>
      <c r="U113" s="34" t="b">
        <f t="shared" si="49"/>
        <v>1</v>
      </c>
      <c r="V113" s="34" t="b">
        <f t="shared" si="50"/>
        <v>1</v>
      </c>
      <c r="W113" s="34" t="b">
        <f t="shared" si="51"/>
        <v>1</v>
      </c>
      <c r="AM113" s="123"/>
      <c r="AN113" s="149"/>
      <c r="AO113" s="175"/>
      <c r="AP113" s="123"/>
      <c r="AQ113" s="123"/>
      <c r="AR113" s="123"/>
      <c r="AS113" s="123"/>
      <c r="AT113" s="123"/>
    </row>
    <row r="114" spans="1:46" ht="21.95" customHeight="1">
      <c r="A114" s="123"/>
      <c r="B114" s="149">
        <f>B80</f>
        <v>42461</v>
      </c>
      <c r="C114" s="175">
        <f t="shared" si="44"/>
        <v>42461</v>
      </c>
      <c r="D114" s="123"/>
      <c r="E114" s="123"/>
      <c r="F114" s="123"/>
      <c r="G114" s="123"/>
      <c r="H114" s="123"/>
      <c r="P114" s="745">
        <f t="shared" si="52"/>
        <v>42248</v>
      </c>
      <c r="Q114" s="298">
        <f t="shared" si="45"/>
        <v>55410</v>
      </c>
      <c r="R114" s="298">
        <f t="shared" si="46"/>
        <v>55410</v>
      </c>
      <c r="S114" s="208">
        <f t="shared" si="47"/>
        <v>55410</v>
      </c>
      <c r="T114" s="298">
        <f t="shared" si="48"/>
        <v>55410</v>
      </c>
      <c r="U114" s="34" t="b">
        <f t="shared" si="49"/>
        <v>1</v>
      </c>
      <c r="V114" s="34" t="b">
        <f t="shared" si="50"/>
        <v>1</v>
      </c>
      <c r="W114" s="34" t="b">
        <f t="shared" si="51"/>
        <v>1</v>
      </c>
      <c r="AM114" s="123"/>
      <c r="AN114" s="149"/>
      <c r="AO114" s="175"/>
      <c r="AP114" s="123"/>
      <c r="AQ114" s="123"/>
      <c r="AR114" s="123"/>
      <c r="AS114" s="123"/>
      <c r="AT114" s="123"/>
    </row>
    <row r="115" spans="1:46" ht="21.95" customHeight="1">
      <c r="A115" s="123"/>
      <c r="B115" s="149"/>
      <c r="C115" s="123"/>
      <c r="D115" s="123"/>
      <c r="E115" s="123"/>
      <c r="F115" s="123"/>
      <c r="G115" s="123"/>
      <c r="H115" s="123"/>
      <c r="P115" s="745">
        <f t="shared" si="52"/>
        <v>42278</v>
      </c>
      <c r="Q115" s="298">
        <f t="shared" si="45"/>
        <v>55410</v>
      </c>
      <c r="R115" s="298">
        <f t="shared" si="46"/>
        <v>55410</v>
      </c>
      <c r="S115" s="208">
        <f>VLOOKUP(P115,$B$54:$E$65,4)</f>
        <v>55410</v>
      </c>
      <c r="T115" s="298">
        <f t="shared" si="48"/>
        <v>55410</v>
      </c>
      <c r="U115" s="34" t="b">
        <f t="shared" si="49"/>
        <v>1</v>
      </c>
      <c r="V115" s="34" t="b">
        <f t="shared" si="50"/>
        <v>1</v>
      </c>
      <c r="W115" s="34" t="b">
        <f t="shared" si="51"/>
        <v>1</v>
      </c>
      <c r="AM115" s="123"/>
      <c r="AN115" s="149"/>
      <c r="AO115" s="123"/>
      <c r="AP115" s="123"/>
      <c r="AQ115" s="123"/>
      <c r="AR115" s="123"/>
      <c r="AS115" s="123"/>
      <c r="AT115" s="123"/>
    </row>
    <row r="116" spans="1:46">
      <c r="A116" s="123"/>
      <c r="B116" s="123"/>
      <c r="C116" s="123"/>
      <c r="D116" s="123"/>
      <c r="E116" s="123"/>
      <c r="F116" s="123"/>
      <c r="G116" s="123"/>
      <c r="H116" s="123"/>
      <c r="P116" s="745">
        <f t="shared" si="52"/>
        <v>42309</v>
      </c>
      <c r="Q116" s="298">
        <f t="shared" si="45"/>
        <v>55410</v>
      </c>
      <c r="R116" s="298">
        <f t="shared" si="46"/>
        <v>55410</v>
      </c>
      <c r="S116" s="208">
        <f t="shared" si="47"/>
        <v>55410</v>
      </c>
      <c r="T116" s="298">
        <f t="shared" si="48"/>
        <v>55410</v>
      </c>
      <c r="U116" s="34" t="b">
        <f t="shared" si="49"/>
        <v>1</v>
      </c>
      <c r="V116" s="34" t="b">
        <f t="shared" si="50"/>
        <v>1</v>
      </c>
      <c r="W116" s="34" t="b">
        <f t="shared" si="51"/>
        <v>1</v>
      </c>
      <c r="AM116" s="123"/>
      <c r="AN116" s="123"/>
      <c r="AO116" s="123"/>
      <c r="AP116" s="123"/>
      <c r="AQ116" s="123"/>
      <c r="AR116" s="123"/>
      <c r="AS116" s="123"/>
      <c r="AT116" s="123"/>
    </row>
    <row r="117" spans="1:46">
      <c r="A117" s="123"/>
      <c r="B117" s="123"/>
      <c r="C117" s="123"/>
      <c r="D117" s="123"/>
      <c r="E117" s="123"/>
      <c r="F117" s="123"/>
      <c r="G117" s="123"/>
      <c r="H117" s="123"/>
      <c r="P117" s="745">
        <f t="shared" si="52"/>
        <v>42339</v>
      </c>
      <c r="Q117" s="298">
        <f t="shared" si="45"/>
        <v>55410</v>
      </c>
      <c r="R117" s="298">
        <f t="shared" si="46"/>
        <v>55410</v>
      </c>
      <c r="S117" s="208">
        <f t="shared" si="47"/>
        <v>55410</v>
      </c>
      <c r="T117" s="298">
        <f t="shared" si="48"/>
        <v>55410</v>
      </c>
      <c r="U117" s="34" t="b">
        <f>EXACT(Q117,R117)</f>
        <v>1</v>
      </c>
      <c r="V117" s="34" t="b">
        <f t="shared" si="50"/>
        <v>1</v>
      </c>
      <c r="W117" s="34" t="b">
        <f t="shared" si="51"/>
        <v>1</v>
      </c>
    </row>
    <row r="118" spans="1:46">
      <c r="A118" s="123"/>
      <c r="B118" s="123"/>
      <c r="C118" s="123"/>
      <c r="D118" s="123"/>
      <c r="E118" s="123"/>
      <c r="F118" s="123"/>
      <c r="G118" s="123"/>
      <c r="H118" s="123"/>
      <c r="P118" s="745">
        <f t="shared" si="52"/>
        <v>42370</v>
      </c>
      <c r="Q118" s="298">
        <f t="shared" si="45"/>
        <v>55410</v>
      </c>
      <c r="R118" s="298">
        <f t="shared" si="46"/>
        <v>55410</v>
      </c>
      <c r="S118" s="208">
        <f t="shared" si="47"/>
        <v>55410</v>
      </c>
      <c r="T118" s="298">
        <f t="shared" si="48"/>
        <v>55410</v>
      </c>
      <c r="U118" s="34" t="b">
        <f t="shared" si="49"/>
        <v>1</v>
      </c>
      <c r="V118" s="34" t="b">
        <f t="shared" si="50"/>
        <v>1</v>
      </c>
      <c r="W118" s="34" t="b">
        <f t="shared" si="51"/>
        <v>1</v>
      </c>
    </row>
    <row r="119" spans="1:46">
      <c r="P119" s="745">
        <f>MIN(IF($B$19&gt;P118,$B$19,$C$9),IF($P$19&gt;P118,$P$19,$C$9),IF($B$24&gt;P118,$B$24,$C$9),IF($P$24&gt;P118,$P$24,$C$9),IF($B$23&gt;P118,$B$23,$C$9),IF($P$23&gt;P118,$P$23,$C$9),IF($P$9&gt;P118,$P$9,$Q$9),DATE(YEAR(P118),MONTH(P118)+1,1))</f>
        <v>42401</v>
      </c>
      <c r="Q119" s="298">
        <f t="shared" si="45"/>
        <v>55410</v>
      </c>
      <c r="R119" s="298">
        <f t="shared" si="46"/>
        <v>55410</v>
      </c>
      <c r="S119" s="208">
        <f t="shared" si="47"/>
        <v>55410</v>
      </c>
      <c r="T119" s="298">
        <f t="shared" si="48"/>
        <v>55410</v>
      </c>
      <c r="U119" s="34" t="b">
        <f t="shared" si="49"/>
        <v>1</v>
      </c>
      <c r="V119" s="34" t="b">
        <f t="shared" si="50"/>
        <v>1</v>
      </c>
      <c r="W119" s="34" t="b">
        <f t="shared" si="51"/>
        <v>1</v>
      </c>
    </row>
    <row r="120" spans="1:46">
      <c r="P120" s="745">
        <f>MIN(IF($B$19&gt;P119,$B$19,$C$9),IF($P$19&gt;P119,$P$19,$C$9),IF($B$24&gt;P119,$B$24,$C$9),IF($P$24&gt;P119,$P$24,$C$9),IF($B$23&gt;P119,$B$23,$C$9),IF($P$23&gt;P119,$P$23,$C$9),IF($P$9&gt;P119,$P$9,$Q$9),DATE(YEAR(P119),MONTH(P119)+1,1))</f>
        <v>42430</v>
      </c>
      <c r="Q120" s="298">
        <f t="shared" si="45"/>
        <v>55410</v>
      </c>
      <c r="R120" s="298">
        <f t="shared" si="46"/>
        <v>55410</v>
      </c>
      <c r="S120" s="208">
        <f t="shared" si="47"/>
        <v>55410</v>
      </c>
      <c r="T120" s="298">
        <f t="shared" si="48"/>
        <v>55410</v>
      </c>
      <c r="U120" s="34" t="b">
        <f t="shared" si="49"/>
        <v>1</v>
      </c>
      <c r="V120" s="34" t="b">
        <f t="shared" si="50"/>
        <v>1</v>
      </c>
      <c r="W120" s="34" t="b">
        <f t="shared" si="51"/>
        <v>1</v>
      </c>
    </row>
    <row r="121" spans="1:46">
      <c r="P121" s="745">
        <f t="shared" si="52"/>
        <v>42461</v>
      </c>
      <c r="Q121" s="298">
        <f t="shared" si="45"/>
        <v>55410</v>
      </c>
      <c r="R121" s="298">
        <f t="shared" si="46"/>
        <v>55410</v>
      </c>
      <c r="S121" s="208">
        <f>VLOOKUP(P121,$B$54:$E$65,4)</f>
        <v>55410</v>
      </c>
      <c r="T121" s="298">
        <f>VLOOKUP(P121,$P$54:$S$65,4)</f>
        <v>55410</v>
      </c>
      <c r="U121" s="34" t="b">
        <f>EXACT(Q121,R121)</f>
        <v>1</v>
      </c>
      <c r="V121" s="34" t="b">
        <f t="shared" si="50"/>
        <v>1</v>
      </c>
      <c r="W121" s="34" t="b">
        <f t="shared" si="51"/>
        <v>1</v>
      </c>
    </row>
    <row r="122" spans="1:46">
      <c r="P122" s="745">
        <f t="shared" si="52"/>
        <v>42461</v>
      </c>
      <c r="Q122" s="298">
        <f t="shared" si="45"/>
        <v>55410</v>
      </c>
      <c r="R122" s="298">
        <f t="shared" si="46"/>
        <v>55410</v>
      </c>
      <c r="S122" s="208">
        <f t="shared" si="47"/>
        <v>55410</v>
      </c>
      <c r="T122" s="298">
        <f t="shared" si="48"/>
        <v>55410</v>
      </c>
      <c r="U122" s="34" t="b">
        <f t="shared" si="49"/>
        <v>1</v>
      </c>
      <c r="V122" s="34" t="b">
        <f t="shared" si="50"/>
        <v>1</v>
      </c>
      <c r="W122" s="34" t="b">
        <f t="shared" si="51"/>
        <v>1</v>
      </c>
    </row>
    <row r="123" spans="1:46">
      <c r="P123" s="745">
        <f t="shared" si="52"/>
        <v>42461</v>
      </c>
      <c r="Q123" s="298">
        <f t="shared" si="45"/>
        <v>55410</v>
      </c>
      <c r="R123" s="298">
        <f t="shared" si="46"/>
        <v>55410</v>
      </c>
      <c r="S123" s="208">
        <f t="shared" si="47"/>
        <v>55410</v>
      </c>
      <c r="T123" s="298">
        <f t="shared" si="48"/>
        <v>55410</v>
      </c>
      <c r="U123" s="34" t="b">
        <f t="shared" si="49"/>
        <v>1</v>
      </c>
      <c r="V123" s="34" t="b">
        <f t="shared" si="50"/>
        <v>1</v>
      </c>
      <c r="W123" s="34" t="b">
        <f t="shared" si="51"/>
        <v>1</v>
      </c>
    </row>
    <row r="124" spans="1:46">
      <c r="P124" s="745">
        <f t="shared" si="52"/>
        <v>42461</v>
      </c>
      <c r="Q124" s="298">
        <f t="shared" si="45"/>
        <v>55410</v>
      </c>
      <c r="R124" s="298">
        <f t="shared" si="46"/>
        <v>55410</v>
      </c>
      <c r="S124" s="208">
        <f t="shared" si="47"/>
        <v>55410</v>
      </c>
      <c r="T124" s="298">
        <f t="shared" si="48"/>
        <v>55410</v>
      </c>
      <c r="U124" s="34" t="b">
        <f t="shared" si="49"/>
        <v>1</v>
      </c>
      <c r="V124" s="34" t="b">
        <f t="shared" si="50"/>
        <v>1</v>
      </c>
      <c r="W124" s="34" t="b">
        <f t="shared" si="51"/>
        <v>1</v>
      </c>
    </row>
    <row r="125" spans="1:46">
      <c r="P125" s="745">
        <f t="shared" si="52"/>
        <v>42461</v>
      </c>
      <c r="Q125" s="298">
        <f t="shared" si="45"/>
        <v>55410</v>
      </c>
      <c r="R125" s="298">
        <f t="shared" si="46"/>
        <v>55410</v>
      </c>
      <c r="S125" s="208">
        <f t="shared" si="47"/>
        <v>55410</v>
      </c>
      <c r="T125" s="298">
        <f t="shared" si="48"/>
        <v>55410</v>
      </c>
      <c r="U125" s="34" t="b">
        <f t="shared" si="49"/>
        <v>1</v>
      </c>
      <c r="V125" s="34" t="b">
        <f t="shared" si="50"/>
        <v>1</v>
      </c>
      <c r="W125" s="34" t="b">
        <f t="shared" si="51"/>
        <v>1</v>
      </c>
    </row>
    <row r="126" spans="1:46">
      <c r="P126" s="745">
        <f t="shared" si="52"/>
        <v>42461</v>
      </c>
      <c r="Q126" s="298">
        <f t="shared" si="45"/>
        <v>55410</v>
      </c>
      <c r="R126" s="298">
        <f t="shared" si="46"/>
        <v>55410</v>
      </c>
      <c r="S126" s="208">
        <f t="shared" si="47"/>
        <v>55410</v>
      </c>
      <c r="T126" s="298">
        <f t="shared" si="48"/>
        <v>55410</v>
      </c>
      <c r="U126" s="34" t="b">
        <f t="shared" si="49"/>
        <v>1</v>
      </c>
      <c r="V126" s="34" t="b">
        <f t="shared" si="50"/>
        <v>1</v>
      </c>
      <c r="W126" s="34" t="b">
        <f t="shared" si="51"/>
        <v>1</v>
      </c>
    </row>
    <row r="127" spans="1:46">
      <c r="P127" s="745">
        <f t="shared" si="52"/>
        <v>42461</v>
      </c>
      <c r="Q127" s="298">
        <f t="shared" si="45"/>
        <v>55410</v>
      </c>
      <c r="R127" s="298">
        <f t="shared" si="46"/>
        <v>55410</v>
      </c>
      <c r="S127" s="208">
        <f t="shared" si="47"/>
        <v>55410</v>
      </c>
      <c r="T127" s="298">
        <f t="shared" si="48"/>
        <v>55410</v>
      </c>
      <c r="U127" s="34" t="b">
        <f t="shared" si="49"/>
        <v>1</v>
      </c>
      <c r="V127" s="34" t="b">
        <f t="shared" si="50"/>
        <v>1</v>
      </c>
      <c r="W127" s="34" t="b">
        <f t="shared" si="51"/>
        <v>1</v>
      </c>
    </row>
    <row r="128" spans="1:46">
      <c r="P128" s="745">
        <f t="shared" si="52"/>
        <v>42461</v>
      </c>
      <c r="Q128" s="298">
        <f t="shared" si="45"/>
        <v>55410</v>
      </c>
      <c r="R128" s="298">
        <f t="shared" si="46"/>
        <v>55410</v>
      </c>
      <c r="S128" s="208">
        <f t="shared" si="47"/>
        <v>55410</v>
      </c>
      <c r="T128" s="298">
        <f t="shared" si="48"/>
        <v>55410</v>
      </c>
      <c r="U128" s="34" t="b">
        <f t="shared" si="49"/>
        <v>1</v>
      </c>
      <c r="V128" s="34" t="b">
        <f t="shared" si="50"/>
        <v>1</v>
      </c>
      <c r="W128" s="34" t="b">
        <f t="shared" si="51"/>
        <v>1</v>
      </c>
    </row>
    <row r="129" spans="16:23">
      <c r="P129" s="745">
        <f t="shared" si="52"/>
        <v>42461</v>
      </c>
      <c r="Q129" s="298">
        <f t="shared" si="45"/>
        <v>55410</v>
      </c>
      <c r="R129" s="298">
        <f t="shared" si="46"/>
        <v>55410</v>
      </c>
      <c r="S129" s="208">
        <f t="shared" si="47"/>
        <v>55410</v>
      </c>
      <c r="T129" s="298">
        <f t="shared" si="48"/>
        <v>55410</v>
      </c>
      <c r="U129" s="34" t="b">
        <f t="shared" si="49"/>
        <v>1</v>
      </c>
      <c r="V129" s="34" t="b">
        <f t="shared" si="50"/>
        <v>1</v>
      </c>
      <c r="W129" s="34" t="b">
        <f t="shared" si="51"/>
        <v>1</v>
      </c>
    </row>
    <row r="130" spans="16:23">
      <c r="P130" s="745">
        <f t="shared" si="52"/>
        <v>42461</v>
      </c>
      <c r="Q130" s="298">
        <f t="shared" si="45"/>
        <v>55410</v>
      </c>
      <c r="R130" s="298">
        <f t="shared" si="46"/>
        <v>55410</v>
      </c>
      <c r="S130" s="208">
        <f t="shared" si="47"/>
        <v>55410</v>
      </c>
      <c r="T130" s="298">
        <f t="shared" si="48"/>
        <v>55410</v>
      </c>
      <c r="U130" s="34" t="b">
        <f t="shared" si="49"/>
        <v>1</v>
      </c>
      <c r="V130" s="34" t="b">
        <f t="shared" si="50"/>
        <v>1</v>
      </c>
      <c r="W130" s="34" t="b">
        <f t="shared" si="51"/>
        <v>1</v>
      </c>
    </row>
    <row r="131" spans="16:23">
      <c r="P131" s="745">
        <f t="shared" si="52"/>
        <v>42461</v>
      </c>
      <c r="Q131" s="298">
        <f t="shared" si="45"/>
        <v>55410</v>
      </c>
      <c r="R131" s="298">
        <f t="shared" si="46"/>
        <v>55410</v>
      </c>
      <c r="S131" s="208">
        <f t="shared" si="47"/>
        <v>55410</v>
      </c>
      <c r="T131" s="298">
        <f t="shared" si="48"/>
        <v>55410</v>
      </c>
      <c r="U131" s="34" t="b">
        <f t="shared" si="49"/>
        <v>1</v>
      </c>
      <c r="V131" s="34" t="b">
        <f t="shared" si="50"/>
        <v>1</v>
      </c>
      <c r="W131" s="34" t="b">
        <f t="shared" si="51"/>
        <v>1</v>
      </c>
    </row>
    <row r="132" spans="16:23">
      <c r="P132" s="745">
        <f t="shared" si="52"/>
        <v>42461</v>
      </c>
      <c r="Q132" s="298">
        <f t="shared" si="45"/>
        <v>55410</v>
      </c>
      <c r="R132" s="298">
        <f t="shared" si="46"/>
        <v>55410</v>
      </c>
      <c r="S132" s="208">
        <f t="shared" si="47"/>
        <v>55410</v>
      </c>
      <c r="T132" s="298">
        <f t="shared" si="48"/>
        <v>55410</v>
      </c>
      <c r="U132" s="34" t="b">
        <f t="shared" si="49"/>
        <v>1</v>
      </c>
      <c r="V132" s="34" t="b">
        <f t="shared" si="50"/>
        <v>1</v>
      </c>
      <c r="W132" s="34" t="b">
        <f t="shared" si="51"/>
        <v>1</v>
      </c>
    </row>
    <row r="133" spans="16:23">
      <c r="P133" s="745">
        <f t="shared" si="52"/>
        <v>42461</v>
      </c>
      <c r="Q133" s="298">
        <f t="shared" si="45"/>
        <v>55410</v>
      </c>
      <c r="R133" s="298">
        <f t="shared" si="46"/>
        <v>55410</v>
      </c>
      <c r="S133" s="208">
        <f t="shared" si="47"/>
        <v>55410</v>
      </c>
      <c r="T133" s="298">
        <f t="shared" si="48"/>
        <v>55410</v>
      </c>
      <c r="U133" s="34" t="b">
        <f t="shared" si="49"/>
        <v>1</v>
      </c>
      <c r="V133" s="34" t="b">
        <f t="shared" si="50"/>
        <v>1</v>
      </c>
      <c r="W133" s="34" t="b">
        <f t="shared" si="51"/>
        <v>1</v>
      </c>
    </row>
    <row r="134" spans="16:23">
      <c r="P134" s="745">
        <f t="shared" si="52"/>
        <v>42461</v>
      </c>
      <c r="Q134" s="298">
        <f t="shared" si="45"/>
        <v>55410</v>
      </c>
      <c r="R134" s="298">
        <f t="shared" si="46"/>
        <v>55410</v>
      </c>
      <c r="S134" s="208">
        <f t="shared" si="47"/>
        <v>55410</v>
      </c>
      <c r="T134" s="298">
        <f t="shared" si="48"/>
        <v>55410</v>
      </c>
      <c r="U134" s="34" t="b">
        <f t="shared" si="49"/>
        <v>1</v>
      </c>
      <c r="V134" s="34" t="b">
        <f t="shared" si="50"/>
        <v>1</v>
      </c>
      <c r="W134" s="34" t="b">
        <f t="shared" si="51"/>
        <v>1</v>
      </c>
    </row>
    <row r="135" spans="16:23">
      <c r="P135" s="745">
        <f t="shared" si="52"/>
        <v>42461</v>
      </c>
      <c r="Q135" s="298">
        <f t="shared" si="45"/>
        <v>55410</v>
      </c>
      <c r="R135" s="298">
        <f t="shared" si="46"/>
        <v>55410</v>
      </c>
      <c r="S135" s="208">
        <f t="shared" si="47"/>
        <v>55410</v>
      </c>
      <c r="T135" s="298">
        <f t="shared" si="48"/>
        <v>55410</v>
      </c>
      <c r="U135" s="34" t="b">
        <f t="shared" si="49"/>
        <v>1</v>
      </c>
      <c r="V135" s="34" t="b">
        <f t="shared" si="50"/>
        <v>1</v>
      </c>
      <c r="W135" s="34" t="b">
        <f t="shared" si="51"/>
        <v>1</v>
      </c>
    </row>
    <row r="136" spans="16:23">
      <c r="P136" s="745">
        <f t="shared" si="52"/>
        <v>42461</v>
      </c>
      <c r="Q136" s="298">
        <f t="shared" si="45"/>
        <v>55410</v>
      </c>
      <c r="R136" s="298">
        <f t="shared" si="46"/>
        <v>55410</v>
      </c>
      <c r="S136" s="208">
        <f t="shared" si="47"/>
        <v>55410</v>
      </c>
      <c r="T136" s="298">
        <f t="shared" si="48"/>
        <v>55410</v>
      </c>
      <c r="U136" s="34" t="b">
        <f t="shared" si="49"/>
        <v>1</v>
      </c>
      <c r="V136" s="34" t="b">
        <f t="shared" si="50"/>
        <v>1</v>
      </c>
      <c r="W136" s="34" t="b">
        <f t="shared" si="51"/>
        <v>1</v>
      </c>
    </row>
    <row r="137" spans="16:23">
      <c r="P137" s="745">
        <f t="shared" si="52"/>
        <v>42461</v>
      </c>
      <c r="Q137" s="298">
        <f t="shared" si="45"/>
        <v>55410</v>
      </c>
      <c r="R137" s="298">
        <f t="shared" si="46"/>
        <v>55410</v>
      </c>
      <c r="S137" s="208">
        <f t="shared" si="47"/>
        <v>55410</v>
      </c>
      <c r="T137" s="298">
        <f t="shared" si="48"/>
        <v>55410</v>
      </c>
      <c r="U137" s="34" t="b">
        <f t="shared" si="49"/>
        <v>1</v>
      </c>
      <c r="V137" s="34" t="b">
        <f t="shared" si="50"/>
        <v>1</v>
      </c>
      <c r="W137" s="34" t="b">
        <f t="shared" si="51"/>
        <v>1</v>
      </c>
    </row>
    <row r="138" spans="16:23">
      <c r="P138" s="745">
        <f t="shared" si="52"/>
        <v>42461</v>
      </c>
      <c r="Q138" s="298">
        <f t="shared" si="45"/>
        <v>55410</v>
      </c>
      <c r="R138" s="298">
        <f t="shared" si="46"/>
        <v>55410</v>
      </c>
      <c r="S138" s="208">
        <f t="shared" si="47"/>
        <v>55410</v>
      </c>
      <c r="T138" s="298">
        <f t="shared" si="48"/>
        <v>55410</v>
      </c>
      <c r="U138" s="34" t="b">
        <f t="shared" si="49"/>
        <v>1</v>
      </c>
      <c r="V138" s="34" t="b">
        <f t="shared" si="50"/>
        <v>1</v>
      </c>
      <c r="W138" s="34" t="b">
        <f t="shared" si="51"/>
        <v>1</v>
      </c>
    </row>
    <row r="139" spans="16:23">
      <c r="P139" s="745">
        <f t="shared" si="52"/>
        <v>42461</v>
      </c>
      <c r="Q139" s="298">
        <f t="shared" si="45"/>
        <v>55410</v>
      </c>
      <c r="R139" s="298">
        <f t="shared" si="46"/>
        <v>55410</v>
      </c>
      <c r="S139" s="208">
        <f t="shared" si="47"/>
        <v>55410</v>
      </c>
      <c r="T139" s="298">
        <f t="shared" si="48"/>
        <v>55410</v>
      </c>
      <c r="U139" s="34" t="b">
        <f t="shared" si="49"/>
        <v>1</v>
      </c>
      <c r="V139" s="34" t="b">
        <f t="shared" si="50"/>
        <v>1</v>
      </c>
      <c r="W139" s="34" t="b">
        <f t="shared" si="51"/>
        <v>1</v>
      </c>
    </row>
    <row r="140" spans="16:23">
      <c r="P140" s="745">
        <f t="shared" si="52"/>
        <v>42461</v>
      </c>
      <c r="Q140" s="298">
        <f t="shared" si="45"/>
        <v>55410</v>
      </c>
      <c r="R140" s="298">
        <f t="shared" si="46"/>
        <v>55410</v>
      </c>
      <c r="S140" s="208">
        <f t="shared" si="47"/>
        <v>55410</v>
      </c>
      <c r="T140" s="298">
        <f t="shared" si="48"/>
        <v>55410</v>
      </c>
      <c r="U140" s="34" t="b">
        <f t="shared" si="49"/>
        <v>1</v>
      </c>
      <c r="V140" s="34" t="b">
        <f t="shared" si="50"/>
        <v>1</v>
      </c>
      <c r="W140" s="34" t="b">
        <f t="shared" si="51"/>
        <v>1</v>
      </c>
    </row>
    <row r="141" spans="16:23">
      <c r="P141" s="745">
        <f t="shared" si="52"/>
        <v>42461</v>
      </c>
      <c r="Q141" s="298">
        <f t="shared" si="45"/>
        <v>55410</v>
      </c>
      <c r="R141" s="298">
        <f t="shared" si="46"/>
        <v>55410</v>
      </c>
      <c r="S141" s="208">
        <f t="shared" si="47"/>
        <v>55410</v>
      </c>
      <c r="T141" s="298">
        <f t="shared" si="48"/>
        <v>55410</v>
      </c>
      <c r="U141" s="34" t="b">
        <f t="shared" si="49"/>
        <v>1</v>
      </c>
      <c r="V141" s="34" t="b">
        <f t="shared" si="50"/>
        <v>1</v>
      </c>
      <c r="W141" s="34" t="b">
        <f t="shared" si="51"/>
        <v>1</v>
      </c>
    </row>
    <row r="142" spans="16:23">
      <c r="P142" s="745">
        <f t="shared" si="52"/>
        <v>42461</v>
      </c>
      <c r="Q142" s="298">
        <f t="shared" si="45"/>
        <v>55410</v>
      </c>
      <c r="R142" s="298">
        <f>VLOOKUP(P142,$P$30:$S$41,4)</f>
        <v>55410</v>
      </c>
      <c r="S142" s="208">
        <f t="shared" si="47"/>
        <v>55410</v>
      </c>
      <c r="T142" s="298">
        <f t="shared" si="48"/>
        <v>55410</v>
      </c>
      <c r="U142" s="34" t="b">
        <f t="shared" si="49"/>
        <v>1</v>
      </c>
      <c r="V142" s="34" t="b">
        <f t="shared" si="50"/>
        <v>1</v>
      </c>
      <c r="W142" s="34" t="b">
        <f t="shared" si="51"/>
        <v>1</v>
      </c>
    </row>
    <row r="143" spans="16:23">
      <c r="P143" s="745">
        <f t="shared" si="52"/>
        <v>42461</v>
      </c>
      <c r="Q143" s="298">
        <f t="shared" si="45"/>
        <v>55410</v>
      </c>
      <c r="R143" s="298">
        <f t="shared" si="46"/>
        <v>55410</v>
      </c>
      <c r="S143" s="208">
        <f t="shared" si="47"/>
        <v>55410</v>
      </c>
      <c r="T143" s="298">
        <f t="shared" si="48"/>
        <v>55410</v>
      </c>
      <c r="U143" s="34" t="b">
        <f t="shared" si="49"/>
        <v>1</v>
      </c>
      <c r="V143" s="34" t="b">
        <f t="shared" si="50"/>
        <v>1</v>
      </c>
      <c r="W143" s="34" t="b">
        <f t="shared" si="51"/>
        <v>1</v>
      </c>
    </row>
    <row r="144" spans="16:23">
      <c r="P144" s="745">
        <f t="shared" si="52"/>
        <v>42461</v>
      </c>
      <c r="Q144" s="298">
        <f t="shared" si="45"/>
        <v>55410</v>
      </c>
      <c r="R144" s="298">
        <f t="shared" si="46"/>
        <v>55410</v>
      </c>
      <c r="S144" s="208">
        <f t="shared" si="47"/>
        <v>55410</v>
      </c>
      <c r="T144" s="298">
        <f t="shared" si="48"/>
        <v>55410</v>
      </c>
      <c r="U144" s="34" t="b">
        <f t="shared" si="49"/>
        <v>1</v>
      </c>
      <c r="V144" s="34" t="b">
        <f t="shared" si="50"/>
        <v>1</v>
      </c>
      <c r="W144" s="34" t="b">
        <f t="shared" si="51"/>
        <v>1</v>
      </c>
    </row>
    <row r="145" spans="16:20">
      <c r="P145" s="148"/>
      <c r="Q145" s="298"/>
      <c r="R145" s="298"/>
      <c r="S145" s="298"/>
      <c r="T145" s="298"/>
    </row>
    <row r="146" spans="16:20">
      <c r="P146" s="148"/>
      <c r="Q146" s="740" t="s">
        <v>1884</v>
      </c>
      <c r="R146" s="740" t="s">
        <v>307</v>
      </c>
      <c r="S146" s="297" t="s">
        <v>1597</v>
      </c>
      <c r="T146" s="298"/>
    </row>
    <row r="147" spans="16:20">
      <c r="P147" s="204">
        <f>R91</f>
        <v>42005</v>
      </c>
      <c r="Q147" s="208">
        <f>VLOOKUP(P147,$P$106:$U$144,4)</f>
        <v>53950</v>
      </c>
      <c r="R147" s="298"/>
      <c r="S147" s="298"/>
      <c r="T147" s="298"/>
    </row>
    <row r="148" spans="16:20">
      <c r="P148" s="1128" t="s">
        <v>1598</v>
      </c>
      <c r="Q148" s="1128"/>
      <c r="R148" s="298"/>
      <c r="S148" s="298"/>
      <c r="T148" s="298"/>
    </row>
    <row r="149" spans="16:20">
      <c r="P149" s="746">
        <f>Main!BL4</f>
        <v>42064</v>
      </c>
      <c r="Q149" s="208">
        <f>IF(AND(Main!$L$6&gt;=$P$147,P149&lt;Main!$L$8),VLOOKUP(P149,$P$106:$U$144,5),VLOOKUP(P149,$P$106:$U$144,4))</f>
        <v>53950</v>
      </c>
      <c r="R149" s="729">
        <f>IF(P149&lt;Main!$C$27,'IN RPS-2010'!Q149,'IN RPS-2015'!Q149)</f>
        <v>25600</v>
      </c>
    </row>
    <row r="150" spans="16:20">
      <c r="P150" s="746">
        <f>MIN(DATE(YEAR(P149),MONTH(P149)+1,1))</f>
        <v>42095</v>
      </c>
      <c r="Q150" s="208">
        <f>IF(AND(Main!$L$6&gt;=$P$147,P150&lt;Main!$L$8),VLOOKUP(P150,$P$106:$U$144,5),VLOOKUP(P150,$P$106:$U$144,4))</f>
        <v>53950</v>
      </c>
      <c r="R150" s="729">
        <f>IF(P150&lt;Main!$C$27,'IN RPS-2010'!Q150,'IN RPS-2015'!Q150)</f>
        <v>25600</v>
      </c>
      <c r="S150" s="298"/>
      <c r="T150" s="298"/>
    </row>
    <row r="151" spans="16:20">
      <c r="P151" s="746">
        <f t="shared" ref="P151:P160" si="53">MIN(DATE(YEAR(P150),MONTH(P150)+1,1))</f>
        <v>42125</v>
      </c>
      <c r="Q151" s="208">
        <f>IF(AND(Main!$L$6&gt;=$P$147,P151&lt;Main!$L$8),VLOOKUP(P151,$P$106:$U$144,5),VLOOKUP(P151,$P$106:$U$144,4))</f>
        <v>53950</v>
      </c>
      <c r="R151" s="729">
        <f>IF(P151&lt;Main!$C$27,'IN RPS-2010'!Q151,'IN RPS-2015'!Q151)</f>
        <v>25600</v>
      </c>
      <c r="S151" s="298"/>
      <c r="T151" s="298"/>
    </row>
    <row r="152" spans="16:20">
      <c r="P152" s="746">
        <f t="shared" si="53"/>
        <v>42156</v>
      </c>
      <c r="Q152" s="208">
        <f>IF(AND(Main!$L$6&gt;=$P$147,P152&lt;Main!$L$8),VLOOKUP(P152,$P$106:$U$144,5),VLOOKUP(P152,$P$106:$U$144,4))</f>
        <v>53950</v>
      </c>
      <c r="R152" s="729">
        <f>IF(P152&lt;Main!$C$27,'IN RPS-2010'!Q152,'IN RPS-2015'!Q152)</f>
        <v>25600</v>
      </c>
      <c r="S152" s="298"/>
      <c r="T152" s="298"/>
    </row>
    <row r="153" spans="16:20">
      <c r="P153" s="746">
        <f t="shared" si="53"/>
        <v>42186</v>
      </c>
      <c r="Q153" s="208">
        <f>IF(AND(Main!$L$6&gt;=$P$147,P153&lt;Main!$L$8),VLOOKUP(P153,$P$106:$U$144,5),VLOOKUP(P153,$P$106:$U$144,4))</f>
        <v>53950</v>
      </c>
      <c r="R153" s="729">
        <f>IF(P153&lt;Main!$C$27,'IN RPS-2010'!Q153,'IN RPS-2015'!Q153)</f>
        <v>53950</v>
      </c>
      <c r="S153" s="298"/>
      <c r="T153" s="298"/>
    </row>
    <row r="154" spans="16:20">
      <c r="P154" s="746">
        <f t="shared" si="53"/>
        <v>42217</v>
      </c>
      <c r="Q154" s="208">
        <f>IF(AND(Main!$L$6&gt;=$P$147,P154&lt;Main!$L$8),VLOOKUP(P154,$P$106:$U$144,5),VLOOKUP(P154,$P$106:$U$144,4))</f>
        <v>53950</v>
      </c>
      <c r="R154" s="729">
        <f>IF(P154&lt;Main!$C$27,'IN RPS-2010'!Q154,'IN RPS-2015'!Q154)</f>
        <v>53950</v>
      </c>
      <c r="S154" s="298"/>
      <c r="T154" s="298"/>
    </row>
    <row r="155" spans="16:20">
      <c r="P155" s="746">
        <f t="shared" si="53"/>
        <v>42248</v>
      </c>
      <c r="Q155" s="208">
        <f>IF(AND(Main!$L$6&gt;=$P$147,P155&lt;Main!$L$8),VLOOKUP(P155,$P$106:$U$144,5),VLOOKUP(P155,$P$106:$U$144,4))</f>
        <v>55410</v>
      </c>
      <c r="R155" s="729">
        <f>IF(P155&lt;Main!$C$27,'IN RPS-2010'!Q155,'IN RPS-2015'!Q155)</f>
        <v>55410</v>
      </c>
      <c r="S155" s="298"/>
      <c r="T155" s="298"/>
    </row>
    <row r="156" spans="16:20">
      <c r="P156" s="746">
        <f t="shared" si="53"/>
        <v>42278</v>
      </c>
      <c r="Q156" s="208">
        <f>IF(AND(Main!$L$6&gt;=$P$147,P156&lt;Main!$L$8),VLOOKUP(P156,$P$106:$U$144,5),VLOOKUP(P156,$P$106:$U$144,4))</f>
        <v>55410</v>
      </c>
      <c r="R156" s="729">
        <f>IF(P156&lt;Main!$C$27,'IN RPS-2010'!Q156,'IN RPS-2015'!Q156)</f>
        <v>55410</v>
      </c>
      <c r="S156" s="298"/>
      <c r="T156" s="298"/>
    </row>
    <row r="157" spans="16:20">
      <c r="P157" s="746">
        <f t="shared" si="53"/>
        <v>42309</v>
      </c>
      <c r="Q157" s="208">
        <f>IF(AND(Main!$L$6&gt;=$P$147,P157&lt;Main!$L$8),VLOOKUP(P157,$P$106:$U$144,5),VLOOKUP(P157,$P$106:$U$144,4))</f>
        <v>55410</v>
      </c>
      <c r="R157" s="729">
        <f>IF(P157&lt;Main!$C$27,'IN RPS-2010'!Q157,'IN RPS-2015'!Q157)</f>
        <v>55410</v>
      </c>
      <c r="S157" s="298"/>
      <c r="T157" s="298"/>
    </row>
    <row r="158" spans="16:20">
      <c r="P158" s="746">
        <f t="shared" si="53"/>
        <v>42339</v>
      </c>
      <c r="Q158" s="208">
        <f>IF(AND(Main!$L$6&gt;=$P$147,P158&lt;Main!$L$8),VLOOKUP(P158,$P$106:$U$144,5),VLOOKUP(P158,$P$106:$U$144,4))</f>
        <v>55410</v>
      </c>
      <c r="R158" s="729">
        <f>IF(P158&lt;Main!$C$27,'IN RPS-2010'!Q158,'IN RPS-2015'!Q158)</f>
        <v>55410</v>
      </c>
      <c r="S158" s="298"/>
      <c r="T158" s="298"/>
    </row>
    <row r="159" spans="16:20">
      <c r="P159" s="746">
        <f t="shared" si="53"/>
        <v>42370</v>
      </c>
      <c r="Q159" s="208">
        <f>IF(AND(Main!$L$6&gt;=$P$147,P159&lt;Main!$L$8),VLOOKUP(P159,$P$106:$U$144,5),VLOOKUP(P159,$P$106:$U$144,4))</f>
        <v>55410</v>
      </c>
      <c r="R159" s="729">
        <f>IF(P159&lt;Main!$C$27,'IN RPS-2010'!Q159,'IN RPS-2015'!Q159)</f>
        <v>55410</v>
      </c>
      <c r="S159" s="298"/>
      <c r="T159" s="298"/>
    </row>
    <row r="160" spans="16:20">
      <c r="P160" s="746">
        <f t="shared" si="53"/>
        <v>42401</v>
      </c>
      <c r="Q160" s="208">
        <f>IF(AND(Main!$L$6&gt;=$P$147,P160&lt;Main!$L$8),VLOOKUP(P160,$P$106:$U$144,5),VLOOKUP(P160,$P$106:$U$144,4))</f>
        <v>55410</v>
      </c>
      <c r="R160" s="729">
        <f>IF(P160&lt;Main!$C$27,'IN RPS-2010'!Q160,'IN RPS-2015'!Q160)</f>
        <v>55410</v>
      </c>
      <c r="S160" s="298"/>
      <c r="T160" s="298"/>
    </row>
    <row r="161" spans="15:27">
      <c r="P161" s="148"/>
      <c r="Q161" s="298"/>
      <c r="R161" s="298"/>
      <c r="S161" s="298"/>
      <c r="T161" s="731" t="s">
        <v>1911</v>
      </c>
      <c r="U161" s="34">
        <f>IF(AND(Main!$H$7&gt;=DATE(2011,1,1),OR(Main!$AN$10=2,Main!$AN$10=5),'IN RPS-2015'!P164&lt;Main!$L$4),VLOOKUP(P164,$P$106:$U$144,3),VLOOKUP(P164,$P$106:$U$144,2))</f>
        <v>53950</v>
      </c>
      <c r="V161" s="34" t="s">
        <v>1913</v>
      </c>
      <c r="W161" s="737">
        <f>C11</f>
        <v>42462</v>
      </c>
      <c r="X161" s="34" t="s">
        <v>1914</v>
      </c>
      <c r="Y161" s="737">
        <f>Main!C27</f>
        <v>42186</v>
      </c>
    </row>
    <row r="162" spans="15:27">
      <c r="P162" s="299" t="s">
        <v>1599</v>
      </c>
      <c r="Q162" s="298"/>
      <c r="R162" s="209">
        <f>VLOOKUP(DATE(2015,1,1),P164:R202,3)</f>
        <v>53950</v>
      </c>
      <c r="S162" s="298"/>
      <c r="T162" s="298"/>
      <c r="V162" s="157" t="s">
        <v>1912</v>
      </c>
      <c r="X162" s="34" t="s">
        <v>1429</v>
      </c>
      <c r="Z162" s="157" t="s">
        <v>1915</v>
      </c>
    </row>
    <row r="163" spans="15:27">
      <c r="P163" s="148" t="s">
        <v>34</v>
      </c>
      <c r="Q163" s="297" t="s">
        <v>1600</v>
      </c>
      <c r="R163" s="297" t="s">
        <v>1593</v>
      </c>
      <c r="S163" s="298"/>
      <c r="T163" s="731" t="s">
        <v>1600</v>
      </c>
      <c r="U163" s="731" t="s">
        <v>1593</v>
      </c>
      <c r="V163" s="731" t="s">
        <v>1600</v>
      </c>
      <c r="W163" s="731" t="s">
        <v>1593</v>
      </c>
      <c r="X163" s="740" t="s">
        <v>1600</v>
      </c>
      <c r="Y163" s="740" t="s">
        <v>1593</v>
      </c>
      <c r="Z163" s="274" t="s">
        <v>1600</v>
      </c>
      <c r="AA163" s="274" t="s">
        <v>1593</v>
      </c>
    </row>
    <row r="164" spans="15:27">
      <c r="O164" s="737"/>
      <c r="P164" s="738">
        <f>P106</f>
        <v>42005</v>
      </c>
      <c r="Q164" s="221">
        <f>VLOOKUP(P164,$P$106:$U$144,2)</f>
        <v>53950</v>
      </c>
      <c r="R164" s="221">
        <f>IF(AND(Main!$H$7&gt;=DATE(2011,1,1),OR(Main!$AN$10=2,Main!$AN$10=5),'IN RPS-2015'!P164&lt;Main!$L$4),VLOOKUP(P164,$P$106:$U$144,3),VLOOKUP(P164,$P$106:$U$144,4))</f>
        <v>53950</v>
      </c>
      <c r="S164" s="221" t="b">
        <f>EXACT(Q164,R164)</f>
        <v>1</v>
      </c>
      <c r="T164" s="298">
        <f>IF(W!$B$56&lt;=W!$G$7,'IN RPS-2010'!Q164,Q164)</f>
        <v>53950</v>
      </c>
      <c r="U164" s="732">
        <f>IF(W!$B$56&lt;=W!$G$7,'IN RPS-2010'!R164,R164)</f>
        <v>53950</v>
      </c>
      <c r="V164" s="34">
        <f>IF(W!$B$99&lt;=W!$G$7,'IN RPS-2010'!Q164,Q164)</f>
        <v>53950</v>
      </c>
      <c r="W164" s="34">
        <f>IF(W!$B$99&lt;=W!$G$7,'IN RPS-2010'!R164,R164)</f>
        <v>53950</v>
      </c>
      <c r="X164" s="34">
        <f>IF($Y$161&lt;$W$161,Q164,'IN RPS-2010'!Q164)</f>
        <v>53950</v>
      </c>
      <c r="Y164" s="34">
        <f>IF($Y$161&lt;$W$161,R164,'IN RPS-2010'!R164)</f>
        <v>53950</v>
      </c>
      <c r="Z164" s="34">
        <f>S215</f>
        <v>53950</v>
      </c>
      <c r="AA164" s="34">
        <f>'IN RPS-2010'!S215</f>
        <v>25600</v>
      </c>
    </row>
    <row r="165" spans="15:27">
      <c r="O165" s="737">
        <f>P164</f>
        <v>42005</v>
      </c>
      <c r="P165" s="738">
        <f t="shared" ref="P165:P202" si="54">P107</f>
        <v>42036</v>
      </c>
      <c r="Q165" s="221">
        <f>VLOOKUP(P165,$P$106:$U$144,2)</f>
        <v>53950</v>
      </c>
      <c r="R165" s="221">
        <f>IF(AND(Main!$H$7&gt;=DATE(2011,1,1),OR(Main!$AN$10=2,Main!$AN$10=5),'IN RPS-2015'!P165&lt;Main!$L$4),VLOOKUP(P165,$P$106:$U$144,3),VLOOKUP(P165,$P$106:$U$144,4))</f>
        <v>53950</v>
      </c>
      <c r="S165" s="221" t="b">
        <f t="shared" ref="S165:S202" si="55">EXACT(Q165,R165)</f>
        <v>1</v>
      </c>
      <c r="T165" s="732">
        <f>IF(W!$B$56&lt;=W!$G$7,'IN RPS-2010'!Q165,Q165)</f>
        <v>53950</v>
      </c>
      <c r="U165" s="732">
        <f>IF(W!$B$56&lt;=W!$G$7,'IN RPS-2010'!R165,R165)</f>
        <v>53950</v>
      </c>
      <c r="V165" s="34">
        <f>IF(W!$B$99&lt;=W!$G$7,'IN RPS-2010'!Q165,Q165)</f>
        <v>53950</v>
      </c>
      <c r="W165" s="34">
        <f>IF(W!$B$99&lt;=W!$G$7,'IN RPS-2010'!R165,R165)</f>
        <v>53950</v>
      </c>
      <c r="X165" s="34">
        <f>IF($Y$161&lt;$W$161,Q165,'IN RPS-2010'!Q165)</f>
        <v>53950</v>
      </c>
      <c r="Y165" s="34">
        <f>IF($Y$161&lt;$W$161,R165,'IN RPS-2010'!R165)</f>
        <v>53950</v>
      </c>
      <c r="Z165" s="34">
        <f t="shared" ref="Z165:Z202" si="56">S216</f>
        <v>53950</v>
      </c>
      <c r="AA165" s="34">
        <f>'IN RPS-2010'!S216</f>
        <v>25600</v>
      </c>
    </row>
    <row r="166" spans="15:27">
      <c r="O166" s="737">
        <f t="shared" ref="O166:O202" si="57">P165</f>
        <v>42036</v>
      </c>
      <c r="P166" s="738">
        <f t="shared" si="54"/>
        <v>42064</v>
      </c>
      <c r="Q166" s="221">
        <f t="shared" ref="Q166:Q202" si="58">VLOOKUP(P166,$P$106:$U$144,2)</f>
        <v>53950</v>
      </c>
      <c r="R166" s="221">
        <f>IF(AND(Main!$H$7&gt;=DATE(2011,1,1),OR(Main!$AN$10=2,Main!$AN$10=5),'IN RPS-2015'!P166&lt;Main!$L$4),VLOOKUP(P166,$P$106:$U$144,3),VLOOKUP(P166,$P$106:$U$144,4))</f>
        <v>53950</v>
      </c>
      <c r="S166" s="221" t="b">
        <f t="shared" si="55"/>
        <v>1</v>
      </c>
      <c r="T166" s="732">
        <f>IF(W!$B$56&lt;=W!$G$7,'IN RPS-2010'!Q166,Q166)</f>
        <v>53950</v>
      </c>
      <c r="U166" s="732">
        <f>IF(W!$B$56&lt;=W!$G$7,'IN RPS-2010'!R166,R166)</f>
        <v>53950</v>
      </c>
      <c r="V166" s="34">
        <f>IF(W!$B$99&lt;=W!$G$7,'IN RPS-2010'!Q166,Q166)</f>
        <v>53950</v>
      </c>
      <c r="W166" s="34">
        <f>IF(W!$B$99&lt;=W!$G$7,'IN RPS-2010'!R166,R166)</f>
        <v>53950</v>
      </c>
      <c r="X166" s="34">
        <f>IF($Y$161&lt;$W$161,Q166,'IN RPS-2010'!Q166)</f>
        <v>53950</v>
      </c>
      <c r="Y166" s="34">
        <f>IF($Y$161&lt;$W$161,R166,'IN RPS-2010'!R166)</f>
        <v>53950</v>
      </c>
      <c r="Z166" s="34">
        <f t="shared" si="56"/>
        <v>53950</v>
      </c>
      <c r="AA166" s="34">
        <f>'IN RPS-2010'!S217</f>
        <v>25600</v>
      </c>
    </row>
    <row r="167" spans="15:27">
      <c r="O167" s="737">
        <f t="shared" si="57"/>
        <v>42064</v>
      </c>
      <c r="P167" s="738">
        <f t="shared" si="54"/>
        <v>42095</v>
      </c>
      <c r="Q167" s="221">
        <f t="shared" si="58"/>
        <v>53950</v>
      </c>
      <c r="R167" s="221">
        <f>IF(AND(Main!$H$7&gt;=DATE(2011,1,1),OR(Main!$AN$10=2,Main!$AN$10=5),'IN RPS-2015'!P167&lt;Main!$L$4),VLOOKUP(P167,$P$106:$U$144,3),VLOOKUP(P167,$P$106:$U$144,4))</f>
        <v>53950</v>
      </c>
      <c r="S167" s="221" t="b">
        <f t="shared" si="55"/>
        <v>1</v>
      </c>
      <c r="T167" s="732">
        <f>IF(W!$B$56&lt;=W!$G$7,'IN RPS-2010'!Q167,Q167)</f>
        <v>53950</v>
      </c>
      <c r="U167" s="732">
        <f>IF(W!$B$56&lt;=W!$G$7,'IN RPS-2010'!R167,R167)</f>
        <v>53950</v>
      </c>
      <c r="V167" s="34">
        <f>IF(W!$B$99&lt;=W!$G$7,'IN RPS-2010'!Q167,Q167)</f>
        <v>53950</v>
      </c>
      <c r="W167" s="34">
        <f>IF(W!$B$99&lt;=W!$G$7,'IN RPS-2010'!R167,R167)</f>
        <v>53950</v>
      </c>
      <c r="X167" s="34">
        <f>IF($Y$161&lt;$W$161,Q167,'IN RPS-2010'!Q167)</f>
        <v>53950</v>
      </c>
      <c r="Y167" s="34">
        <f>IF($Y$161&lt;$W$161,R167,'IN RPS-2010'!R167)</f>
        <v>53950</v>
      </c>
      <c r="Z167" s="34">
        <f t="shared" si="56"/>
        <v>53950</v>
      </c>
      <c r="AA167" s="34">
        <f>'IN RPS-2010'!S218</f>
        <v>25600</v>
      </c>
    </row>
    <row r="168" spans="15:27">
      <c r="O168" s="737">
        <f t="shared" si="57"/>
        <v>42095</v>
      </c>
      <c r="P168" s="738">
        <f t="shared" si="54"/>
        <v>42125</v>
      </c>
      <c r="Q168" s="221">
        <f t="shared" si="58"/>
        <v>53950</v>
      </c>
      <c r="R168" s="221">
        <f>IF(AND(Main!$H$7&gt;=DATE(2011,1,1),OR(Main!$AN$10=2,Main!$AN$10=5),'IN RPS-2015'!P168&lt;Main!$L$4),VLOOKUP(P168,$P$106:$U$144,3),VLOOKUP(P168,$P$106:$U$144,4))</f>
        <v>53950</v>
      </c>
      <c r="S168" s="221" t="b">
        <f t="shared" si="55"/>
        <v>1</v>
      </c>
      <c r="T168" s="732">
        <f>IF(W!$B$56&lt;=W!$G$7,'IN RPS-2010'!Q168,Q168)</f>
        <v>53950</v>
      </c>
      <c r="U168" s="732">
        <f>IF(W!$B$56&lt;=W!$G$7,'IN RPS-2010'!R168,R168)</f>
        <v>53950</v>
      </c>
      <c r="V168" s="34">
        <f>IF(W!$B$99&lt;=W!$G$7,'IN RPS-2010'!Q168,Q168)</f>
        <v>53950</v>
      </c>
      <c r="W168" s="34">
        <f>IF(W!$B$99&lt;=W!$G$7,'IN RPS-2010'!R168,R168)</f>
        <v>53950</v>
      </c>
      <c r="X168" s="34">
        <f>IF($Y$161&lt;$W$161,Q168,'IN RPS-2010'!Q168)</f>
        <v>53950</v>
      </c>
      <c r="Y168" s="34">
        <f>IF($Y$161&lt;$W$161,R168,'IN RPS-2010'!R168)</f>
        <v>53950</v>
      </c>
      <c r="Z168" s="34">
        <f t="shared" si="56"/>
        <v>53950</v>
      </c>
      <c r="AA168" s="34">
        <f>'IN RPS-2010'!S219</f>
        <v>25600</v>
      </c>
    </row>
    <row r="169" spans="15:27">
      <c r="O169" s="737">
        <f t="shared" si="57"/>
        <v>42125</v>
      </c>
      <c r="P169" s="738">
        <f t="shared" si="54"/>
        <v>42156</v>
      </c>
      <c r="Q169" s="221">
        <f t="shared" si="58"/>
        <v>53950</v>
      </c>
      <c r="R169" s="221">
        <f>IF(AND(Main!$H$7&gt;=DATE(2011,1,1),OR(Main!$AN$10=2,Main!$AN$10=5),'IN RPS-2015'!P169&lt;Main!$L$4),VLOOKUP(P169,$P$106:$U$144,3),VLOOKUP(P169,$P$106:$U$144,4))</f>
        <v>53950</v>
      </c>
      <c r="S169" s="221" t="b">
        <f t="shared" si="55"/>
        <v>1</v>
      </c>
      <c r="T169" s="732">
        <f>IF(W!$B$56&lt;=W!$G$7,'IN RPS-2010'!Q169,Q169)</f>
        <v>53950</v>
      </c>
      <c r="U169" s="732">
        <f>IF(W!$B$56&lt;=W!$G$7,'IN RPS-2010'!R169,R169)</f>
        <v>53950</v>
      </c>
      <c r="V169" s="34">
        <f>IF(W!$B$99&lt;=W!$G$7,'IN RPS-2010'!Q169,Q169)</f>
        <v>53950</v>
      </c>
      <c r="W169" s="34">
        <f>IF(W!$B$99&lt;=W!$G$7,'IN RPS-2010'!R169,R169)</f>
        <v>53950</v>
      </c>
      <c r="X169" s="34">
        <f>IF($Y$161&lt;$W$161,Q169,'IN RPS-2010'!Q169)</f>
        <v>53950</v>
      </c>
      <c r="Y169" s="34">
        <f>IF($Y$161&lt;$W$161,R169,'IN RPS-2010'!R169)</f>
        <v>53950</v>
      </c>
      <c r="Z169" s="34">
        <f t="shared" si="56"/>
        <v>53950</v>
      </c>
      <c r="AA169" s="34">
        <f>'IN RPS-2010'!S220</f>
        <v>25600</v>
      </c>
    </row>
    <row r="170" spans="15:27">
      <c r="O170" s="737">
        <f t="shared" si="57"/>
        <v>42156</v>
      </c>
      <c r="P170" s="738">
        <f t="shared" si="54"/>
        <v>42186</v>
      </c>
      <c r="Q170" s="221">
        <f t="shared" si="58"/>
        <v>53950</v>
      </c>
      <c r="R170" s="221">
        <f>IF(AND(Main!$H$7&gt;=DATE(2011,1,1),OR(Main!$AN$10=2,Main!$AN$10=5),'IN RPS-2015'!P170&lt;Main!$L$4),VLOOKUP(P170,$P$106:$U$144,3),VLOOKUP(P170,$P$106:$U$144,4))</f>
        <v>53950</v>
      </c>
      <c r="S170" s="221" t="b">
        <f t="shared" si="55"/>
        <v>1</v>
      </c>
      <c r="T170" s="732">
        <f>IF(W!$B$56&lt;=W!$G$7,'IN RPS-2010'!Q170,Q170)</f>
        <v>53950</v>
      </c>
      <c r="U170" s="732">
        <f>IF(W!$B$56&lt;=W!$G$7,'IN RPS-2010'!R170,R170)</f>
        <v>53950</v>
      </c>
      <c r="V170" s="34">
        <f>IF(W!$B$99&lt;=W!$G$7,'IN RPS-2010'!Q170,Q170)</f>
        <v>53950</v>
      </c>
      <c r="W170" s="34">
        <f>IF(W!$B$99&lt;=W!$G$7,'IN RPS-2010'!R170,R170)</f>
        <v>53950</v>
      </c>
      <c r="X170" s="34">
        <f>IF($Y$161&lt;$W$161,Q170,'IN RPS-2010'!Q170)</f>
        <v>53950</v>
      </c>
      <c r="Y170" s="34">
        <f>IF($Y$161&lt;$W$161,R170,'IN RPS-2010'!R170)</f>
        <v>53950</v>
      </c>
      <c r="Z170" s="34">
        <f t="shared" si="56"/>
        <v>53950</v>
      </c>
      <c r="AA170" s="34">
        <f>'IN RPS-2010'!S221</f>
        <v>25600</v>
      </c>
    </row>
    <row r="171" spans="15:27">
      <c r="O171" s="737">
        <f t="shared" si="57"/>
        <v>42186</v>
      </c>
      <c r="P171" s="738">
        <f t="shared" si="54"/>
        <v>42217</v>
      </c>
      <c r="Q171" s="221">
        <f t="shared" si="58"/>
        <v>53950</v>
      </c>
      <c r="R171" s="221">
        <f>IF(AND(Main!$H$7&gt;=DATE(2011,1,1),OR(Main!$AN$10=2,Main!$AN$10=5),'IN RPS-2015'!P171&lt;Main!$L$4),VLOOKUP(P171,$P$106:$U$144,3),VLOOKUP(P171,$P$106:$U$144,4))</f>
        <v>53950</v>
      </c>
      <c r="S171" s="221" t="b">
        <f t="shared" si="55"/>
        <v>1</v>
      </c>
      <c r="T171" s="732">
        <f>IF(W!$B$56&lt;=W!$G$7,'IN RPS-2010'!Q171,Q171)</f>
        <v>53950</v>
      </c>
      <c r="U171" s="732">
        <f>IF(W!$B$56&lt;=W!$G$7,'IN RPS-2010'!R171,R171)</f>
        <v>53950</v>
      </c>
      <c r="V171" s="34">
        <f>IF(W!$B$99&lt;=W!$G$7,'IN RPS-2010'!Q171,Q171)</f>
        <v>53950</v>
      </c>
      <c r="W171" s="34">
        <f>IF(W!$B$99&lt;=W!$G$7,'IN RPS-2010'!R171,R171)</f>
        <v>53950</v>
      </c>
      <c r="X171" s="34">
        <f>IF($Y$161&lt;$W$161,Q171,'IN RPS-2010'!Q171)</f>
        <v>53950</v>
      </c>
      <c r="Y171" s="34">
        <f>IF($Y$161&lt;$W$161,R171,'IN RPS-2010'!R171)</f>
        <v>53950</v>
      </c>
      <c r="Z171" s="34">
        <f t="shared" si="56"/>
        <v>53950</v>
      </c>
      <c r="AA171" s="34">
        <f>'IN RPS-2010'!S222</f>
        <v>25600</v>
      </c>
    </row>
    <row r="172" spans="15:27">
      <c r="O172" s="737">
        <f t="shared" si="57"/>
        <v>42217</v>
      </c>
      <c r="P172" s="738">
        <f t="shared" si="54"/>
        <v>42248</v>
      </c>
      <c r="Q172" s="221">
        <f t="shared" si="58"/>
        <v>55410</v>
      </c>
      <c r="R172" s="221">
        <f>IF(AND(Main!$H$7&gt;=DATE(2011,1,1),OR(Main!$AN$10=2,Main!$AN$10=5),'IN RPS-2015'!P172&lt;Main!$L$4),VLOOKUP(P172,$P$106:$U$144,3),VLOOKUP(P172,$P$106:$U$144,4))</f>
        <v>55410</v>
      </c>
      <c r="S172" s="221" t="b">
        <f t="shared" si="55"/>
        <v>1</v>
      </c>
      <c r="T172" s="732">
        <f>IF(W!$B$56&lt;=W!$G$7,'IN RPS-2010'!Q172,Q172)</f>
        <v>55410</v>
      </c>
      <c r="U172" s="732">
        <f>IF(W!$B$56&lt;=W!$G$7,'IN RPS-2010'!R172,R172)</f>
        <v>55410</v>
      </c>
      <c r="V172" s="34">
        <f>IF(W!$B$99&lt;=W!$G$7,'IN RPS-2010'!Q172,Q172)</f>
        <v>55410</v>
      </c>
      <c r="W172" s="34">
        <f>IF(W!$B$99&lt;=W!$G$7,'IN RPS-2010'!R172,R172)</f>
        <v>55410</v>
      </c>
      <c r="X172" s="34">
        <f>IF($Y$161&lt;$W$161,Q172,'IN RPS-2010'!Q172)</f>
        <v>55410</v>
      </c>
      <c r="Y172" s="34">
        <f>IF($Y$161&lt;$W$161,R172,'IN RPS-2010'!R172)</f>
        <v>55410</v>
      </c>
      <c r="Z172" s="34">
        <f t="shared" si="56"/>
        <v>55410</v>
      </c>
      <c r="AA172" s="34">
        <f>'IN RPS-2010'!S223</f>
        <v>26300</v>
      </c>
    </row>
    <row r="173" spans="15:27">
      <c r="O173" s="737">
        <f t="shared" si="57"/>
        <v>42248</v>
      </c>
      <c r="P173" s="738">
        <f t="shared" si="54"/>
        <v>42278</v>
      </c>
      <c r="Q173" s="221">
        <f t="shared" si="58"/>
        <v>55410</v>
      </c>
      <c r="R173" s="221">
        <f>IF(AND(Main!$H$7&gt;=DATE(2011,1,1),OR(Main!$AN$10=2,Main!$AN$10=5),'IN RPS-2015'!P173&lt;Main!$L$4),VLOOKUP(P173,$P$106:$U$144,3),VLOOKUP(P173,$P$106:$U$144,4))</f>
        <v>55410</v>
      </c>
      <c r="S173" s="221" t="b">
        <f t="shared" si="55"/>
        <v>1</v>
      </c>
      <c r="T173" s="732">
        <f>IF(W!$B$56&lt;=W!$G$7,'IN RPS-2010'!Q173,Q173)</f>
        <v>55410</v>
      </c>
      <c r="U173" s="732">
        <f>IF(W!$B$56&lt;=W!$G$7,'IN RPS-2010'!R173,R173)</f>
        <v>55410</v>
      </c>
      <c r="V173" s="34">
        <f>IF(W!$B$99&lt;=W!$G$7,'IN RPS-2010'!Q173,Q173)</f>
        <v>55410</v>
      </c>
      <c r="W173" s="34">
        <f>IF(W!$B$99&lt;=W!$G$7,'IN RPS-2010'!R173,R173)</f>
        <v>55410</v>
      </c>
      <c r="X173" s="34">
        <f>IF($Y$161&lt;$W$161,Q173,'IN RPS-2010'!Q173)</f>
        <v>55410</v>
      </c>
      <c r="Y173" s="34">
        <f>IF($Y$161&lt;$W$161,R173,'IN RPS-2010'!R173)</f>
        <v>55410</v>
      </c>
      <c r="Z173" s="34">
        <f t="shared" si="56"/>
        <v>55410</v>
      </c>
      <c r="AA173" s="34">
        <f>'IN RPS-2010'!S224</f>
        <v>26300</v>
      </c>
    </row>
    <row r="174" spans="15:27">
      <c r="O174" s="737">
        <f t="shared" si="57"/>
        <v>42278</v>
      </c>
      <c r="P174" s="738">
        <f t="shared" si="54"/>
        <v>42309</v>
      </c>
      <c r="Q174" s="221">
        <f t="shared" si="58"/>
        <v>55410</v>
      </c>
      <c r="R174" s="221">
        <f>IF(AND(Main!$H$7&gt;=DATE(2011,1,1),OR(Main!$AN$10=2,Main!$AN$10=5),'IN RPS-2015'!P174&lt;Main!$L$4),VLOOKUP(P174,$P$106:$U$144,3),VLOOKUP(P174,$P$106:$U$144,4))</f>
        <v>55410</v>
      </c>
      <c r="S174" s="221" t="b">
        <f>EXACT(Q174,R174)</f>
        <v>1</v>
      </c>
      <c r="T174" s="732">
        <f>IF(W!$B$56&lt;=W!$G$7,'IN RPS-2010'!Q174,Q174)</f>
        <v>55410</v>
      </c>
      <c r="U174" s="732">
        <f>IF(W!$B$56&lt;=W!$G$7,'IN RPS-2010'!R174,R174)</f>
        <v>55410</v>
      </c>
      <c r="V174" s="34">
        <f>IF(W!$B$99&lt;=W!$G$7,'IN RPS-2010'!Q174,Q174)</f>
        <v>55410</v>
      </c>
      <c r="W174" s="34">
        <f>IF(W!$B$99&lt;=W!$G$7,'IN RPS-2010'!R174,R174)</f>
        <v>55410</v>
      </c>
      <c r="X174" s="34">
        <f>IF($Y$161&lt;$W$161,Q174,'IN RPS-2010'!Q174)</f>
        <v>55410</v>
      </c>
      <c r="Y174" s="34">
        <f>IF($Y$161&lt;$W$161,R174,'IN RPS-2010'!R174)</f>
        <v>55410</v>
      </c>
      <c r="Z174" s="34">
        <f t="shared" si="56"/>
        <v>55410</v>
      </c>
      <c r="AA174" s="34">
        <f>'IN RPS-2010'!S225</f>
        <v>26300</v>
      </c>
    </row>
    <row r="175" spans="15:27">
      <c r="O175" s="737">
        <f t="shared" si="57"/>
        <v>42309</v>
      </c>
      <c r="P175" s="738">
        <f t="shared" si="54"/>
        <v>42339</v>
      </c>
      <c r="Q175" s="221">
        <f t="shared" si="58"/>
        <v>55410</v>
      </c>
      <c r="R175" s="221">
        <f>IF(AND(Main!$H$7&gt;=DATE(2011,1,1),OR(Main!$AN$10=2,Main!$AN$10=5),'IN RPS-2015'!P175&lt;Main!$L$4),VLOOKUP(P175,$P$106:$U$144,3),VLOOKUP(P175,$P$106:$U$144,4))</f>
        <v>55410</v>
      </c>
      <c r="S175" s="221" t="b">
        <f t="shared" si="55"/>
        <v>1</v>
      </c>
      <c r="T175" s="732">
        <f>IF(W!$B$56&lt;=W!$G$7,'IN RPS-2010'!Q175,Q175)</f>
        <v>55410</v>
      </c>
      <c r="U175" s="732">
        <f>IF(W!$B$56&lt;=W!$G$7,'IN RPS-2010'!R175,R175)</f>
        <v>55410</v>
      </c>
      <c r="V175" s="34">
        <f>IF(W!$B$99&lt;=W!$G$7,'IN RPS-2010'!Q175,Q175)</f>
        <v>55410</v>
      </c>
      <c r="W175" s="34">
        <f>IF(W!$B$99&lt;=W!$G$7,'IN RPS-2010'!R175,R175)</f>
        <v>55410</v>
      </c>
      <c r="X175" s="34">
        <f>IF($Y$161&lt;$W$161,Q175,'IN RPS-2010'!Q175)</f>
        <v>55410</v>
      </c>
      <c r="Y175" s="34">
        <f>IF($Y$161&lt;$W$161,R175,'IN RPS-2010'!R175)</f>
        <v>55410</v>
      </c>
      <c r="Z175" s="34">
        <f t="shared" si="56"/>
        <v>55410</v>
      </c>
      <c r="AA175" s="34">
        <f>'IN RPS-2010'!S226</f>
        <v>26300</v>
      </c>
    </row>
    <row r="176" spans="15:27">
      <c r="O176" s="737">
        <f t="shared" si="57"/>
        <v>42339</v>
      </c>
      <c r="P176" s="738">
        <f t="shared" si="54"/>
        <v>42370</v>
      </c>
      <c r="Q176" s="221">
        <f t="shared" si="58"/>
        <v>55410</v>
      </c>
      <c r="R176" s="221">
        <f>IF(AND(Main!$H$7&gt;=DATE(2011,1,1),OR(Main!$AN$10=2,Main!$AN$10=5),'IN RPS-2015'!P176&lt;Main!$L$4),VLOOKUP(P176,$P$106:$U$144,3),VLOOKUP(P176,$P$106:$U$144,4))</f>
        <v>55410</v>
      </c>
      <c r="S176" s="221" t="b">
        <f t="shared" si="55"/>
        <v>1</v>
      </c>
      <c r="T176" s="732">
        <f>IF(W!$B$56&lt;=W!$G$7,'IN RPS-2010'!Q176,Q176)</f>
        <v>55410</v>
      </c>
      <c r="U176" s="732">
        <f>IF(W!$B$56&lt;=W!$G$7,'IN RPS-2010'!R176,R176)</f>
        <v>55410</v>
      </c>
      <c r="V176" s="34">
        <f>IF(W!$B$99&lt;=W!$G$7,'IN RPS-2010'!Q176,Q176)</f>
        <v>55410</v>
      </c>
      <c r="W176" s="34">
        <f>IF(W!$B$99&lt;=W!$G$7,'IN RPS-2010'!R176,R176)</f>
        <v>55410</v>
      </c>
      <c r="X176" s="34">
        <f>IF($Y$161&lt;$W$161,Q176,'IN RPS-2010'!Q176)</f>
        <v>55410</v>
      </c>
      <c r="Y176" s="34">
        <f>IF($Y$161&lt;$W$161,R176,'IN RPS-2010'!R176)</f>
        <v>55410</v>
      </c>
      <c r="Z176" s="34">
        <f t="shared" si="56"/>
        <v>55410</v>
      </c>
      <c r="AA176" s="34">
        <f>'IN RPS-2010'!S227</f>
        <v>26300</v>
      </c>
    </row>
    <row r="177" spans="15:27">
      <c r="O177" s="737">
        <f t="shared" si="57"/>
        <v>42370</v>
      </c>
      <c r="P177" s="738">
        <f t="shared" si="54"/>
        <v>42401</v>
      </c>
      <c r="Q177" s="221">
        <f t="shared" si="58"/>
        <v>55410</v>
      </c>
      <c r="R177" s="221">
        <f>IF(AND(Main!$H$7&gt;=DATE(2011,1,1),OR(Main!$AN$10=2,Main!$AN$10=5),'IN RPS-2015'!P177&lt;Main!$L$4),VLOOKUP(P177,$P$106:$U$144,3),VLOOKUP(P177,$P$106:$U$144,4))</f>
        <v>55410</v>
      </c>
      <c r="S177" s="221" t="b">
        <f t="shared" si="55"/>
        <v>1</v>
      </c>
      <c r="T177" s="732">
        <f>IF(W!$B$56&lt;=W!$G$7,'IN RPS-2010'!Q177,Q177)</f>
        <v>55410</v>
      </c>
      <c r="U177" s="732">
        <f>IF(W!$B$56&lt;=W!$G$7,'IN RPS-2010'!R177,R177)</f>
        <v>55410</v>
      </c>
      <c r="V177" s="34">
        <f>IF(W!$B$99&lt;=W!$G$7,'IN RPS-2010'!Q177,Q177)</f>
        <v>55410</v>
      </c>
      <c r="W177" s="34">
        <f>IF(W!$B$99&lt;=W!$G$7,'IN RPS-2010'!R177,R177)</f>
        <v>55410</v>
      </c>
      <c r="X177" s="34">
        <f>IF($Y$161&lt;$W$161,Q177,'IN RPS-2010'!Q177)</f>
        <v>55410</v>
      </c>
      <c r="Y177" s="34">
        <f>IF($Y$161&lt;$W$161,R177,'IN RPS-2010'!R177)</f>
        <v>55410</v>
      </c>
      <c r="Z177" s="34">
        <f t="shared" si="56"/>
        <v>55410</v>
      </c>
      <c r="AA177" s="34">
        <f>'IN RPS-2010'!S228</f>
        <v>26300</v>
      </c>
    </row>
    <row r="178" spans="15:27">
      <c r="O178" s="737">
        <f t="shared" si="57"/>
        <v>42401</v>
      </c>
      <c r="P178" s="738">
        <f t="shared" si="54"/>
        <v>42430</v>
      </c>
      <c r="Q178" s="221">
        <f t="shared" si="58"/>
        <v>55410</v>
      </c>
      <c r="R178" s="221">
        <f>IF(AND(Main!$H$7&gt;=DATE(2011,1,1),OR(Main!$AN$10=2,Main!$AN$10=5),'IN RPS-2015'!P178&lt;Main!$L$4),VLOOKUP(P178,$P$106:$U$144,3),VLOOKUP(P178,$P$106:$U$144,4))</f>
        <v>55410</v>
      </c>
      <c r="S178" s="221" t="b">
        <f t="shared" si="55"/>
        <v>1</v>
      </c>
      <c r="T178" s="732">
        <f>IF(W!$B$56&lt;=W!$G$7,'IN RPS-2010'!Q178,Q178)</f>
        <v>55410</v>
      </c>
      <c r="U178" s="732">
        <f>IF(W!$B$56&lt;=W!$G$7,'IN RPS-2010'!R178,R178)</f>
        <v>55410</v>
      </c>
      <c r="V178" s="34">
        <f>IF(W!$B$99&lt;=W!$G$7,'IN RPS-2010'!Q178,Q178)</f>
        <v>55410</v>
      </c>
      <c r="W178" s="34">
        <f>IF(W!$B$99&lt;=W!$G$7,'IN RPS-2010'!R178,R178)</f>
        <v>55410</v>
      </c>
      <c r="X178" s="34">
        <f>IF($Y$161&lt;$W$161,Q178,'IN RPS-2010'!Q178)</f>
        <v>55410</v>
      </c>
      <c r="Y178" s="34">
        <f>IF($Y$161&lt;$W$161,R178,'IN RPS-2010'!R178)</f>
        <v>55410</v>
      </c>
      <c r="Z178" s="34">
        <f t="shared" si="56"/>
        <v>55410</v>
      </c>
      <c r="AA178" s="34">
        <f>'IN RPS-2010'!S229</f>
        <v>26300</v>
      </c>
    </row>
    <row r="179" spans="15:27">
      <c r="O179" s="737">
        <f t="shared" si="57"/>
        <v>42430</v>
      </c>
      <c r="P179" s="738">
        <f t="shared" si="54"/>
        <v>42461</v>
      </c>
      <c r="Q179" s="221">
        <f t="shared" si="58"/>
        <v>55410</v>
      </c>
      <c r="R179" s="221">
        <f>IF(AND(Main!$H$7&gt;=DATE(2011,1,1),OR(Main!$AN$10=2,Main!$AN$10=5),'IN RPS-2015'!P179&lt;Main!$L$4),VLOOKUP(P179,$P$106:$U$144,3),VLOOKUP(P179,$P$106:$U$144,4))</f>
        <v>55410</v>
      </c>
      <c r="S179" s="221" t="b">
        <f t="shared" si="55"/>
        <v>1</v>
      </c>
      <c r="T179" s="732">
        <f>IF(W!$B$56&lt;=W!$G$7,'IN RPS-2010'!Q179,Q179)</f>
        <v>55410</v>
      </c>
      <c r="U179" s="732">
        <f>IF(W!$B$56&lt;=W!$G$7,'IN RPS-2010'!R179,R179)</f>
        <v>55410</v>
      </c>
      <c r="V179" s="34">
        <f>IF(W!$B$99&lt;=W!$G$7,'IN RPS-2010'!Q179,Q179)</f>
        <v>55410</v>
      </c>
      <c r="W179" s="34">
        <f>IF(W!$B$99&lt;=W!$G$7,'IN RPS-2010'!R179,R179)</f>
        <v>55410</v>
      </c>
      <c r="X179" s="34">
        <f>IF($Y$161&lt;$W$161,Q179,'IN RPS-2010'!Q179)</f>
        <v>55410</v>
      </c>
      <c r="Y179" s="34">
        <f>IF($Y$161&lt;$W$161,R179,'IN RPS-2010'!R179)</f>
        <v>55410</v>
      </c>
      <c r="Z179" s="34">
        <f t="shared" si="56"/>
        <v>55410</v>
      </c>
      <c r="AA179" s="34">
        <f>'IN RPS-2010'!S230</f>
        <v>26300</v>
      </c>
    </row>
    <row r="180" spans="15:27">
      <c r="O180" s="737">
        <f t="shared" si="57"/>
        <v>42461</v>
      </c>
      <c r="P180" s="738">
        <f t="shared" si="54"/>
        <v>42461</v>
      </c>
      <c r="Q180" s="221">
        <f t="shared" si="58"/>
        <v>55410</v>
      </c>
      <c r="R180" s="221">
        <f>IF(AND(Main!$H$7&gt;=DATE(2011,1,1),OR(Main!$AN$10=2,Main!$AN$10=5),'IN RPS-2015'!P180&lt;Main!$L$4),VLOOKUP(P180,$P$106:$U$144,3),VLOOKUP(P180,$P$106:$U$144,4))</f>
        <v>55410</v>
      </c>
      <c r="S180" s="221" t="b">
        <f t="shared" si="55"/>
        <v>1</v>
      </c>
      <c r="T180" s="732">
        <f>IF(W!$B$56&lt;=W!$G$7,'IN RPS-2010'!Q180,Q180)</f>
        <v>55410</v>
      </c>
      <c r="U180" s="732">
        <f>IF(W!$B$56&lt;=W!$G$7,'IN RPS-2010'!R180,R180)</f>
        <v>55410</v>
      </c>
      <c r="V180" s="34">
        <f>IF(W!$B$99&lt;=W!$G$7,'IN RPS-2010'!Q180,Q180)</f>
        <v>55410</v>
      </c>
      <c r="W180" s="34">
        <f>IF(W!$B$99&lt;=W!$G$7,'IN RPS-2010'!R180,R180)</f>
        <v>55410</v>
      </c>
      <c r="X180" s="34">
        <f>IF($Y$161&lt;$W$161,Q180,'IN RPS-2010'!Q180)</f>
        <v>55410</v>
      </c>
      <c r="Y180" s="34">
        <f>IF($Y$161&lt;$W$161,R180,'IN RPS-2010'!R180)</f>
        <v>55410</v>
      </c>
      <c r="Z180" s="34">
        <f t="shared" si="56"/>
        <v>55410</v>
      </c>
      <c r="AA180" s="34">
        <f>'IN RPS-2010'!S231</f>
        <v>26300</v>
      </c>
    </row>
    <row r="181" spans="15:27">
      <c r="O181" s="737">
        <f t="shared" si="57"/>
        <v>42461</v>
      </c>
      <c r="P181" s="738">
        <f t="shared" si="54"/>
        <v>42461</v>
      </c>
      <c r="Q181" s="221">
        <f t="shared" si="58"/>
        <v>55410</v>
      </c>
      <c r="R181" s="221">
        <f>IF(AND(Main!$H$7&gt;=DATE(2011,1,1),OR(Main!$AN$10=2,Main!$AN$10=5),'IN RPS-2015'!P181&lt;Main!$L$4),VLOOKUP(P181,$P$106:$U$144,3),VLOOKUP(P181,$P$106:$U$144,4))</f>
        <v>55410</v>
      </c>
      <c r="S181" s="221" t="b">
        <f t="shared" si="55"/>
        <v>1</v>
      </c>
      <c r="T181" s="732">
        <f>IF(W!$B$56&lt;=W!$G$7,'IN RPS-2010'!Q181,Q181)</f>
        <v>55410</v>
      </c>
      <c r="U181" s="732">
        <f>IF(W!$B$56&lt;=W!$G$7,'IN RPS-2010'!R181,R181)</f>
        <v>55410</v>
      </c>
      <c r="V181" s="34">
        <f>IF(W!$B$99&lt;=W!$G$7,'IN RPS-2010'!Q181,Q181)</f>
        <v>55410</v>
      </c>
      <c r="W181" s="34">
        <f>IF(W!$B$99&lt;=W!$G$7,'IN RPS-2010'!R181,R181)</f>
        <v>55410</v>
      </c>
      <c r="X181" s="34">
        <f>IF($Y$161&lt;$W$161,Q181,'IN RPS-2010'!Q181)</f>
        <v>55410</v>
      </c>
      <c r="Y181" s="34">
        <f>IF($Y$161&lt;$W$161,R181,'IN RPS-2010'!R181)</f>
        <v>55410</v>
      </c>
      <c r="Z181" s="34">
        <f t="shared" si="56"/>
        <v>55410</v>
      </c>
      <c r="AA181" s="34">
        <f>'IN RPS-2010'!S232</f>
        <v>26300</v>
      </c>
    </row>
    <row r="182" spans="15:27">
      <c r="O182" s="737">
        <f t="shared" si="57"/>
        <v>42461</v>
      </c>
      <c r="P182" s="738">
        <f t="shared" si="54"/>
        <v>42461</v>
      </c>
      <c r="Q182" s="221">
        <f t="shared" si="58"/>
        <v>55410</v>
      </c>
      <c r="R182" s="221">
        <f>IF(AND(Main!$H$7&gt;=DATE(2011,1,1),OR(Main!$AN$10=2,Main!$AN$10=5),'IN RPS-2015'!P182&lt;Main!$L$4),VLOOKUP(P182,$P$106:$U$144,3),VLOOKUP(P182,$P$106:$U$144,4))</f>
        <v>55410</v>
      </c>
      <c r="S182" s="221" t="b">
        <f t="shared" si="55"/>
        <v>1</v>
      </c>
      <c r="T182" s="732">
        <f>IF(W!$B$56&lt;=W!$G$7,'IN RPS-2010'!Q182,Q182)</f>
        <v>55410</v>
      </c>
      <c r="U182" s="732">
        <f>IF(W!$B$56&lt;=W!$G$7,'IN RPS-2010'!R182,R182)</f>
        <v>55410</v>
      </c>
      <c r="V182" s="34">
        <f>IF(W!$B$99&lt;=W!$G$7,'IN RPS-2010'!Q182,Q182)</f>
        <v>55410</v>
      </c>
      <c r="W182" s="34">
        <f>IF(W!$B$99&lt;=W!$G$7,'IN RPS-2010'!R182,R182)</f>
        <v>55410</v>
      </c>
      <c r="X182" s="34">
        <f>IF($Y$161&lt;$W$161,Q182,'IN RPS-2010'!Q182)</f>
        <v>55410</v>
      </c>
      <c r="Y182" s="34">
        <f>IF($Y$161&lt;$W$161,R182,'IN RPS-2010'!R182)</f>
        <v>55410</v>
      </c>
      <c r="Z182" s="34">
        <f t="shared" si="56"/>
        <v>55410</v>
      </c>
      <c r="AA182" s="34">
        <f>'IN RPS-2010'!S233</f>
        <v>26300</v>
      </c>
    </row>
    <row r="183" spans="15:27">
      <c r="O183" s="737">
        <f t="shared" si="57"/>
        <v>42461</v>
      </c>
      <c r="P183" s="738">
        <f t="shared" si="54"/>
        <v>42461</v>
      </c>
      <c r="Q183" s="221">
        <f t="shared" si="58"/>
        <v>55410</v>
      </c>
      <c r="R183" s="221">
        <f>IF(AND(Main!$H$7&gt;=DATE(2011,1,1),OR(Main!$AN$10=2,Main!$AN$10=5),'IN RPS-2015'!P183&lt;Main!$L$4),VLOOKUP(P183,$P$106:$U$144,3),VLOOKUP(P183,$P$106:$U$144,4))</f>
        <v>55410</v>
      </c>
      <c r="S183" s="221" t="b">
        <f t="shared" si="55"/>
        <v>1</v>
      </c>
      <c r="T183" s="732">
        <f>IF(W!$B$56&lt;=W!$G$7,'IN RPS-2010'!Q183,Q183)</f>
        <v>55410</v>
      </c>
      <c r="U183" s="732">
        <f>IF(W!$B$56&lt;=W!$G$7,'IN RPS-2010'!R183,R183)</f>
        <v>55410</v>
      </c>
      <c r="V183" s="34">
        <f>IF(W!$B$99&lt;=W!$G$7,'IN RPS-2010'!Q183,Q183)</f>
        <v>55410</v>
      </c>
      <c r="W183" s="34">
        <f>IF(W!$B$99&lt;=W!$G$7,'IN RPS-2010'!R183,R183)</f>
        <v>55410</v>
      </c>
      <c r="X183" s="34">
        <f>IF($Y$161&lt;$W$161,Q183,'IN RPS-2010'!Q183)</f>
        <v>55410</v>
      </c>
      <c r="Y183" s="34">
        <f>IF($Y$161&lt;$W$161,R183,'IN RPS-2010'!R183)</f>
        <v>55410</v>
      </c>
      <c r="Z183" s="34">
        <f t="shared" si="56"/>
        <v>55410</v>
      </c>
      <c r="AA183" s="34">
        <f>'IN RPS-2010'!S234</f>
        <v>26300</v>
      </c>
    </row>
    <row r="184" spans="15:27">
      <c r="O184" s="737">
        <f t="shared" si="57"/>
        <v>42461</v>
      </c>
      <c r="P184" s="738">
        <f t="shared" si="54"/>
        <v>42461</v>
      </c>
      <c r="Q184" s="221">
        <f t="shared" si="58"/>
        <v>55410</v>
      </c>
      <c r="R184" s="221">
        <f>IF(AND(Main!$H$7&gt;=DATE(2011,1,1),OR(Main!$AN$10=2,Main!$AN$10=5),'IN RPS-2015'!P184&lt;Main!$L$4),VLOOKUP(P184,$P$106:$U$144,3),VLOOKUP(P184,$P$106:$U$144,4))</f>
        <v>55410</v>
      </c>
      <c r="S184" s="221" t="b">
        <f t="shared" si="55"/>
        <v>1</v>
      </c>
      <c r="T184" s="732">
        <f>IF(W!$B$56&lt;=W!$G$7,'IN RPS-2010'!Q184,Q184)</f>
        <v>55410</v>
      </c>
      <c r="U184" s="732">
        <f>IF(W!$B$56&lt;=W!$G$7,'IN RPS-2010'!R184,R184)</f>
        <v>55410</v>
      </c>
      <c r="V184" s="34">
        <f>IF(W!$B$99&lt;=W!$G$7,'IN RPS-2010'!Q184,Q184)</f>
        <v>55410</v>
      </c>
      <c r="W184" s="34">
        <f>IF(W!$B$99&lt;=W!$G$7,'IN RPS-2010'!R184,R184)</f>
        <v>55410</v>
      </c>
      <c r="X184" s="34">
        <f>IF($Y$161&lt;$W$161,Q184,'IN RPS-2010'!Q184)</f>
        <v>55410</v>
      </c>
      <c r="Y184" s="34">
        <f>IF($Y$161&lt;$W$161,R184,'IN RPS-2010'!R184)</f>
        <v>55410</v>
      </c>
      <c r="Z184" s="34">
        <f t="shared" si="56"/>
        <v>55410</v>
      </c>
      <c r="AA184" s="34">
        <f>'IN RPS-2010'!S235</f>
        <v>26300</v>
      </c>
    </row>
    <row r="185" spans="15:27">
      <c r="O185" s="737">
        <f t="shared" si="57"/>
        <v>42461</v>
      </c>
      <c r="P185" s="738">
        <f t="shared" si="54"/>
        <v>42461</v>
      </c>
      <c r="Q185" s="221">
        <f t="shared" si="58"/>
        <v>55410</v>
      </c>
      <c r="R185" s="221">
        <f>IF(AND(Main!$H$7&gt;=DATE(2011,1,1),OR(Main!$AN$10=2,Main!$AN$10=5),'IN RPS-2015'!P185&lt;Main!$L$4),VLOOKUP(P185,$P$106:$U$144,3),VLOOKUP(P185,$P$106:$U$144,4))</f>
        <v>55410</v>
      </c>
      <c r="S185" s="221" t="b">
        <f t="shared" si="55"/>
        <v>1</v>
      </c>
      <c r="T185" s="732">
        <f>IF(W!$B$56&lt;=W!$G$7,'IN RPS-2010'!Q185,Q185)</f>
        <v>55410</v>
      </c>
      <c r="U185" s="732">
        <f>IF(W!$B$56&lt;=W!$G$7,'IN RPS-2010'!R185,R185)</f>
        <v>55410</v>
      </c>
      <c r="V185" s="34">
        <f>IF(W!$B$99&lt;=W!$G$7,'IN RPS-2010'!Q185,Q185)</f>
        <v>55410</v>
      </c>
      <c r="W185" s="34">
        <f>IF(W!$B$99&lt;=W!$G$7,'IN RPS-2010'!R185,R185)</f>
        <v>55410</v>
      </c>
      <c r="X185" s="34">
        <f>IF($Y$161&lt;$W$161,Q185,'IN RPS-2010'!Q185)</f>
        <v>55410</v>
      </c>
      <c r="Y185" s="34">
        <f>IF($Y$161&lt;$W$161,R185,'IN RPS-2010'!R185)</f>
        <v>55410</v>
      </c>
      <c r="Z185" s="34">
        <f t="shared" si="56"/>
        <v>55410</v>
      </c>
      <c r="AA185" s="34">
        <f>'IN RPS-2010'!S236</f>
        <v>26300</v>
      </c>
    </row>
    <row r="186" spans="15:27">
      <c r="O186" s="737">
        <f t="shared" si="57"/>
        <v>42461</v>
      </c>
      <c r="P186" s="738">
        <f t="shared" si="54"/>
        <v>42461</v>
      </c>
      <c r="Q186" s="221">
        <f t="shared" si="58"/>
        <v>55410</v>
      </c>
      <c r="R186" s="221">
        <f>IF(AND(Main!$H$7&gt;=DATE(2011,1,1),OR(Main!$AN$10=2,Main!$AN$10=5),'IN RPS-2015'!P186&lt;Main!$L$4),VLOOKUP(P186,$P$106:$U$144,3),VLOOKUP(P186,$P$106:$U$144,4))</f>
        <v>55410</v>
      </c>
      <c r="S186" s="221" t="b">
        <f t="shared" si="55"/>
        <v>1</v>
      </c>
      <c r="T186" s="732">
        <f>IF(W!$B$56&lt;=W!$G$7,'IN RPS-2010'!Q186,Q186)</f>
        <v>55410</v>
      </c>
      <c r="U186" s="732">
        <f>IF(W!$B$56&lt;=W!$G$7,'IN RPS-2010'!R186,R186)</f>
        <v>55410</v>
      </c>
      <c r="V186" s="34">
        <f>IF(W!$B$99&lt;=W!$G$7,'IN RPS-2010'!Q186,Q186)</f>
        <v>55410</v>
      </c>
      <c r="W186" s="34">
        <f>IF(W!$B$99&lt;=W!$G$7,'IN RPS-2010'!R186,R186)</f>
        <v>55410</v>
      </c>
      <c r="X186" s="34">
        <f>IF($Y$161&lt;$W$161,Q186,'IN RPS-2010'!Q186)</f>
        <v>55410</v>
      </c>
      <c r="Y186" s="34">
        <f>IF($Y$161&lt;$W$161,R186,'IN RPS-2010'!R186)</f>
        <v>55410</v>
      </c>
      <c r="Z186" s="34">
        <f t="shared" si="56"/>
        <v>55410</v>
      </c>
      <c r="AA186" s="34">
        <f>'IN RPS-2010'!S237</f>
        <v>26300</v>
      </c>
    </row>
    <row r="187" spans="15:27">
      <c r="O187" s="737">
        <f t="shared" si="57"/>
        <v>42461</v>
      </c>
      <c r="P187" s="738">
        <f t="shared" si="54"/>
        <v>42461</v>
      </c>
      <c r="Q187" s="221">
        <f t="shared" si="58"/>
        <v>55410</v>
      </c>
      <c r="R187" s="221">
        <f>IF(AND(Main!$H$7&gt;=DATE(2011,1,1),OR(Main!$AN$10=2,Main!$AN$10=5),'IN RPS-2015'!P187&lt;Main!$L$4),VLOOKUP(P187,$P$106:$U$144,3),VLOOKUP(P187,$P$106:$U$144,4))</f>
        <v>55410</v>
      </c>
      <c r="S187" s="221" t="b">
        <f t="shared" si="55"/>
        <v>1</v>
      </c>
      <c r="T187" s="732">
        <f>IF(W!$B$56&lt;=W!$G$7,'IN RPS-2010'!Q187,Q187)</f>
        <v>55410</v>
      </c>
      <c r="U187" s="732">
        <f>IF(W!$B$56&lt;=W!$G$7,'IN RPS-2010'!R187,R187)</f>
        <v>55410</v>
      </c>
      <c r="V187" s="34">
        <f>IF(W!$B$99&lt;=W!$G$7,'IN RPS-2010'!Q187,Q187)</f>
        <v>55410</v>
      </c>
      <c r="W187" s="34">
        <f>IF(W!$B$99&lt;=W!$G$7,'IN RPS-2010'!R187,R187)</f>
        <v>55410</v>
      </c>
      <c r="X187" s="34">
        <f>IF($Y$161&lt;$W$161,Q187,'IN RPS-2010'!Q187)</f>
        <v>55410</v>
      </c>
      <c r="Y187" s="34">
        <f>IF($Y$161&lt;$W$161,R187,'IN RPS-2010'!R187)</f>
        <v>55410</v>
      </c>
      <c r="Z187" s="34">
        <f t="shared" si="56"/>
        <v>55410</v>
      </c>
      <c r="AA187" s="34">
        <f>'IN RPS-2010'!S238</f>
        <v>26300</v>
      </c>
    </row>
    <row r="188" spans="15:27">
      <c r="O188" s="737">
        <f t="shared" si="57"/>
        <v>42461</v>
      </c>
      <c r="P188" s="738">
        <f t="shared" si="54"/>
        <v>42461</v>
      </c>
      <c r="Q188" s="221">
        <f t="shared" si="58"/>
        <v>55410</v>
      </c>
      <c r="R188" s="221">
        <f>IF(AND(Main!$H$7&gt;=DATE(2011,1,1),OR(Main!$AN$10=2,Main!$AN$10=5),'IN RPS-2015'!P188&lt;Main!$L$4),VLOOKUP(P188,$P$106:$U$144,3),VLOOKUP(P188,$P$106:$U$144,4))</f>
        <v>55410</v>
      </c>
      <c r="S188" s="221" t="b">
        <f t="shared" si="55"/>
        <v>1</v>
      </c>
      <c r="T188" s="732">
        <f>IF(W!$B$56&lt;=W!$G$7,'IN RPS-2010'!Q188,Q188)</f>
        <v>55410</v>
      </c>
      <c r="U188" s="732">
        <f>IF(W!$B$56&lt;=W!$G$7,'IN RPS-2010'!R188,R188)</f>
        <v>55410</v>
      </c>
      <c r="V188" s="34">
        <f>IF(W!$B$99&lt;=W!$G$7,'IN RPS-2010'!Q188,Q188)</f>
        <v>55410</v>
      </c>
      <c r="W188" s="34">
        <f>IF(W!$B$99&lt;=W!$G$7,'IN RPS-2010'!R188,R188)</f>
        <v>55410</v>
      </c>
      <c r="X188" s="34">
        <f>IF($Y$161&lt;$W$161,Q188,'IN RPS-2010'!Q188)</f>
        <v>55410</v>
      </c>
      <c r="Y188" s="34">
        <f>IF($Y$161&lt;$W$161,R188,'IN RPS-2010'!R188)</f>
        <v>55410</v>
      </c>
      <c r="Z188" s="34">
        <f t="shared" si="56"/>
        <v>55410</v>
      </c>
      <c r="AA188" s="34">
        <f>'IN RPS-2010'!S239</f>
        <v>26300</v>
      </c>
    </row>
    <row r="189" spans="15:27">
      <c r="O189" s="737">
        <f t="shared" si="57"/>
        <v>42461</v>
      </c>
      <c r="P189" s="738">
        <f t="shared" si="54"/>
        <v>42461</v>
      </c>
      <c r="Q189" s="221">
        <f t="shared" si="58"/>
        <v>55410</v>
      </c>
      <c r="R189" s="221">
        <f>IF(AND(Main!$H$7&gt;=DATE(2011,1,1),OR(Main!$AN$10=2,Main!$AN$10=5),'IN RPS-2015'!P189&lt;Main!$L$4),VLOOKUP(P189,$P$106:$U$144,3),VLOOKUP(P189,$P$106:$U$144,4))</f>
        <v>55410</v>
      </c>
      <c r="S189" s="221" t="b">
        <f t="shared" si="55"/>
        <v>1</v>
      </c>
      <c r="T189" s="732">
        <f>IF(W!$B$56&lt;=W!$G$7,'IN RPS-2010'!Q189,Q189)</f>
        <v>55410</v>
      </c>
      <c r="U189" s="732">
        <f>IF(W!$B$56&lt;=W!$G$7,'IN RPS-2010'!R189,R189)</f>
        <v>55410</v>
      </c>
      <c r="V189" s="34">
        <f>IF(W!$B$99&lt;=W!$G$7,'IN RPS-2010'!Q189,Q189)</f>
        <v>55410</v>
      </c>
      <c r="W189" s="34">
        <f>IF(W!$B$99&lt;=W!$G$7,'IN RPS-2010'!R189,R189)</f>
        <v>55410</v>
      </c>
      <c r="X189" s="34">
        <f>IF($Y$161&lt;$W$161,Q189,'IN RPS-2010'!Q189)</f>
        <v>55410</v>
      </c>
      <c r="Y189" s="34">
        <f>IF($Y$161&lt;$W$161,R189,'IN RPS-2010'!R189)</f>
        <v>55410</v>
      </c>
      <c r="Z189" s="34">
        <f t="shared" si="56"/>
        <v>55410</v>
      </c>
      <c r="AA189" s="34">
        <f>'IN RPS-2010'!S240</f>
        <v>26300</v>
      </c>
    </row>
    <row r="190" spans="15:27">
      <c r="O190" s="737">
        <f t="shared" si="57"/>
        <v>42461</v>
      </c>
      <c r="P190" s="738">
        <f t="shared" si="54"/>
        <v>42461</v>
      </c>
      <c r="Q190" s="221">
        <f t="shared" si="58"/>
        <v>55410</v>
      </c>
      <c r="R190" s="221">
        <f>IF(AND(Main!$H$7&gt;=DATE(2011,1,1),OR(Main!$AN$10=2,Main!$AN$10=5),'IN RPS-2015'!P190&lt;Main!$L$4),VLOOKUP(P190,$P$106:$U$144,3),VLOOKUP(P190,$P$106:$U$144,4))</f>
        <v>55410</v>
      </c>
      <c r="S190" s="221" t="b">
        <f t="shared" si="55"/>
        <v>1</v>
      </c>
      <c r="T190" s="732">
        <f>IF(W!$B$56&lt;=W!$G$7,'IN RPS-2010'!Q190,Q190)</f>
        <v>55410</v>
      </c>
      <c r="U190" s="732">
        <f>IF(W!$B$56&lt;=W!$G$7,'IN RPS-2010'!R190,R190)</f>
        <v>55410</v>
      </c>
      <c r="V190" s="34">
        <f>IF(W!$B$99&lt;=W!$G$7,'IN RPS-2010'!Q190,Q190)</f>
        <v>55410</v>
      </c>
      <c r="W190" s="34">
        <f>IF(W!$B$99&lt;=W!$G$7,'IN RPS-2010'!R190,R190)</f>
        <v>55410</v>
      </c>
      <c r="X190" s="34">
        <f>IF($Y$161&lt;$W$161,Q190,'IN RPS-2010'!Q190)</f>
        <v>55410</v>
      </c>
      <c r="Y190" s="34">
        <f>IF($Y$161&lt;$W$161,R190,'IN RPS-2010'!R190)</f>
        <v>55410</v>
      </c>
      <c r="Z190" s="34">
        <f t="shared" si="56"/>
        <v>55410</v>
      </c>
      <c r="AA190" s="34">
        <f>'IN RPS-2010'!S241</f>
        <v>26300</v>
      </c>
    </row>
    <row r="191" spans="15:27">
      <c r="O191" s="737">
        <f t="shared" si="57"/>
        <v>42461</v>
      </c>
      <c r="P191" s="738">
        <f t="shared" si="54"/>
        <v>42461</v>
      </c>
      <c r="Q191" s="221">
        <f t="shared" si="58"/>
        <v>55410</v>
      </c>
      <c r="R191" s="221">
        <f>IF(AND(Main!$H$7&gt;=DATE(2011,1,1),OR(Main!$AN$10=2,Main!$AN$10=5),'IN RPS-2015'!P191&lt;Main!$L$4),VLOOKUP(P191,$P$106:$U$144,3),VLOOKUP(P191,$P$106:$U$144,4))</f>
        <v>55410</v>
      </c>
      <c r="S191" s="221" t="b">
        <f t="shared" si="55"/>
        <v>1</v>
      </c>
      <c r="T191" s="732">
        <f>IF(W!$B$56&lt;=W!$G$7,'IN RPS-2010'!Q191,Q191)</f>
        <v>55410</v>
      </c>
      <c r="U191" s="732">
        <f>IF(W!$B$56&lt;=W!$G$7,'IN RPS-2010'!R191,R191)</f>
        <v>55410</v>
      </c>
      <c r="V191" s="34">
        <f>IF(W!$B$99&lt;=W!$G$7,'IN RPS-2010'!Q191,Q191)</f>
        <v>55410</v>
      </c>
      <c r="W191" s="34">
        <f>IF(W!$B$99&lt;=W!$G$7,'IN RPS-2010'!R191,R191)</f>
        <v>55410</v>
      </c>
      <c r="X191" s="34">
        <f>IF($Y$161&lt;$W$161,Q191,'IN RPS-2010'!Q191)</f>
        <v>55410</v>
      </c>
      <c r="Y191" s="34">
        <f>IF($Y$161&lt;$W$161,R191,'IN RPS-2010'!R191)</f>
        <v>55410</v>
      </c>
      <c r="Z191" s="34">
        <f t="shared" si="56"/>
        <v>55410</v>
      </c>
      <c r="AA191" s="34">
        <f>'IN RPS-2010'!S242</f>
        <v>26300</v>
      </c>
    </row>
    <row r="192" spans="15:27">
      <c r="O192" s="737">
        <f t="shared" si="57"/>
        <v>42461</v>
      </c>
      <c r="P192" s="738">
        <f t="shared" si="54"/>
        <v>42461</v>
      </c>
      <c r="Q192" s="221">
        <f t="shared" si="58"/>
        <v>55410</v>
      </c>
      <c r="R192" s="221">
        <f>IF(AND(Main!$H$7&gt;=DATE(2011,1,1),OR(Main!$AN$10=2,Main!$AN$10=5),'IN RPS-2015'!P192&lt;Main!$L$4),VLOOKUP(P192,$P$106:$U$144,3),VLOOKUP(P192,$P$106:$U$144,4))</f>
        <v>55410</v>
      </c>
      <c r="S192" s="221" t="b">
        <f t="shared" si="55"/>
        <v>1</v>
      </c>
      <c r="T192" s="732">
        <f>IF(W!$B$56&lt;=W!$G$7,'IN RPS-2010'!Q192,Q192)</f>
        <v>55410</v>
      </c>
      <c r="U192" s="732">
        <f>IF(W!$B$56&lt;=W!$G$7,'IN RPS-2010'!R192,R192)</f>
        <v>55410</v>
      </c>
      <c r="V192" s="34">
        <f>IF(W!$B$99&lt;=W!$G$7,'IN RPS-2010'!Q192,Q192)</f>
        <v>55410</v>
      </c>
      <c r="W192" s="34">
        <f>IF(W!$B$99&lt;=W!$G$7,'IN RPS-2010'!R192,R192)</f>
        <v>55410</v>
      </c>
      <c r="X192" s="34">
        <f>IF($Y$161&lt;$W$161,Q192,'IN RPS-2010'!Q192)</f>
        <v>55410</v>
      </c>
      <c r="Y192" s="34">
        <f>IF($Y$161&lt;$W$161,R192,'IN RPS-2010'!R192)</f>
        <v>55410</v>
      </c>
      <c r="Z192" s="34">
        <f t="shared" si="56"/>
        <v>55410</v>
      </c>
      <c r="AA192" s="34">
        <f>'IN RPS-2010'!S243</f>
        <v>26300</v>
      </c>
    </row>
    <row r="193" spans="15:27">
      <c r="O193" s="737">
        <f t="shared" si="57"/>
        <v>42461</v>
      </c>
      <c r="P193" s="738">
        <f t="shared" si="54"/>
        <v>42461</v>
      </c>
      <c r="Q193" s="221">
        <f t="shared" si="58"/>
        <v>55410</v>
      </c>
      <c r="R193" s="221">
        <f>IF(AND(Main!$H$7&gt;=DATE(2011,1,1),OR(Main!$AN$10=2,Main!$AN$10=5),'IN RPS-2015'!P193&lt;Main!$L$4),VLOOKUP(P193,$P$106:$U$144,3),VLOOKUP(P193,$P$106:$U$144,4))</f>
        <v>55410</v>
      </c>
      <c r="S193" s="221" t="b">
        <f t="shared" si="55"/>
        <v>1</v>
      </c>
      <c r="T193" s="732">
        <f>IF(W!$B$56&lt;=W!$G$7,'IN RPS-2010'!Q193,Q193)</f>
        <v>55410</v>
      </c>
      <c r="U193" s="732">
        <f>IF(W!$B$56&lt;=W!$G$7,'IN RPS-2010'!R193,R193)</f>
        <v>55410</v>
      </c>
      <c r="V193" s="34">
        <f>IF(W!$B$99&lt;=W!$G$7,'IN RPS-2010'!Q193,Q193)</f>
        <v>55410</v>
      </c>
      <c r="W193" s="34">
        <f>IF(W!$B$99&lt;=W!$G$7,'IN RPS-2010'!R193,R193)</f>
        <v>55410</v>
      </c>
      <c r="X193" s="34">
        <f>IF($Y$161&lt;$W$161,Q193,'IN RPS-2010'!Q193)</f>
        <v>55410</v>
      </c>
      <c r="Y193" s="34">
        <f>IF($Y$161&lt;$W$161,R193,'IN RPS-2010'!R193)</f>
        <v>55410</v>
      </c>
      <c r="Z193" s="34">
        <f t="shared" si="56"/>
        <v>55410</v>
      </c>
      <c r="AA193" s="34">
        <f>'IN RPS-2010'!S244</f>
        <v>26300</v>
      </c>
    </row>
    <row r="194" spans="15:27">
      <c r="O194" s="737">
        <f t="shared" si="57"/>
        <v>42461</v>
      </c>
      <c r="P194" s="738">
        <f t="shared" si="54"/>
        <v>42461</v>
      </c>
      <c r="Q194" s="221">
        <f t="shared" si="58"/>
        <v>55410</v>
      </c>
      <c r="R194" s="221">
        <f>IF(AND(Main!$H$7&gt;=DATE(2011,1,1),OR(Main!$AN$10=2,Main!$AN$10=5),'IN RPS-2015'!P194&lt;Main!$L$4),VLOOKUP(P194,$P$106:$U$144,3),VLOOKUP(P194,$P$106:$U$144,4))</f>
        <v>55410</v>
      </c>
      <c r="S194" s="221" t="b">
        <f t="shared" si="55"/>
        <v>1</v>
      </c>
      <c r="T194" s="732">
        <f>IF(W!$B$56&lt;=W!$G$7,'IN RPS-2010'!Q194,Q194)</f>
        <v>55410</v>
      </c>
      <c r="U194" s="732">
        <f>IF(W!$B$56&lt;=W!$G$7,'IN RPS-2010'!R194,R194)</f>
        <v>55410</v>
      </c>
      <c r="V194" s="34">
        <f>IF(W!$B$99&lt;=W!$G$7,'IN RPS-2010'!Q194,Q194)</f>
        <v>55410</v>
      </c>
      <c r="W194" s="34">
        <f>IF(W!$B$99&lt;=W!$G$7,'IN RPS-2010'!R194,R194)</f>
        <v>55410</v>
      </c>
      <c r="X194" s="34">
        <f>IF($Y$161&lt;$W$161,Q194,'IN RPS-2010'!Q194)</f>
        <v>55410</v>
      </c>
      <c r="Y194" s="34">
        <f>IF($Y$161&lt;$W$161,R194,'IN RPS-2010'!R194)</f>
        <v>55410</v>
      </c>
      <c r="Z194" s="34">
        <f t="shared" si="56"/>
        <v>55410</v>
      </c>
      <c r="AA194" s="34">
        <f>'IN RPS-2010'!S245</f>
        <v>26300</v>
      </c>
    </row>
    <row r="195" spans="15:27">
      <c r="O195" s="737">
        <f t="shared" si="57"/>
        <v>42461</v>
      </c>
      <c r="P195" s="738">
        <f t="shared" si="54"/>
        <v>42461</v>
      </c>
      <c r="Q195" s="221">
        <f t="shared" si="58"/>
        <v>55410</v>
      </c>
      <c r="R195" s="221">
        <f>IF(AND(Main!$H$7&gt;=DATE(2011,1,1),OR(Main!$AN$10=2,Main!$AN$10=5),'IN RPS-2015'!P195&lt;Main!$L$4),VLOOKUP(P195,$P$106:$U$144,3),VLOOKUP(P195,$P$106:$U$144,4))</f>
        <v>55410</v>
      </c>
      <c r="S195" s="221" t="b">
        <f t="shared" si="55"/>
        <v>1</v>
      </c>
      <c r="T195" s="732">
        <f>IF(W!$B$56&lt;=W!$G$7,'IN RPS-2010'!Q195,Q195)</f>
        <v>55410</v>
      </c>
      <c r="U195" s="732">
        <f>IF(W!$B$56&lt;=W!$G$7,'IN RPS-2010'!R195,R195)</f>
        <v>55410</v>
      </c>
      <c r="V195" s="34">
        <f>IF(W!$B$99&lt;=W!$G$7,'IN RPS-2010'!Q195,Q195)</f>
        <v>55410</v>
      </c>
      <c r="W195" s="34">
        <f>IF(W!$B$99&lt;=W!$G$7,'IN RPS-2010'!R195,R195)</f>
        <v>55410</v>
      </c>
      <c r="X195" s="34">
        <f>IF($Y$161&lt;$W$161,Q195,'IN RPS-2010'!Q195)</f>
        <v>55410</v>
      </c>
      <c r="Y195" s="34">
        <f>IF($Y$161&lt;$W$161,R195,'IN RPS-2010'!R195)</f>
        <v>55410</v>
      </c>
      <c r="Z195" s="34">
        <f t="shared" si="56"/>
        <v>55410</v>
      </c>
      <c r="AA195" s="34">
        <f>'IN RPS-2010'!S246</f>
        <v>26300</v>
      </c>
    </row>
    <row r="196" spans="15:27">
      <c r="O196" s="737">
        <f t="shared" si="57"/>
        <v>42461</v>
      </c>
      <c r="P196" s="738">
        <f t="shared" si="54"/>
        <v>42461</v>
      </c>
      <c r="Q196" s="221">
        <f t="shared" si="58"/>
        <v>55410</v>
      </c>
      <c r="R196" s="221">
        <f>IF(AND(Main!$H$7&gt;=DATE(2011,1,1),OR(Main!$AN$10=2,Main!$AN$10=5),'IN RPS-2015'!P196&lt;Main!$L$4),VLOOKUP(P196,$P$106:$U$144,3),VLOOKUP(P196,$P$106:$U$144,4))</f>
        <v>55410</v>
      </c>
      <c r="S196" s="221" t="b">
        <f t="shared" si="55"/>
        <v>1</v>
      </c>
      <c r="T196" s="732">
        <f>IF(W!$B$56&lt;=W!$G$7,'IN RPS-2010'!Q196,Q196)</f>
        <v>55410</v>
      </c>
      <c r="U196" s="732">
        <f>IF(W!$B$56&lt;=W!$G$7,'IN RPS-2010'!R196,R196)</f>
        <v>55410</v>
      </c>
      <c r="V196" s="34">
        <f>IF(W!$B$99&lt;=W!$G$7,'IN RPS-2010'!Q196,Q196)</f>
        <v>55410</v>
      </c>
      <c r="W196" s="34">
        <f>IF(W!$B$99&lt;=W!$G$7,'IN RPS-2010'!R196,R196)</f>
        <v>55410</v>
      </c>
      <c r="X196" s="34">
        <f>IF($Y$161&lt;$W$161,Q196,'IN RPS-2010'!Q196)</f>
        <v>55410</v>
      </c>
      <c r="Y196" s="34">
        <f>IF($Y$161&lt;$W$161,R196,'IN RPS-2010'!R196)</f>
        <v>55410</v>
      </c>
      <c r="Z196" s="34">
        <f t="shared" si="56"/>
        <v>55410</v>
      </c>
      <c r="AA196" s="34">
        <f>'IN RPS-2010'!S247</f>
        <v>26300</v>
      </c>
    </row>
    <row r="197" spans="15:27">
      <c r="O197" s="737">
        <f t="shared" si="57"/>
        <v>42461</v>
      </c>
      <c r="P197" s="738">
        <f t="shared" si="54"/>
        <v>42461</v>
      </c>
      <c r="Q197" s="221">
        <f t="shared" si="58"/>
        <v>55410</v>
      </c>
      <c r="R197" s="221">
        <f>IF(AND(Main!$H$7&gt;=DATE(2011,1,1),OR(Main!$AN$10=2,Main!$AN$10=5),'IN RPS-2015'!P197&lt;Main!$L$4),VLOOKUP(P197,$P$106:$U$144,3),VLOOKUP(P197,$P$106:$U$144,4))</f>
        <v>55410</v>
      </c>
      <c r="S197" s="221" t="b">
        <f t="shared" si="55"/>
        <v>1</v>
      </c>
      <c r="T197" s="732">
        <f>IF(W!$B$56&lt;=W!$G$7,'IN RPS-2010'!Q197,Q197)</f>
        <v>55410</v>
      </c>
      <c r="U197" s="732">
        <f>IF(W!$B$56&lt;=W!$G$7,'IN RPS-2010'!R197,R197)</f>
        <v>55410</v>
      </c>
      <c r="V197" s="34">
        <f>IF(W!$B$99&lt;=W!$G$7,'IN RPS-2010'!Q197,Q197)</f>
        <v>55410</v>
      </c>
      <c r="W197" s="34">
        <f>IF(W!$B$99&lt;=W!$G$7,'IN RPS-2010'!R197,R197)</f>
        <v>55410</v>
      </c>
      <c r="X197" s="34">
        <f>IF($Y$161&lt;$W$161,Q197,'IN RPS-2010'!Q197)</f>
        <v>55410</v>
      </c>
      <c r="Y197" s="34">
        <f>IF($Y$161&lt;$W$161,R197,'IN RPS-2010'!R197)</f>
        <v>55410</v>
      </c>
      <c r="Z197" s="34">
        <f t="shared" si="56"/>
        <v>55410</v>
      </c>
      <c r="AA197" s="34">
        <f>'IN RPS-2010'!S248</f>
        <v>26300</v>
      </c>
    </row>
    <row r="198" spans="15:27">
      <c r="O198" s="737">
        <f t="shared" si="57"/>
        <v>42461</v>
      </c>
      <c r="P198" s="738">
        <f t="shared" si="54"/>
        <v>42461</v>
      </c>
      <c r="Q198" s="221">
        <f t="shared" si="58"/>
        <v>55410</v>
      </c>
      <c r="R198" s="221">
        <f>IF(AND(Main!$H$7&gt;=DATE(2011,1,1),OR(Main!$AN$10=2,Main!$AN$10=5),'IN RPS-2015'!P198&lt;Main!$L$4),VLOOKUP(P198,$P$106:$U$144,3),VLOOKUP(P198,$P$106:$U$144,4))</f>
        <v>55410</v>
      </c>
      <c r="S198" s="221" t="b">
        <f t="shared" si="55"/>
        <v>1</v>
      </c>
      <c r="T198" s="732">
        <f>IF(W!$B$56&lt;=W!$G$7,'IN RPS-2010'!Q198,Q198)</f>
        <v>55410</v>
      </c>
      <c r="U198" s="732">
        <f>IF(W!$B$56&lt;=W!$G$7,'IN RPS-2010'!R198,R198)</f>
        <v>55410</v>
      </c>
      <c r="V198" s="34">
        <f>IF(W!$B$99&lt;=W!$G$7,'IN RPS-2010'!Q198,Q198)</f>
        <v>55410</v>
      </c>
      <c r="W198" s="34">
        <f>IF(W!$B$99&lt;=W!$G$7,'IN RPS-2010'!R198,R198)</f>
        <v>55410</v>
      </c>
      <c r="X198" s="34">
        <f>IF($Y$161&lt;$W$161,Q198,'IN RPS-2010'!Q198)</f>
        <v>55410</v>
      </c>
      <c r="Y198" s="34">
        <f>IF($Y$161&lt;$W$161,R198,'IN RPS-2010'!R198)</f>
        <v>55410</v>
      </c>
      <c r="Z198" s="34">
        <f t="shared" si="56"/>
        <v>55410</v>
      </c>
      <c r="AA198" s="34">
        <f>'IN RPS-2010'!S249</f>
        <v>26300</v>
      </c>
    </row>
    <row r="199" spans="15:27">
      <c r="O199" s="737">
        <f t="shared" si="57"/>
        <v>42461</v>
      </c>
      <c r="P199" s="738">
        <f t="shared" si="54"/>
        <v>42461</v>
      </c>
      <c r="Q199" s="221">
        <f t="shared" si="58"/>
        <v>55410</v>
      </c>
      <c r="R199" s="221">
        <f>IF(AND(Main!$H$7&gt;=DATE(2011,1,1),OR(Main!$AN$10=2,Main!$AN$10=5),'IN RPS-2015'!P199&lt;Main!$L$4),VLOOKUP(P199,$P$106:$U$144,3),VLOOKUP(P199,$P$106:$U$144,4))</f>
        <v>55410</v>
      </c>
      <c r="S199" s="221" t="b">
        <f t="shared" si="55"/>
        <v>1</v>
      </c>
      <c r="T199" s="732">
        <f>IF(W!$B$56&lt;=W!$G$7,'IN RPS-2010'!Q199,Q199)</f>
        <v>55410</v>
      </c>
      <c r="U199" s="732">
        <f>IF(W!$B$56&lt;=W!$G$7,'IN RPS-2010'!R199,R199)</f>
        <v>55410</v>
      </c>
      <c r="V199" s="34">
        <f>IF(W!$B$99&lt;=W!$G$7,'IN RPS-2010'!Q199,Q199)</f>
        <v>55410</v>
      </c>
      <c r="W199" s="34">
        <f>IF(W!$B$99&lt;=W!$G$7,'IN RPS-2010'!R199,R199)</f>
        <v>55410</v>
      </c>
      <c r="X199" s="34">
        <f>IF($Y$161&lt;$W$161,Q199,'IN RPS-2010'!Q199)</f>
        <v>55410</v>
      </c>
      <c r="Y199" s="34">
        <f>IF($Y$161&lt;$W$161,R199,'IN RPS-2010'!R199)</f>
        <v>55410</v>
      </c>
      <c r="Z199" s="34">
        <f t="shared" si="56"/>
        <v>55410</v>
      </c>
      <c r="AA199" s="34">
        <f>'IN RPS-2010'!S250</f>
        <v>26300</v>
      </c>
    </row>
    <row r="200" spans="15:27">
      <c r="O200" s="737">
        <f t="shared" si="57"/>
        <v>42461</v>
      </c>
      <c r="P200" s="738">
        <f t="shared" si="54"/>
        <v>42461</v>
      </c>
      <c r="Q200" s="221">
        <f t="shared" si="58"/>
        <v>55410</v>
      </c>
      <c r="R200" s="221">
        <f>IF(AND(Main!$H$7&gt;=DATE(2011,1,1),OR(Main!$AN$10=2,Main!$AN$10=5),'IN RPS-2015'!P200&lt;Main!$L$4),VLOOKUP(P200,$P$106:$U$144,3),VLOOKUP(P200,$P$106:$U$144,4))</f>
        <v>55410</v>
      </c>
      <c r="S200" s="221" t="b">
        <f t="shared" si="55"/>
        <v>1</v>
      </c>
      <c r="T200" s="732">
        <f>IF(W!$B$56&lt;=W!$G$7,'IN RPS-2010'!Q200,Q200)</f>
        <v>55410</v>
      </c>
      <c r="U200" s="732">
        <f>IF(W!$B$56&lt;=W!$G$7,'IN RPS-2010'!R200,R200)</f>
        <v>55410</v>
      </c>
      <c r="V200" s="34">
        <f>IF(W!$B$99&lt;=W!$G$7,'IN RPS-2010'!Q200,Q200)</f>
        <v>55410</v>
      </c>
      <c r="W200" s="34">
        <f>IF(W!$B$99&lt;=W!$G$7,'IN RPS-2010'!R200,R200)</f>
        <v>55410</v>
      </c>
      <c r="X200" s="34">
        <f>IF($Y$161&lt;$W$161,Q200,'IN RPS-2010'!Q200)</f>
        <v>55410</v>
      </c>
      <c r="Y200" s="34">
        <f>IF($Y$161&lt;$W$161,R200,'IN RPS-2010'!R200)</f>
        <v>55410</v>
      </c>
      <c r="Z200" s="34">
        <f t="shared" si="56"/>
        <v>55410</v>
      </c>
      <c r="AA200" s="34">
        <f>'IN RPS-2010'!S251</f>
        <v>26300</v>
      </c>
    </row>
    <row r="201" spans="15:27">
      <c r="O201" s="737">
        <f t="shared" si="57"/>
        <v>42461</v>
      </c>
      <c r="P201" s="738">
        <f t="shared" si="54"/>
        <v>42461</v>
      </c>
      <c r="Q201" s="221">
        <f t="shared" si="58"/>
        <v>55410</v>
      </c>
      <c r="R201" s="221">
        <f>IF(AND(Main!$H$7&gt;=DATE(2011,1,1),OR(Main!$AN$10=2,Main!$AN$10=5),'IN RPS-2015'!P201&lt;Main!$L$4),VLOOKUP(P201,$P$106:$U$144,3),VLOOKUP(P201,$P$106:$U$144,4))</f>
        <v>55410</v>
      </c>
      <c r="S201" s="221" t="b">
        <f>EXACT(Q201,R201)</f>
        <v>1</v>
      </c>
      <c r="T201" s="732">
        <f>IF(W!$B$56&lt;=W!$G$7,'IN RPS-2010'!Q201,Q201)</f>
        <v>55410</v>
      </c>
      <c r="U201" s="732">
        <f>IF(W!$B$56&lt;=W!$G$7,'IN RPS-2010'!R201,R201)</f>
        <v>55410</v>
      </c>
      <c r="V201" s="34">
        <f>IF(W!$B$99&lt;=W!$G$7,'IN RPS-2010'!Q201,Q201)</f>
        <v>55410</v>
      </c>
      <c r="W201" s="34">
        <f>IF(W!$B$99&lt;=W!$G$7,'IN RPS-2010'!R201,R201)</f>
        <v>55410</v>
      </c>
      <c r="X201" s="34">
        <f>IF($Y$161&lt;$W$161,Q201,'IN RPS-2010'!Q201)</f>
        <v>55410</v>
      </c>
      <c r="Y201" s="34">
        <f>IF($Y$161&lt;$W$161,R201,'IN RPS-2010'!R201)</f>
        <v>55410</v>
      </c>
      <c r="Z201" s="34">
        <f t="shared" si="56"/>
        <v>55410</v>
      </c>
      <c r="AA201" s="34">
        <f>'IN RPS-2010'!S252</f>
        <v>26300</v>
      </c>
    </row>
    <row r="202" spans="15:27">
      <c r="O202" s="737">
        <f t="shared" si="57"/>
        <v>42461</v>
      </c>
      <c r="P202" s="738">
        <f t="shared" si="54"/>
        <v>42461</v>
      </c>
      <c r="Q202" s="221">
        <f t="shared" si="58"/>
        <v>55410</v>
      </c>
      <c r="R202" s="221">
        <f>IF(AND(Main!$H$7&gt;=DATE(2011,1,1),OR(Main!$AN$10=2,Main!$AN$10=5),'IN RPS-2015'!P202&lt;Main!$L$4),VLOOKUP(P202,$P$106:$U$144,3),VLOOKUP(P202,$P$106:$U$144,4))</f>
        <v>55410</v>
      </c>
      <c r="S202" s="221" t="b">
        <f t="shared" si="55"/>
        <v>1</v>
      </c>
      <c r="T202" s="732">
        <f>IF(W!$B$56&lt;=W!$G$7,'IN RPS-2010'!Q202,Q202)</f>
        <v>55410</v>
      </c>
      <c r="U202" s="732">
        <f>IF(W!$B$56&lt;=W!$G$7,'IN RPS-2010'!R202,R202)</f>
        <v>55410</v>
      </c>
      <c r="V202" s="34">
        <f>IF(W!$B$99&lt;=W!$G$7,'IN RPS-2010'!Q202,Q202)</f>
        <v>55410</v>
      </c>
      <c r="W202" s="34">
        <f>IF(W!$B$99&lt;=W!$G$7,'IN RPS-2010'!R202,R202)</f>
        <v>55410</v>
      </c>
      <c r="X202" s="34">
        <f>IF($Y$161&lt;$W$161,Q202,'IN RPS-2010'!Q202)</f>
        <v>55410</v>
      </c>
      <c r="Y202" s="34">
        <f>IF($Y$161&lt;$W$161,R202,'IN RPS-2010'!R202)</f>
        <v>55410</v>
      </c>
      <c r="Z202" s="34">
        <f t="shared" si="56"/>
        <v>55410</v>
      </c>
      <c r="AA202" s="34">
        <f>'IN RPS-2010'!S253</f>
        <v>26300</v>
      </c>
    </row>
    <row r="203" spans="15:27">
      <c r="P203" s="148"/>
    </row>
    <row r="204" spans="15:27">
      <c r="P204" s="148"/>
    </row>
    <row r="205" spans="15:27">
      <c r="P205" s="1129"/>
      <c r="Q205" s="1129"/>
      <c r="R205" s="1129"/>
      <c r="S205" s="1129"/>
      <c r="T205" s="1129" t="s">
        <v>1430</v>
      </c>
      <c r="U205" s="1129"/>
      <c r="V205" s="1129"/>
      <c r="W205" s="1129"/>
      <c r="X205" s="742">
        <f>E11</f>
        <v>42462</v>
      </c>
      <c r="Y205" s="157" t="s">
        <v>1884</v>
      </c>
    </row>
    <row r="206" spans="15:27">
      <c r="P206" s="148"/>
      <c r="Q206" s="274"/>
      <c r="R206" s="274"/>
      <c r="T206" s="148"/>
      <c r="U206" s="274" t="s">
        <v>1600</v>
      </c>
      <c r="V206" s="274" t="s">
        <v>1593</v>
      </c>
      <c r="X206" s="274" t="s">
        <v>1600</v>
      </c>
      <c r="Y206" s="274" t="s">
        <v>1593</v>
      </c>
    </row>
    <row r="207" spans="15:27">
      <c r="P207" s="148"/>
      <c r="Q207" s="749"/>
      <c r="R207" s="737">
        <f>P5</f>
        <v>0</v>
      </c>
      <c r="T207" s="278">
        <f>IF(P5&gt;0,P5,Q9)</f>
        <v>42461</v>
      </c>
      <c r="U207" s="221">
        <f>IF(AND(Main!$H$7&gt;=DATE(2011,1,1),OR(Main!$AN$10=2,Main!$AN$10=5),T207&lt;Main!$L$4),VLOOKUP(T207,$P$106:$U$144,3),VLOOKUP(T207,$P$106:$U$144,2))</f>
        <v>55410</v>
      </c>
      <c r="V207" s="34">
        <f>IF(AND(Main!$H$7&gt;=DATE(2011,1,1),OR(Main!$AN$10=2,Main!$AN$10=5),T207&lt;Main!$L$4),VLOOKUP(T207,$P$106:$U$144,4),VLOOKUP(T207,$P$106:$U$144,5))</f>
        <v>55410</v>
      </c>
      <c r="W207" s="34" t="b">
        <f>EXACT(U207,V207)</f>
        <v>1</v>
      </c>
      <c r="X207" s="34">
        <f>IF($Y$161&lt;$X$205,U207,'IN RPS-2010'!U207)</f>
        <v>55410</v>
      </c>
      <c r="Y207" s="34">
        <f>IF($Y$161&lt;$X$205,V207,'IN RPS-2010'!V207)</f>
        <v>55410</v>
      </c>
    </row>
    <row r="208" spans="15:27">
      <c r="P208" s="277"/>
      <c r="Q208" s="749" t="s">
        <v>1429</v>
      </c>
      <c r="R208" s="737">
        <f>C11</f>
        <v>42462</v>
      </c>
      <c r="T208" s="743">
        <f>MIN(IF($B$19&gt;T207,$B$19,$C$9),IF($P$19&gt;T207,$P$19,$C$9),IF($B$24&gt;T207,$B$24,$C$9),IF($P$24&gt;T207,$P$24,$C$9),IF($B$23&gt;T207,$B$23,$C$9),IF($P$23&gt;T207,$P$23,$C$9),IF($P$9&gt;T207,$P$9,$Q$9),DATE(YEAR(T207),MONTH(T207)+1,1))</f>
        <v>42461</v>
      </c>
      <c r="U208" s="221">
        <f>IF(AND(Main!$H$7&gt;=DATE(2011,1,1),OR(Main!$AN$10=2,Main!$AN$10=5),T208&lt;Main!$L$4),VLOOKUP(T208,$P$106:$U$144,3),VLOOKUP(T208,$P$106:$U$144,2))</f>
        <v>55410</v>
      </c>
      <c r="V208" s="34">
        <f>IF(AND(Main!$H$7&gt;=DATE(2011,1,1),OR(Main!$AN$10=2,Main!$AN$10=5),T208&lt;Main!$L$4),VLOOKUP(T208,$P$106:$U$144,4),VLOOKUP(T208,$P$106:$U$144,5))</f>
        <v>55410</v>
      </c>
      <c r="W208" s="34" t="b">
        <f t="shared" ref="W208:W222" si="59">EXACT(U208,V208)</f>
        <v>1</v>
      </c>
      <c r="X208" s="34">
        <f>IF($Y$161&lt;$X$205,U208,'IN RPS-2010'!U208)</f>
        <v>55410</v>
      </c>
      <c r="Y208" s="34">
        <f>IF($Y$161&lt;$X$205,V208,'IN RPS-2010'!V208)</f>
        <v>55410</v>
      </c>
    </row>
    <row r="209" spans="16:25">
      <c r="P209" s="277"/>
      <c r="Q209" s="34" t="s">
        <v>1916</v>
      </c>
      <c r="R209" s="737">
        <f>S11</f>
        <v>42462</v>
      </c>
      <c r="T209" s="743">
        <f t="shared" ref="T209:T222" si="60">MIN(IF($B$19&gt;T208,$B$19,$C$9),IF($P$19&gt;T208,$P$19,$C$9),IF($B$24&gt;T208,$B$24,$C$9),IF($P$24&gt;T208,$P$24,$C$9),IF($B$23&gt;T208,$B$23,$C$9),IF($P$23&gt;T208,$P$23,$C$9),IF($P$9&gt;T208,$P$9,$Q$9),DATE(YEAR(T208),MONTH(T208)+1,1))</f>
        <v>42461</v>
      </c>
      <c r="U209" s="221">
        <f>IF(AND(Main!$H$7&gt;=DATE(2011,1,1),OR(Main!$AN$10=2,Main!$AN$10=5),T209&lt;Main!$L$4),VLOOKUP(T209,$P$106:$U$144,3),VLOOKUP(T209,$P$106:$U$144,2))</f>
        <v>55410</v>
      </c>
      <c r="V209" s="34">
        <f>IF(AND(Main!$H$7&gt;=DATE(2011,1,1),OR(Main!$AN$10=2,Main!$AN$10=5),T209&lt;Main!$L$4),VLOOKUP(T209,$P$106:$U$144,4),VLOOKUP(T209,$P$106:$U$144,5))</f>
        <v>55410</v>
      </c>
      <c r="W209" s="34" t="b">
        <f t="shared" si="59"/>
        <v>1</v>
      </c>
      <c r="X209" s="34">
        <f>IF($Y$161&lt;$X$205,U209,'IN RPS-2010'!U209)</f>
        <v>55410</v>
      </c>
      <c r="Y209" s="34">
        <f>IF($Y$161&lt;$X$205,V209,'IN RPS-2010'!V209)</f>
        <v>55410</v>
      </c>
    </row>
    <row r="210" spans="16:25">
      <c r="P210" s="277"/>
      <c r="Q210" s="749" t="s">
        <v>1884</v>
      </c>
      <c r="R210" s="737">
        <f>Main!C27</f>
        <v>42186</v>
      </c>
      <c r="T210" s="743">
        <f t="shared" si="60"/>
        <v>42461</v>
      </c>
      <c r="U210" s="221">
        <f>IF(AND(Main!$H$7&gt;=DATE(2011,1,1),OR(Main!$AN$10=2,Main!$AN$10=5),T210&lt;Main!$L$4),VLOOKUP(T210,$P$106:$U$144,3),VLOOKUP(T210,$P$106:$U$144,2))</f>
        <v>55410</v>
      </c>
      <c r="V210" s="34">
        <f>IF(AND(Main!$H$7&gt;=DATE(2011,1,1),OR(Main!$AN$10=2,Main!$AN$10=5),T210&lt;Main!$L$4),VLOOKUP(T210,$P$106:$U$144,4),VLOOKUP(T210,$P$106:$U$144,5))</f>
        <v>55410</v>
      </c>
      <c r="W210" s="34" t="b">
        <f t="shared" si="59"/>
        <v>1</v>
      </c>
      <c r="X210" s="34">
        <f>IF($Y$161&lt;$X$205,U210,'IN RPS-2010'!U210)</f>
        <v>55410</v>
      </c>
      <c r="Y210" s="34">
        <f>IF($Y$161&lt;$X$205,V210,'IN RPS-2010'!V210)</f>
        <v>55410</v>
      </c>
    </row>
    <row r="211" spans="16:25">
      <c r="P211" s="277"/>
      <c r="Q211" s="749"/>
      <c r="T211" s="743">
        <f t="shared" si="60"/>
        <v>42461</v>
      </c>
      <c r="U211" s="221">
        <f>IF(AND(Main!$H$7&gt;=DATE(2011,1,1),OR(Main!$AN$10=2,Main!$AN$10=5),T211&lt;Main!$L$4),VLOOKUP(T211,$P$106:$U$144,3),VLOOKUP(T211,$P$106:$U$144,2))</f>
        <v>55410</v>
      </c>
      <c r="V211" s="34">
        <f>IF(AND(Main!$H$7&gt;=DATE(2011,1,1),OR(Main!$AN$10=2,Main!$AN$10=5),T211&lt;Main!$L$4),VLOOKUP(T211,$P$106:$U$144,4),VLOOKUP(T211,$P$106:$U$144,5))</f>
        <v>55410</v>
      </c>
      <c r="W211" s="34" t="b">
        <f t="shared" si="59"/>
        <v>1</v>
      </c>
      <c r="X211" s="34">
        <f>IF($Y$161&lt;$X$205,U211,'IN RPS-2010'!U211)</f>
        <v>55410</v>
      </c>
      <c r="Y211" s="34">
        <f>IF($Y$161&lt;$X$205,V211,'IN RPS-2010'!V211)</f>
        <v>55410</v>
      </c>
    </row>
    <row r="212" spans="16:25">
      <c r="P212" s="277"/>
      <c r="T212" s="743">
        <f t="shared" si="60"/>
        <v>42461</v>
      </c>
      <c r="U212" s="221">
        <f>IF(AND(Main!$H$7&gt;=DATE(2011,1,1),OR(Main!$AN$10=2,Main!$AN$10=5),T212&lt;Main!$L$4),VLOOKUP(T212,$P$106:$U$144,3),VLOOKUP(T212,$P$106:$U$144,2))</f>
        <v>55410</v>
      </c>
      <c r="V212" s="34">
        <f>IF(AND(Main!$H$7&gt;=DATE(2011,1,1),OR(Main!$AN$10=2,Main!$AN$10=5),T212&lt;Main!$L$4),VLOOKUP(T212,$P$106:$U$144,4),VLOOKUP(T212,$P$106:$U$144,5))</f>
        <v>55410</v>
      </c>
      <c r="W212" s="34" t="b">
        <f t="shared" si="59"/>
        <v>1</v>
      </c>
      <c r="X212" s="34">
        <f>IF($Y$161&lt;$X$205,U212,'IN RPS-2010'!U212)</f>
        <v>55410</v>
      </c>
      <c r="Y212" s="34">
        <f>IF($Y$161&lt;$X$205,V212,'IN RPS-2010'!V212)</f>
        <v>55410</v>
      </c>
    </row>
    <row r="213" spans="16:25">
      <c r="P213" s="277"/>
      <c r="Q213" s="748" t="s">
        <v>1884</v>
      </c>
      <c r="T213" s="743">
        <f t="shared" si="60"/>
        <v>42461</v>
      </c>
      <c r="U213" s="221">
        <f>IF(AND(Main!$H$7&gt;=DATE(2011,1,1),OR(Main!$AN$10=2,Main!$AN$10=5),T213&lt;Main!$L$4),VLOOKUP(T213,$P$106:$U$144,3),VLOOKUP(T213,$P$106:$U$144,2))</f>
        <v>55410</v>
      </c>
      <c r="V213" s="34">
        <f>IF(AND(Main!$H$7&gt;=DATE(2011,1,1),OR(Main!$AN$10=2,Main!$AN$10=5),T213&lt;Main!$L$4),VLOOKUP(T213,$P$106:$U$144,4),VLOOKUP(T213,$P$106:$U$144,5))</f>
        <v>55410</v>
      </c>
      <c r="W213" s="34" t="b">
        <f t="shared" si="59"/>
        <v>1</v>
      </c>
      <c r="X213" s="34">
        <f>IF($Y$161&lt;$X$205,U213,'IN RPS-2010'!U213)</f>
        <v>55410</v>
      </c>
      <c r="Y213" s="34">
        <f>IF($Y$161&lt;$X$205,V213,'IN RPS-2010'!V213)</f>
        <v>55410</v>
      </c>
    </row>
    <row r="214" spans="16:25">
      <c r="P214" s="277"/>
      <c r="Q214" s="748" t="s">
        <v>1429</v>
      </c>
      <c r="R214" s="748" t="s">
        <v>1430</v>
      </c>
      <c r="T214" s="743">
        <f t="shared" si="60"/>
        <v>42461</v>
      </c>
      <c r="U214" s="221">
        <f>IF(AND(Main!$H$7&gt;=DATE(2011,1,1),OR(Main!$AN$10=2,Main!$AN$10=5),T214&lt;Main!$L$4),VLOOKUP(T214,$P$106:$U$144,3),VLOOKUP(T214,$P$106:$U$144,2))</f>
        <v>55410</v>
      </c>
      <c r="V214" s="34">
        <f>IF(AND(Main!$H$7&gt;=DATE(2011,1,1),OR(Main!$AN$10=2,Main!$AN$10=5),T214&lt;Main!$L$4),VLOOKUP(T214,$P$106:$U$144,4),VLOOKUP(T214,$P$106:$U$144,5))</f>
        <v>55410</v>
      </c>
      <c r="W214" s="34" t="b">
        <f t="shared" si="59"/>
        <v>1</v>
      </c>
      <c r="X214" s="34">
        <f>IF($Y$161&lt;$X$205,U214,'IN RPS-2010'!U214)</f>
        <v>55410</v>
      </c>
      <c r="Y214" s="34">
        <f>IF($Y$161&lt;$X$205,V214,'IN RPS-2010'!V214)</f>
        <v>55410</v>
      </c>
    </row>
    <row r="215" spans="16:25">
      <c r="P215" s="277">
        <f>P164</f>
        <v>42005</v>
      </c>
      <c r="Q215" s="749">
        <f t="shared" ref="Q215:Q253" si="61">IF($R$208&lt;=$R$210,Q164,R164)</f>
        <v>53950</v>
      </c>
      <c r="R215" s="34">
        <f t="shared" ref="R215:R253" si="62">IF($R$209&lt;=$R$210,Q164,R164)</f>
        <v>53950</v>
      </c>
      <c r="S215" s="668">
        <f>IF(Main!$H$7=Main!$AM$3,Q215,IF(P164&lt;$R$207,Q215,R215))</f>
        <v>53950</v>
      </c>
      <c r="T215" s="743">
        <f t="shared" si="60"/>
        <v>42461</v>
      </c>
      <c r="U215" s="221">
        <f>IF(AND(Main!$H$7&gt;=DATE(2011,1,1),OR(Main!$AN$10=2,Main!$AN$10=5),T215&lt;Main!$L$4),VLOOKUP(T215,$P$106:$U$144,3),VLOOKUP(T215,$P$106:$U$144,2))</f>
        <v>55410</v>
      </c>
      <c r="V215" s="34">
        <f>IF(AND(Main!$H$7&gt;=DATE(2011,1,1),OR(Main!$AN$10=2,Main!$AN$10=5),T215&lt;Main!$L$4),VLOOKUP(T215,$P$106:$U$144,4),VLOOKUP(T215,$P$106:$U$144,5))</f>
        <v>55410</v>
      </c>
      <c r="W215" s="34" t="b">
        <f t="shared" si="59"/>
        <v>1</v>
      </c>
      <c r="X215" s="34">
        <f>IF($Y$161&lt;$X$205,U215,'IN RPS-2010'!U215)</f>
        <v>55410</v>
      </c>
      <c r="Y215" s="34">
        <f>IF($Y$161&lt;$X$205,V215,'IN RPS-2010'!V215)</f>
        <v>55410</v>
      </c>
    </row>
    <row r="216" spans="16:25">
      <c r="P216" s="277">
        <f t="shared" ref="P216:P253" si="63">P165</f>
        <v>42036</v>
      </c>
      <c r="Q216" s="749">
        <f t="shared" si="61"/>
        <v>53950</v>
      </c>
      <c r="R216" s="34">
        <f t="shared" si="62"/>
        <v>53950</v>
      </c>
      <c r="S216" s="668">
        <f>IF(Main!$H$7=Main!$AM$3,Q216,IF(P165&lt;$R$207,Q216,R216))</f>
        <v>53950</v>
      </c>
      <c r="T216" s="743">
        <f t="shared" si="60"/>
        <v>42461</v>
      </c>
      <c r="U216" s="221">
        <f>IF(AND(Main!$H$7&gt;=DATE(2011,1,1),OR(Main!$AN$10=2,Main!$AN$10=5),T216&lt;Main!$L$4),VLOOKUP(T216,$P$106:$U$144,3),VLOOKUP(T216,$P$106:$U$144,2))</f>
        <v>55410</v>
      </c>
      <c r="V216" s="34">
        <f>IF(AND(Main!$H$7&gt;=DATE(2011,1,1),OR(Main!$AN$10=2,Main!$AN$10=5),T216&lt;Main!$L$4),VLOOKUP(T216,$P$106:$U$144,4),VLOOKUP(T216,$P$106:$U$144,5))</f>
        <v>55410</v>
      </c>
      <c r="W216" s="34" t="b">
        <f t="shared" si="59"/>
        <v>1</v>
      </c>
      <c r="X216" s="34">
        <f>IF($Y$161&lt;$X$205,U216,'IN RPS-2010'!U216)</f>
        <v>55410</v>
      </c>
      <c r="Y216" s="34">
        <f>IF($Y$161&lt;$X$205,V216,'IN RPS-2010'!V216)</f>
        <v>55410</v>
      </c>
    </row>
    <row r="217" spans="16:25">
      <c r="P217" s="277">
        <f t="shared" si="63"/>
        <v>42064</v>
      </c>
      <c r="Q217" s="749">
        <f t="shared" si="61"/>
        <v>53950</v>
      </c>
      <c r="R217" s="34">
        <f t="shared" si="62"/>
        <v>53950</v>
      </c>
      <c r="S217" s="668">
        <f>IF(Main!$H$7=Main!$AM$3,Q217,IF(P166&lt;$R$207,Q217,R217))</f>
        <v>53950</v>
      </c>
      <c r="T217" s="743">
        <f t="shared" si="60"/>
        <v>42461</v>
      </c>
      <c r="U217" s="221">
        <f>IF(AND(Main!$H$7&gt;=DATE(2011,1,1),OR(Main!$AN$10=2,Main!$AN$10=5),T217&lt;Main!$L$4),VLOOKUP(T217,$P$106:$U$144,3),VLOOKUP(T217,$P$106:$U$144,2))</f>
        <v>55410</v>
      </c>
      <c r="V217" s="34">
        <f>IF(AND(Main!$H$7&gt;=DATE(2011,1,1),OR(Main!$AN$10=2,Main!$AN$10=5),T217&lt;Main!$L$4),VLOOKUP(T217,$P$106:$U$144,4),VLOOKUP(T217,$P$106:$U$144,5))</f>
        <v>55410</v>
      </c>
      <c r="W217" s="34" t="b">
        <f t="shared" si="59"/>
        <v>1</v>
      </c>
      <c r="X217" s="34">
        <f>IF($Y$161&lt;$X$205,U217,'IN RPS-2010'!U217)</f>
        <v>55410</v>
      </c>
      <c r="Y217" s="34">
        <f>IF($Y$161&lt;$X$205,V217,'IN RPS-2010'!V217)</f>
        <v>55410</v>
      </c>
    </row>
    <row r="218" spans="16:25">
      <c r="P218" s="277">
        <f t="shared" si="63"/>
        <v>42095</v>
      </c>
      <c r="Q218" s="749">
        <f t="shared" si="61"/>
        <v>53950</v>
      </c>
      <c r="R218" s="34">
        <f t="shared" si="62"/>
        <v>53950</v>
      </c>
      <c r="S218" s="668">
        <f>IF(Main!$H$7=Main!$AM$3,Q218,IF(P167&lt;$R$207,Q218,R218))</f>
        <v>53950</v>
      </c>
      <c r="T218" s="743">
        <f t="shared" si="60"/>
        <v>42461</v>
      </c>
      <c r="U218" s="221">
        <f>IF(AND(Main!$H$7&gt;=DATE(2011,1,1),OR(Main!$AN$10=2,Main!$AN$10=5),T218&lt;Main!$L$4),VLOOKUP(T218,$P$106:$U$144,3),VLOOKUP(T218,$P$106:$U$144,2))</f>
        <v>55410</v>
      </c>
      <c r="V218" s="34">
        <f>IF(AND(Main!$H$7&gt;=DATE(2011,1,1),OR(Main!$AN$10=2,Main!$AN$10=5),T218&lt;Main!$L$4),VLOOKUP(T218,$P$106:$U$144,4),VLOOKUP(T218,$P$106:$U$144,5))</f>
        <v>55410</v>
      </c>
      <c r="W218" s="34" t="b">
        <f t="shared" si="59"/>
        <v>1</v>
      </c>
      <c r="X218" s="34">
        <f>IF($Y$161&lt;$X$205,U218,'IN RPS-2010'!U218)</f>
        <v>55410</v>
      </c>
      <c r="Y218" s="34">
        <f>IF($Y$161&lt;$X$205,V218,'IN RPS-2010'!V218)</f>
        <v>55410</v>
      </c>
    </row>
    <row r="219" spans="16:25">
      <c r="P219" s="277">
        <f t="shared" si="63"/>
        <v>42125</v>
      </c>
      <c r="Q219" s="749">
        <f t="shared" si="61"/>
        <v>53950</v>
      </c>
      <c r="R219" s="34">
        <f t="shared" si="62"/>
        <v>53950</v>
      </c>
      <c r="S219" s="668">
        <f>IF(Main!$H$7=Main!$AM$3,Q219,IF(P168&lt;$R$207,Q219,R219))</f>
        <v>53950</v>
      </c>
      <c r="T219" s="743">
        <f t="shared" si="60"/>
        <v>42461</v>
      </c>
      <c r="U219" s="221">
        <f>IF(AND(Main!$H$7&gt;=DATE(2011,1,1),OR(Main!$AN$10=2,Main!$AN$10=5),T219&lt;Main!$L$4),VLOOKUP(T219,$P$106:$U$144,3),VLOOKUP(T219,$P$106:$U$144,2))</f>
        <v>55410</v>
      </c>
      <c r="V219" s="34">
        <f>IF(AND(Main!$H$7&gt;=DATE(2011,1,1),OR(Main!$AN$10=2,Main!$AN$10=5),T219&lt;Main!$L$4),VLOOKUP(T219,$P$106:$U$144,4),VLOOKUP(T219,$P$106:$U$144,5))</f>
        <v>55410</v>
      </c>
      <c r="W219" s="34" t="b">
        <f t="shared" si="59"/>
        <v>1</v>
      </c>
      <c r="X219" s="34">
        <f>IF($Y$161&lt;$X$205,U219,'IN RPS-2010'!U219)</f>
        <v>55410</v>
      </c>
      <c r="Y219" s="34">
        <f>IF($Y$161&lt;$X$205,V219,'IN RPS-2010'!V219)</f>
        <v>55410</v>
      </c>
    </row>
    <row r="220" spans="16:25">
      <c r="P220" s="277">
        <f t="shared" si="63"/>
        <v>42156</v>
      </c>
      <c r="Q220" s="749">
        <f t="shared" si="61"/>
        <v>53950</v>
      </c>
      <c r="R220" s="34">
        <f t="shared" si="62"/>
        <v>53950</v>
      </c>
      <c r="S220" s="668">
        <f>IF(Main!$H$7=Main!$AM$3,Q220,IF(P169&lt;$R$207,Q220,R220))</f>
        <v>53950</v>
      </c>
      <c r="T220" s="743">
        <f t="shared" si="60"/>
        <v>42461</v>
      </c>
      <c r="U220" s="221">
        <f>IF(AND(Main!$H$7&gt;=DATE(2011,1,1),OR(Main!$AN$10=2,Main!$AN$10=5),T220&lt;Main!$L$4),VLOOKUP(T220,$P$106:$U$144,3),VLOOKUP(T220,$P$106:$U$144,2))</f>
        <v>55410</v>
      </c>
      <c r="V220" s="34">
        <f>IF(AND(Main!$H$7&gt;=DATE(2011,1,1),OR(Main!$AN$10=2,Main!$AN$10=5),T220&lt;Main!$L$4),VLOOKUP(T220,$P$106:$U$144,4),VLOOKUP(T220,$P$106:$U$144,5))</f>
        <v>55410</v>
      </c>
      <c r="W220" s="34" t="b">
        <f t="shared" si="59"/>
        <v>1</v>
      </c>
      <c r="X220" s="34">
        <f>IF($Y$161&lt;$X$205,U220,'IN RPS-2010'!U220)</f>
        <v>55410</v>
      </c>
      <c r="Y220" s="34">
        <f>IF($Y$161&lt;$X$205,V220,'IN RPS-2010'!V220)</f>
        <v>55410</v>
      </c>
    </row>
    <row r="221" spans="16:25">
      <c r="P221" s="277">
        <f t="shared" si="63"/>
        <v>42186</v>
      </c>
      <c r="Q221" s="749">
        <f t="shared" si="61"/>
        <v>53950</v>
      </c>
      <c r="R221" s="34">
        <f t="shared" si="62"/>
        <v>53950</v>
      </c>
      <c r="S221" s="668">
        <f>IF(Main!$H$7=Main!$AM$3,Q221,IF(P170&lt;$R$207,Q221,R221))</f>
        <v>53950</v>
      </c>
      <c r="T221" s="743">
        <f t="shared" si="60"/>
        <v>42461</v>
      </c>
      <c r="U221" s="221">
        <f>IF(AND(Main!$H$7&gt;=DATE(2011,1,1),OR(Main!$AN$10=2,Main!$AN$10=5),T221&lt;Main!$L$4),VLOOKUP(T221,$P$106:$U$144,3),VLOOKUP(T221,$P$106:$U$144,2))</f>
        <v>55410</v>
      </c>
      <c r="V221" s="34">
        <f>IF(AND(Main!$H$7&gt;=DATE(2011,1,1),OR(Main!$AN$10=2,Main!$AN$10=5),T221&lt;Main!$L$4),VLOOKUP(T221,$P$106:$U$144,4),VLOOKUP(T221,$P$106:$U$144,5))</f>
        <v>55410</v>
      </c>
      <c r="W221" s="34" t="b">
        <f t="shared" si="59"/>
        <v>1</v>
      </c>
      <c r="X221" s="34">
        <f>IF($Y$161&lt;$X$205,U221,'IN RPS-2010'!U221)</f>
        <v>55410</v>
      </c>
      <c r="Y221" s="34">
        <f>IF($Y$161&lt;$X$205,V221,'IN RPS-2010'!V221)</f>
        <v>55410</v>
      </c>
    </row>
    <row r="222" spans="16:25">
      <c r="P222" s="277">
        <f t="shared" si="63"/>
        <v>42217</v>
      </c>
      <c r="Q222" s="749">
        <f t="shared" si="61"/>
        <v>53950</v>
      </c>
      <c r="R222" s="34">
        <f t="shared" si="62"/>
        <v>53950</v>
      </c>
      <c r="S222" s="668">
        <f>IF(Main!$H$7=Main!$AM$3,Q222,IF(P171&lt;$R$207,Q222,R222))</f>
        <v>53950</v>
      </c>
      <c r="T222" s="743">
        <f t="shared" si="60"/>
        <v>42461</v>
      </c>
      <c r="U222" s="221">
        <f>IF(AND(Main!$H$7&gt;=DATE(2011,1,1),OR(Main!$AN$10=2,Main!$AN$10=5),T222&lt;Main!$L$4),VLOOKUP(T222,$P$106:$U$144,3),VLOOKUP(T222,$P$106:$U$144,2))</f>
        <v>55410</v>
      </c>
      <c r="V222" s="34">
        <f>IF(AND(Main!$H$7&gt;=DATE(2011,1,1),OR(Main!$AN$10=2,Main!$AN$10=5),T222&lt;Main!$L$4),VLOOKUP(T222,$P$106:$U$144,4),VLOOKUP(T222,$P$106:$U$144,5))</f>
        <v>55410</v>
      </c>
      <c r="W222" s="34" t="b">
        <f t="shared" si="59"/>
        <v>1</v>
      </c>
      <c r="X222" s="34">
        <f>IF($Y$161&lt;$X$205,U222,'IN RPS-2010'!U222)</f>
        <v>55410</v>
      </c>
      <c r="Y222" s="34">
        <f>IF($Y$161&lt;$X$205,V222,'IN RPS-2010'!V222)</f>
        <v>55410</v>
      </c>
    </row>
    <row r="223" spans="16:25">
      <c r="P223" s="277">
        <f t="shared" si="63"/>
        <v>42248</v>
      </c>
      <c r="Q223" s="749">
        <f t="shared" si="61"/>
        <v>55410</v>
      </c>
      <c r="R223" s="34">
        <f t="shared" si="62"/>
        <v>55410</v>
      </c>
      <c r="S223" s="668">
        <f>IF(Main!$H$7=Main!$AM$3,Q223,IF(P172&lt;$R$207,Q223,R223))</f>
        <v>55410</v>
      </c>
    </row>
    <row r="224" spans="16:25">
      <c r="P224" s="277">
        <f t="shared" si="63"/>
        <v>42278</v>
      </c>
      <c r="Q224" s="749">
        <f t="shared" si="61"/>
        <v>55410</v>
      </c>
      <c r="R224" s="34">
        <f t="shared" si="62"/>
        <v>55410</v>
      </c>
      <c r="S224" s="668">
        <f>IF(Main!$H$7=Main!$AM$3,Q224,IF(P173&lt;$R$207,Q224,R224))</f>
        <v>55410</v>
      </c>
    </row>
    <row r="225" spans="16:19">
      <c r="P225" s="277">
        <f t="shared" si="63"/>
        <v>42309</v>
      </c>
      <c r="Q225" s="749">
        <f t="shared" si="61"/>
        <v>55410</v>
      </c>
      <c r="R225" s="34">
        <f t="shared" si="62"/>
        <v>55410</v>
      </c>
      <c r="S225" s="668">
        <f>IF(Main!$H$7=Main!$AM$3,Q225,IF(P174&lt;$R$207,Q225,R225))</f>
        <v>55410</v>
      </c>
    </row>
    <row r="226" spans="16:19">
      <c r="P226" s="277">
        <f t="shared" si="63"/>
        <v>42339</v>
      </c>
      <c r="Q226" s="749">
        <f t="shared" si="61"/>
        <v>55410</v>
      </c>
      <c r="R226" s="34">
        <f t="shared" si="62"/>
        <v>55410</v>
      </c>
      <c r="S226" s="668">
        <f>IF(Main!$H$7=Main!$AM$3,Q226,IF(P175&lt;$R$207,Q226,R226))</f>
        <v>55410</v>
      </c>
    </row>
    <row r="227" spans="16:19">
      <c r="P227" s="277">
        <f t="shared" si="63"/>
        <v>42370</v>
      </c>
      <c r="Q227" s="749">
        <f t="shared" si="61"/>
        <v>55410</v>
      </c>
      <c r="R227" s="34">
        <f t="shared" si="62"/>
        <v>55410</v>
      </c>
      <c r="S227" s="668">
        <f>IF(Main!$H$7=Main!$AM$3,Q227,IF(P176&lt;$R$207,Q227,R227))</f>
        <v>55410</v>
      </c>
    </row>
    <row r="228" spans="16:19">
      <c r="P228" s="277">
        <f t="shared" si="63"/>
        <v>42401</v>
      </c>
      <c r="Q228" s="749">
        <f t="shared" si="61"/>
        <v>55410</v>
      </c>
      <c r="R228" s="34">
        <f t="shared" si="62"/>
        <v>55410</v>
      </c>
      <c r="S228" s="668">
        <f>IF(Main!$H$7=Main!$AM$3,Q228,IF(P177&lt;$R$207,Q228,R228))</f>
        <v>55410</v>
      </c>
    </row>
    <row r="229" spans="16:19">
      <c r="P229" s="277">
        <f t="shared" si="63"/>
        <v>42430</v>
      </c>
      <c r="Q229" s="749">
        <f t="shared" si="61"/>
        <v>55410</v>
      </c>
      <c r="R229" s="34">
        <f t="shared" si="62"/>
        <v>55410</v>
      </c>
      <c r="S229" s="668">
        <f>IF(Main!$H$7=Main!$AM$3,Q229,IF(P178&lt;$R$207,Q229,R229))</f>
        <v>55410</v>
      </c>
    </row>
    <row r="230" spans="16:19">
      <c r="P230" s="277">
        <f t="shared" si="63"/>
        <v>42461</v>
      </c>
      <c r="Q230" s="749">
        <f t="shared" si="61"/>
        <v>55410</v>
      </c>
      <c r="R230" s="34">
        <f t="shared" si="62"/>
        <v>55410</v>
      </c>
      <c r="S230" s="668">
        <f>IF(Main!$H$7=Main!$AM$3,Q230,IF(P179&lt;$R$207,Q230,R230))</f>
        <v>55410</v>
      </c>
    </row>
    <row r="231" spans="16:19">
      <c r="P231" s="277">
        <f t="shared" si="63"/>
        <v>42461</v>
      </c>
      <c r="Q231" s="749">
        <f t="shared" si="61"/>
        <v>55410</v>
      </c>
      <c r="R231" s="34">
        <f t="shared" si="62"/>
        <v>55410</v>
      </c>
      <c r="S231" s="668">
        <f>IF(Main!$H$7=Main!$AM$3,Q231,IF(P180&lt;$R$207,Q231,R231))</f>
        <v>55410</v>
      </c>
    </row>
    <row r="232" spans="16:19">
      <c r="P232" s="277">
        <f t="shared" si="63"/>
        <v>42461</v>
      </c>
      <c r="Q232" s="749">
        <f t="shared" si="61"/>
        <v>55410</v>
      </c>
      <c r="R232" s="34">
        <f t="shared" si="62"/>
        <v>55410</v>
      </c>
      <c r="S232" s="668">
        <f>IF(Main!$H$7=Main!$AM$3,Q232,IF(P181&lt;$R$207,Q232,R232))</f>
        <v>55410</v>
      </c>
    </row>
    <row r="233" spans="16:19">
      <c r="P233" s="277">
        <f t="shared" si="63"/>
        <v>42461</v>
      </c>
      <c r="Q233" s="749">
        <f t="shared" si="61"/>
        <v>55410</v>
      </c>
      <c r="R233" s="34">
        <f t="shared" si="62"/>
        <v>55410</v>
      </c>
      <c r="S233" s="668">
        <f>IF(Main!$H$7=Main!$AM$3,Q233,IF(P182&lt;$R$207,Q233,R233))</f>
        <v>55410</v>
      </c>
    </row>
    <row r="234" spans="16:19">
      <c r="P234" s="277">
        <f t="shared" si="63"/>
        <v>42461</v>
      </c>
      <c r="Q234" s="749">
        <f t="shared" si="61"/>
        <v>55410</v>
      </c>
      <c r="R234" s="34">
        <f t="shared" si="62"/>
        <v>55410</v>
      </c>
      <c r="S234" s="668">
        <f>IF(Main!$H$7=Main!$AM$3,Q234,IF(P183&lt;$R$207,Q234,R234))</f>
        <v>55410</v>
      </c>
    </row>
    <row r="235" spans="16:19">
      <c r="P235" s="277">
        <f t="shared" si="63"/>
        <v>42461</v>
      </c>
      <c r="Q235" s="749">
        <f t="shared" si="61"/>
        <v>55410</v>
      </c>
      <c r="R235" s="34">
        <f t="shared" si="62"/>
        <v>55410</v>
      </c>
      <c r="S235" s="668">
        <f>IF(Main!$H$7=Main!$AM$3,Q235,IF(P184&lt;$R$207,Q235,R235))</f>
        <v>55410</v>
      </c>
    </row>
    <row r="236" spans="16:19">
      <c r="P236" s="277">
        <f t="shared" si="63"/>
        <v>42461</v>
      </c>
      <c r="Q236" s="749">
        <f t="shared" si="61"/>
        <v>55410</v>
      </c>
      <c r="R236" s="34">
        <f t="shared" si="62"/>
        <v>55410</v>
      </c>
      <c r="S236" s="668">
        <f>IF(Main!$H$7=Main!$AM$3,Q236,IF(P185&lt;$R$207,Q236,R236))</f>
        <v>55410</v>
      </c>
    </row>
    <row r="237" spans="16:19">
      <c r="P237" s="277">
        <f t="shared" si="63"/>
        <v>42461</v>
      </c>
      <c r="Q237" s="749">
        <f t="shared" si="61"/>
        <v>55410</v>
      </c>
      <c r="R237" s="34">
        <f t="shared" si="62"/>
        <v>55410</v>
      </c>
      <c r="S237" s="668">
        <f>IF(Main!$H$7=Main!$AM$3,Q237,IF(P186&lt;$R$207,Q237,R237))</f>
        <v>55410</v>
      </c>
    </row>
    <row r="238" spans="16:19">
      <c r="P238" s="277">
        <f t="shared" si="63"/>
        <v>42461</v>
      </c>
      <c r="Q238" s="749">
        <f t="shared" si="61"/>
        <v>55410</v>
      </c>
      <c r="R238" s="34">
        <f t="shared" si="62"/>
        <v>55410</v>
      </c>
      <c r="S238" s="668">
        <f>IF(Main!$H$7=Main!$AM$3,Q238,IF(P187&lt;$R$207,Q238,R238))</f>
        <v>55410</v>
      </c>
    </row>
    <row r="239" spans="16:19">
      <c r="P239" s="277">
        <f t="shared" si="63"/>
        <v>42461</v>
      </c>
      <c r="Q239" s="749">
        <f t="shared" si="61"/>
        <v>55410</v>
      </c>
      <c r="R239" s="34">
        <f t="shared" si="62"/>
        <v>55410</v>
      </c>
      <c r="S239" s="668">
        <f>IF(Main!$H$7=Main!$AM$3,Q239,IF(P188&lt;$R$207,Q239,R239))</f>
        <v>55410</v>
      </c>
    </row>
    <row r="240" spans="16:19">
      <c r="P240" s="277">
        <f t="shared" si="63"/>
        <v>42461</v>
      </c>
      <c r="Q240" s="749">
        <f t="shared" si="61"/>
        <v>55410</v>
      </c>
      <c r="R240" s="34">
        <f t="shared" si="62"/>
        <v>55410</v>
      </c>
      <c r="S240" s="668">
        <f>IF(Main!$H$7=Main!$AM$3,Q240,IF(P189&lt;$R$207,Q240,R240))</f>
        <v>55410</v>
      </c>
    </row>
    <row r="241" spans="16:19">
      <c r="P241" s="277">
        <f t="shared" si="63"/>
        <v>42461</v>
      </c>
      <c r="Q241" s="749">
        <f t="shared" si="61"/>
        <v>55410</v>
      </c>
      <c r="R241" s="34">
        <f t="shared" si="62"/>
        <v>55410</v>
      </c>
      <c r="S241" s="668">
        <f>IF(Main!$H$7=Main!$AM$3,Q241,IF(P190&lt;$R$207,Q241,R241))</f>
        <v>55410</v>
      </c>
    </row>
    <row r="242" spans="16:19">
      <c r="P242" s="277">
        <f t="shared" si="63"/>
        <v>42461</v>
      </c>
      <c r="Q242" s="749">
        <f t="shared" si="61"/>
        <v>55410</v>
      </c>
      <c r="R242" s="34">
        <f t="shared" si="62"/>
        <v>55410</v>
      </c>
      <c r="S242" s="668">
        <f>IF(Main!$H$7=Main!$AM$3,Q242,IF(P191&lt;$R$207,Q242,R242))</f>
        <v>55410</v>
      </c>
    </row>
    <row r="243" spans="16:19">
      <c r="P243" s="277">
        <f t="shared" si="63"/>
        <v>42461</v>
      </c>
      <c r="Q243" s="749">
        <f t="shared" si="61"/>
        <v>55410</v>
      </c>
      <c r="R243" s="34">
        <f t="shared" si="62"/>
        <v>55410</v>
      </c>
      <c r="S243" s="668">
        <f>IF(Main!$H$7=Main!$AM$3,Q243,IF(P192&lt;$R$207,Q243,R243))</f>
        <v>55410</v>
      </c>
    </row>
    <row r="244" spans="16:19">
      <c r="P244" s="277">
        <f t="shared" si="63"/>
        <v>42461</v>
      </c>
      <c r="Q244" s="749">
        <f t="shared" si="61"/>
        <v>55410</v>
      </c>
      <c r="R244" s="34">
        <f t="shared" si="62"/>
        <v>55410</v>
      </c>
      <c r="S244" s="668">
        <f>IF(Main!$H$7=Main!$AM$3,Q244,IF(P193&lt;$R$207,Q244,R244))</f>
        <v>55410</v>
      </c>
    </row>
    <row r="245" spans="16:19">
      <c r="P245" s="277">
        <f t="shared" si="63"/>
        <v>42461</v>
      </c>
      <c r="Q245" s="749">
        <f t="shared" si="61"/>
        <v>55410</v>
      </c>
      <c r="R245" s="34">
        <f t="shared" si="62"/>
        <v>55410</v>
      </c>
      <c r="S245" s="668">
        <f>IF(Main!$H$7=Main!$AM$3,Q245,IF(P194&lt;$R$207,Q245,R245))</f>
        <v>55410</v>
      </c>
    </row>
    <row r="246" spans="16:19">
      <c r="P246" s="277">
        <f t="shared" si="63"/>
        <v>42461</v>
      </c>
      <c r="Q246" s="749">
        <f t="shared" si="61"/>
        <v>55410</v>
      </c>
      <c r="R246" s="34">
        <f t="shared" si="62"/>
        <v>55410</v>
      </c>
      <c r="S246" s="668">
        <f>IF(Main!$H$7=Main!$AM$3,Q246,IF(P195&lt;$R$207,Q246,R246))</f>
        <v>55410</v>
      </c>
    </row>
    <row r="247" spans="16:19">
      <c r="P247" s="277">
        <f t="shared" si="63"/>
        <v>42461</v>
      </c>
      <c r="Q247" s="749">
        <f t="shared" si="61"/>
        <v>55410</v>
      </c>
      <c r="R247" s="34">
        <f t="shared" si="62"/>
        <v>55410</v>
      </c>
      <c r="S247" s="668">
        <f>IF(Main!$H$7=Main!$AM$3,Q247,IF(P196&lt;$R$207,Q247,R247))</f>
        <v>55410</v>
      </c>
    </row>
    <row r="248" spans="16:19">
      <c r="P248" s="277">
        <f t="shared" si="63"/>
        <v>42461</v>
      </c>
      <c r="Q248" s="749">
        <f t="shared" si="61"/>
        <v>55410</v>
      </c>
      <c r="R248" s="34">
        <f t="shared" si="62"/>
        <v>55410</v>
      </c>
      <c r="S248" s="668">
        <f>IF(Main!$H$7=Main!$AM$3,Q248,IF(P197&lt;$R$207,Q248,R248))</f>
        <v>55410</v>
      </c>
    </row>
    <row r="249" spans="16:19">
      <c r="P249" s="277">
        <f t="shared" si="63"/>
        <v>42461</v>
      </c>
      <c r="Q249" s="749">
        <f t="shared" si="61"/>
        <v>55410</v>
      </c>
      <c r="R249" s="34">
        <f t="shared" si="62"/>
        <v>55410</v>
      </c>
      <c r="S249" s="668">
        <f>IF(Main!$H$7=Main!$AM$3,Q249,IF(P198&lt;$R$207,Q249,R249))</f>
        <v>55410</v>
      </c>
    </row>
    <row r="250" spans="16:19">
      <c r="P250" s="277">
        <f t="shared" si="63"/>
        <v>42461</v>
      </c>
      <c r="Q250" s="749">
        <f t="shared" si="61"/>
        <v>55410</v>
      </c>
      <c r="R250" s="34">
        <f t="shared" si="62"/>
        <v>55410</v>
      </c>
      <c r="S250" s="668">
        <f>IF(Main!$H$7=Main!$AM$3,Q250,IF(P199&lt;$R$207,Q250,R250))</f>
        <v>55410</v>
      </c>
    </row>
    <row r="251" spans="16:19">
      <c r="P251" s="277">
        <f t="shared" si="63"/>
        <v>42461</v>
      </c>
      <c r="Q251" s="749">
        <f t="shared" si="61"/>
        <v>55410</v>
      </c>
      <c r="R251" s="34">
        <f t="shared" si="62"/>
        <v>55410</v>
      </c>
      <c r="S251" s="668">
        <f>IF(Main!$H$7=Main!$AM$3,Q251,IF(P200&lt;$R$207,Q251,R251))</f>
        <v>55410</v>
      </c>
    </row>
    <row r="252" spans="16:19">
      <c r="P252" s="277">
        <f t="shared" si="63"/>
        <v>42461</v>
      </c>
      <c r="Q252" s="749">
        <f t="shared" si="61"/>
        <v>55410</v>
      </c>
      <c r="R252" s="34">
        <f t="shared" si="62"/>
        <v>55410</v>
      </c>
      <c r="S252" s="668">
        <f>IF(Main!$H$7=Main!$AM$3,Q252,IF(P201&lt;$R$207,Q252,R252))</f>
        <v>55410</v>
      </c>
    </row>
    <row r="253" spans="16:19">
      <c r="P253" s="277">
        <f t="shared" si="63"/>
        <v>42461</v>
      </c>
      <c r="Q253" s="749">
        <f t="shared" si="61"/>
        <v>55410</v>
      </c>
      <c r="R253" s="34">
        <f t="shared" si="62"/>
        <v>55410</v>
      </c>
      <c r="S253" s="668">
        <f>IF(Main!$H$7=Main!$AM$3,Q253,IF(P202&lt;$R$207,Q253,R253))</f>
        <v>55410</v>
      </c>
    </row>
  </sheetData>
  <customSheetViews>
    <customSheetView guid="{AF8DD0C3-82AF-40F4-9518-B58C2E7D25DB}" scale="106" state="hidden">
      <selection activeCell="S156" sqref="S156"/>
      <pageMargins left="0.7" right="0.7" top="0.75" bottom="0.75" header="0.3" footer="0.3"/>
      <pageSetup paperSize="9" orientation="portrait" verticalDpi="0" r:id="rId1"/>
    </customSheetView>
    <customSheetView guid="{79BDAD5E-470D-413B-AE3A-BBB122EFD8E5}" scale="106" state="hidden">
      <selection activeCell="C9" sqref="C9"/>
      <pageMargins left="0.7" right="0.7" top="0.75" bottom="0.75" header="0.3" footer="0.3"/>
      <pageSetup paperSize="9" orientation="portrait" verticalDpi="0" r:id="rId2"/>
    </customSheetView>
  </customSheetViews>
  <mergeCells count="10">
    <mergeCell ref="A1:L1"/>
    <mergeCell ref="B103:C103"/>
    <mergeCell ref="O1:AA1"/>
    <mergeCell ref="Q104:R104"/>
    <mergeCell ref="S104:T104"/>
    <mergeCell ref="AM1:AX1"/>
    <mergeCell ref="AN103:AO103"/>
    <mergeCell ref="P205:S205"/>
    <mergeCell ref="T205:W205"/>
    <mergeCell ref="P148:Q148"/>
  </mergeCells>
  <conditionalFormatting sqref="S164:S202">
    <cfRule type="cellIs" dxfId="23" priority="25" operator="equal">
      <formula>FALSE</formula>
    </cfRule>
  </conditionalFormatting>
  <conditionalFormatting sqref="Z105:Z144 U105:Y105 U138:Y144">
    <cfRule type="expression" dxfId="22" priority="19">
      <formula>FALSE</formula>
    </cfRule>
  </conditionalFormatting>
  <conditionalFormatting sqref="U106:W144">
    <cfRule type="cellIs" dxfId="21" priority="14" operator="equal">
      <formula>FALSE</formula>
    </cfRule>
  </conditionalFormatting>
  <conditionalFormatting sqref="W207:W222">
    <cfRule type="expression" dxfId="20" priority="11">
      <formula>FALSE</formula>
    </cfRule>
  </conditionalFormatting>
  <conditionalFormatting sqref="T207:W222">
    <cfRule type="cellIs" dxfId="19" priority="10" operator="equal">
      <formula>FALSE</formula>
    </cfRule>
  </conditionalFormatting>
  <conditionalFormatting sqref="X164:Y202">
    <cfRule type="cellIs" dxfId="18" priority="9" operator="equal">
      <formula>FALSE</formula>
    </cfRule>
  </conditionalFormatting>
  <conditionalFormatting sqref="Z105:Z144 U105:Y105 U138:Y144">
    <cfRule type="expression" dxfId="17" priority="8">
      <formula>FALSE</formula>
    </cfRule>
  </conditionalFormatting>
  <conditionalFormatting sqref="U106:W144">
    <cfRule type="cellIs" dxfId="16" priority="7" operator="equal">
      <formula>FALSE</formula>
    </cfRule>
  </conditionalFormatting>
  <conditionalFormatting sqref="S164:S202">
    <cfRule type="cellIs" dxfId="15" priority="6" operator="equal">
      <formula>FALSE</formula>
    </cfRule>
  </conditionalFormatting>
  <conditionalFormatting sqref="Z105:Z144 U105:Y105 U138:Y144">
    <cfRule type="expression" dxfId="14" priority="5">
      <formula>FALSE</formula>
    </cfRule>
  </conditionalFormatting>
  <conditionalFormatting sqref="U106:W144">
    <cfRule type="cellIs" dxfId="13" priority="4" operator="equal">
      <formula>FALSE</formula>
    </cfRule>
  </conditionalFormatting>
  <conditionalFormatting sqref="W207:W222">
    <cfRule type="expression" dxfId="12" priority="2">
      <formula>FALSE</formula>
    </cfRule>
  </conditionalFormatting>
  <conditionalFormatting sqref="T207:W222">
    <cfRule type="cellIs" dxfId="11" priority="1" operator="equal">
      <formula>FALSE</formula>
    </cfRule>
  </conditionalFormatting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filterMode="1"/>
  <dimension ref="A1:GK556"/>
  <sheetViews>
    <sheetView showGridLines="0" topLeftCell="A42" workbookViewId="0">
      <selection activeCell="L4" sqref="L4"/>
    </sheetView>
  </sheetViews>
  <sheetFormatPr defaultColWidth="9.140625" defaultRowHeight="12.75"/>
  <cols>
    <col min="1" max="1" width="3" style="588" customWidth="1"/>
    <col min="2" max="2" width="2.42578125" style="588" customWidth="1"/>
    <col min="3" max="3" width="2.5703125" style="588" customWidth="1"/>
    <col min="4" max="4" width="34.7109375" style="588" customWidth="1"/>
    <col min="5" max="5" width="16.140625" style="588" customWidth="1"/>
    <col min="6" max="6" width="4.42578125" style="588" customWidth="1"/>
    <col min="7" max="7" width="14.28515625" style="588" customWidth="1"/>
    <col min="8" max="8" width="4.42578125" style="588" customWidth="1"/>
    <col min="9" max="9" width="14.140625" style="588" customWidth="1"/>
    <col min="10" max="10" width="4.28515625" style="588" customWidth="1"/>
    <col min="11" max="11" width="15" style="588" customWidth="1"/>
    <col min="12" max="12" width="6.140625" style="702" customWidth="1"/>
    <col min="13" max="41" width="18.28515625" style="888" hidden="1" customWidth="1"/>
    <col min="42" max="42" width="15.28515625" style="888" hidden="1" customWidth="1"/>
    <col min="43" max="43" width="9.28515625" style="888" hidden="1" customWidth="1"/>
    <col min="44" max="44" width="6.85546875" style="888" hidden="1" customWidth="1"/>
    <col min="45" max="45" width="10.28515625" style="888" hidden="1" customWidth="1"/>
    <col min="46" max="46" width="25.5703125" style="888" hidden="1" customWidth="1"/>
    <col min="47" max="47" width="14.140625" style="888" hidden="1" customWidth="1"/>
    <col min="48" max="51" width="8.85546875" style="888" hidden="1" customWidth="1"/>
    <col min="52" max="53" width="9.140625" style="567" hidden="1" customWidth="1"/>
    <col min="54" max="54" width="12" style="567" hidden="1" customWidth="1"/>
    <col min="55" max="120" width="9.140625" style="567" hidden="1" customWidth="1"/>
    <col min="121" max="193" width="9.140625" style="567" customWidth="1"/>
    <col min="194" max="194" width="9.140625" style="568" customWidth="1"/>
    <col min="195" max="16384" width="9.140625" style="568"/>
  </cols>
  <sheetData>
    <row r="1" spans="1:191" ht="29.25" customHeight="1" thickTop="1">
      <c r="A1" s="1177" t="str">
        <f>CONCATENATE("INCOME TAX RETURN FOR THE FINANCIAL  YEAR ",Main!CC8)</f>
        <v>INCOME TAX RETURN FOR THE FINANCIAL  YEAR 2015-2016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9"/>
      <c r="L1" s="798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7"/>
      <c r="AB1" s="887"/>
      <c r="AC1" s="887"/>
      <c r="AD1" s="887"/>
      <c r="AE1" s="887"/>
      <c r="AF1" s="887"/>
      <c r="AG1" s="887"/>
      <c r="AH1" s="887"/>
      <c r="AI1" s="887"/>
      <c r="AJ1" s="887"/>
      <c r="AK1" s="887"/>
      <c r="AL1" s="887"/>
      <c r="AM1" s="887"/>
      <c r="AN1" s="887"/>
      <c r="AO1" s="887"/>
    </row>
    <row r="2" spans="1:191" ht="5.45" customHeight="1">
      <c r="A2" s="569"/>
      <c r="B2" s="570"/>
      <c r="C2" s="570"/>
      <c r="D2" s="570"/>
      <c r="E2" s="570"/>
      <c r="F2" s="570"/>
      <c r="G2" s="570"/>
      <c r="H2" s="570"/>
      <c r="I2" s="570"/>
      <c r="J2" s="570"/>
      <c r="K2" s="571"/>
    </row>
    <row r="3" spans="1:191" ht="10.5" customHeight="1">
      <c r="A3" s="799">
        <v>1</v>
      </c>
      <c r="B3" s="1152" t="s">
        <v>25</v>
      </c>
      <c r="C3" s="1152"/>
      <c r="D3" s="1152"/>
      <c r="E3" s="1152"/>
      <c r="F3" s="1148" t="str">
        <f>Main!BZ25</f>
        <v>Smt: ANURADHA KORA</v>
      </c>
      <c r="G3" s="1148"/>
      <c r="H3" s="1148"/>
      <c r="I3" s="1148"/>
      <c r="J3" s="1148"/>
      <c r="K3" s="1149"/>
      <c r="L3" s="931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90"/>
      <c r="AL3" s="890"/>
      <c r="AM3" s="890"/>
      <c r="AN3" s="890"/>
      <c r="AO3" s="890"/>
    </row>
    <row r="4" spans="1:191" ht="15" hidden="1" customHeight="1">
      <c r="A4" s="800"/>
      <c r="B4" s="801"/>
      <c r="C4" s="801" t="s">
        <v>15</v>
      </c>
      <c r="D4" s="1137" t="s">
        <v>39</v>
      </c>
      <c r="E4" s="1137"/>
      <c r="F4" s="1153" t="str">
        <f>Main!CC25</f>
        <v>Female</v>
      </c>
      <c r="G4" s="1153"/>
      <c r="H4" s="1153"/>
      <c r="I4" s="802"/>
      <c r="J4" s="802"/>
      <c r="K4" s="803"/>
      <c r="L4" s="891"/>
      <c r="M4" s="890"/>
      <c r="N4" s="889"/>
      <c r="O4" s="889"/>
      <c r="P4" s="889"/>
      <c r="Q4" s="889"/>
      <c r="R4" s="889"/>
      <c r="S4" s="889"/>
      <c r="T4" s="889"/>
      <c r="U4" s="889"/>
      <c r="V4" s="889"/>
      <c r="W4" s="889"/>
      <c r="X4" s="889"/>
      <c r="Y4" s="889"/>
      <c r="Z4" s="889"/>
      <c r="AA4" s="890"/>
      <c r="AB4" s="890"/>
      <c r="AC4" s="890"/>
      <c r="AD4" s="890"/>
      <c r="AE4" s="890"/>
      <c r="AF4" s="890"/>
      <c r="AG4" s="890"/>
      <c r="AH4" s="890"/>
      <c r="AI4" s="890"/>
      <c r="AJ4" s="890"/>
      <c r="AK4" s="890"/>
      <c r="AL4" s="890"/>
      <c r="AM4" s="890"/>
      <c r="AN4" s="890"/>
      <c r="AO4" s="890"/>
    </row>
    <row r="5" spans="1:191" ht="15.75" hidden="1" customHeight="1">
      <c r="A5" s="800"/>
      <c r="B5" s="801"/>
      <c r="C5" s="801" t="s">
        <v>15</v>
      </c>
      <c r="D5" s="1137" t="str">
        <f>CONCATENATE(" Age  ( Date of Birth ",TEXT('IN RPS-2015'!$B$2,"DD-MM-YYYY")," )",)</f>
        <v xml:space="preserve"> Age  ( Date of Birth 01-10-1977 )</v>
      </c>
      <c r="E5" s="1137"/>
      <c r="F5" s="804">
        <f ca="1">INT(DAYS360('IN RPS-2015'!B2,DATE(YEAR(TODAY()),3,31))/360)</f>
        <v>38</v>
      </c>
      <c r="G5" s="805" t="s">
        <v>1443</v>
      </c>
      <c r="H5" s="805"/>
      <c r="I5" s="805"/>
      <c r="J5" s="805"/>
      <c r="K5" s="806"/>
      <c r="L5" s="892"/>
      <c r="M5" s="893"/>
      <c r="N5" s="893"/>
      <c r="O5" s="893"/>
      <c r="P5" s="893"/>
      <c r="Q5" s="893"/>
      <c r="R5" s="893"/>
      <c r="S5" s="893"/>
      <c r="T5" s="893"/>
      <c r="U5" s="893"/>
      <c r="V5" s="893"/>
      <c r="W5" s="893"/>
      <c r="X5" s="893"/>
      <c r="Y5" s="893"/>
      <c r="Z5" s="893"/>
      <c r="AA5" s="894"/>
      <c r="AB5" s="894"/>
      <c r="AC5" s="894"/>
      <c r="AD5" s="894"/>
      <c r="AE5" s="894"/>
      <c r="AF5" s="894"/>
      <c r="AG5" s="894"/>
      <c r="AH5" s="894"/>
      <c r="AI5" s="894"/>
      <c r="AJ5" s="894"/>
      <c r="AK5" s="894"/>
      <c r="AL5" s="894"/>
      <c r="AM5" s="894"/>
      <c r="AN5" s="894"/>
      <c r="AO5" s="894"/>
    </row>
    <row r="6" spans="1:191" ht="15" customHeight="1">
      <c r="A6" s="800">
        <v>2</v>
      </c>
      <c r="B6" s="1138" t="s">
        <v>26</v>
      </c>
      <c r="C6" s="1138"/>
      <c r="D6" s="1138"/>
      <c r="E6" s="1138"/>
      <c r="F6" s="1137" t="str">
        <f>Main!C5</f>
        <v>School Assistant ( Biological Science )</v>
      </c>
      <c r="G6" s="1137"/>
      <c r="H6" s="1137"/>
      <c r="I6" s="1137"/>
      <c r="J6" s="1137"/>
      <c r="K6" s="1156"/>
      <c r="L6" s="702">
        <v>1</v>
      </c>
      <c r="M6" s="889"/>
      <c r="N6" s="889"/>
      <c r="O6" s="889"/>
      <c r="P6" s="889"/>
      <c r="Q6" s="889"/>
      <c r="R6" s="889"/>
      <c r="S6" s="889"/>
      <c r="T6" s="889"/>
      <c r="U6" s="889"/>
      <c r="V6" s="889"/>
      <c r="W6" s="889"/>
      <c r="X6" s="889"/>
      <c r="Y6" s="889"/>
      <c r="Z6" s="889"/>
      <c r="AA6" s="890"/>
      <c r="AB6" s="890"/>
      <c r="AC6" s="890"/>
      <c r="AD6" s="890"/>
      <c r="AE6" s="890"/>
      <c r="AF6" s="890"/>
      <c r="AG6" s="890"/>
      <c r="AH6" s="890"/>
      <c r="AI6" s="890"/>
      <c r="AJ6" s="890"/>
      <c r="AK6" s="890"/>
      <c r="AL6" s="890"/>
      <c r="AM6" s="890"/>
      <c r="AN6" s="890"/>
      <c r="AO6" s="890"/>
    </row>
    <row r="7" spans="1:191" ht="15" customHeight="1">
      <c r="A7" s="800"/>
      <c r="B7" s="1138" t="s">
        <v>27</v>
      </c>
      <c r="C7" s="1138"/>
      <c r="D7" s="1138"/>
      <c r="E7" s="1138"/>
      <c r="F7" s="1157" t="str">
        <f>Main!C6</f>
        <v>R.S.R.M.MCHS, NELLORE</v>
      </c>
      <c r="G7" s="1157"/>
      <c r="H7" s="1157"/>
      <c r="I7" s="1157"/>
      <c r="J7" s="1157"/>
      <c r="K7" s="1158"/>
      <c r="L7" s="702">
        <v>1</v>
      </c>
      <c r="M7" s="889"/>
      <c r="N7" s="889"/>
      <c r="O7" s="889"/>
      <c r="P7" s="889"/>
      <c r="Q7" s="889"/>
      <c r="R7" s="889"/>
      <c r="S7" s="889"/>
      <c r="T7" s="889"/>
      <c r="U7" s="889"/>
      <c r="V7" s="889"/>
      <c r="W7" s="889"/>
      <c r="X7" s="889"/>
      <c r="Y7" s="889"/>
      <c r="Z7" s="889"/>
      <c r="AA7" s="890"/>
      <c r="AB7" s="890"/>
      <c r="AC7" s="890"/>
      <c r="AD7" s="890"/>
      <c r="AE7" s="890"/>
      <c r="AF7" s="890"/>
      <c r="AG7" s="890"/>
      <c r="AH7" s="890"/>
      <c r="AI7" s="890"/>
      <c r="AJ7" s="890"/>
      <c r="AK7" s="890"/>
      <c r="AL7" s="890"/>
      <c r="AM7" s="890"/>
      <c r="AN7" s="890"/>
      <c r="AO7" s="890"/>
    </row>
    <row r="8" spans="1:191" ht="15" hidden="1" customHeight="1">
      <c r="A8" s="800"/>
      <c r="B8" s="1138"/>
      <c r="C8" s="1138"/>
      <c r="D8" s="1138"/>
      <c r="E8" s="1138"/>
      <c r="F8" s="1155"/>
      <c r="G8" s="1155"/>
      <c r="H8" s="1155"/>
      <c r="I8" s="1155"/>
      <c r="J8" s="807"/>
      <c r="K8" s="808"/>
      <c r="M8" s="895"/>
      <c r="N8" s="895"/>
      <c r="O8" s="895"/>
      <c r="P8" s="895"/>
      <c r="Q8" s="895"/>
      <c r="R8" s="895"/>
      <c r="S8" s="895"/>
      <c r="T8" s="895"/>
      <c r="U8" s="895"/>
      <c r="V8" s="895"/>
      <c r="W8" s="895"/>
      <c r="X8" s="895"/>
      <c r="Y8" s="895"/>
      <c r="Z8" s="895"/>
      <c r="AA8" s="896"/>
      <c r="AB8" s="896"/>
      <c r="AC8" s="896"/>
      <c r="AD8" s="896"/>
      <c r="AE8" s="896"/>
      <c r="AF8" s="896"/>
      <c r="AG8" s="896"/>
      <c r="AH8" s="896"/>
      <c r="AI8" s="896"/>
      <c r="AJ8" s="896"/>
      <c r="AK8" s="896"/>
      <c r="AL8" s="896"/>
      <c r="AM8" s="896"/>
      <c r="AN8" s="896"/>
      <c r="AO8" s="896"/>
    </row>
    <row r="9" spans="1:191" ht="15" customHeight="1">
      <c r="A9" s="800">
        <v>3</v>
      </c>
      <c r="B9" s="801" t="s">
        <v>1606</v>
      </c>
      <c r="C9" s="801"/>
      <c r="D9" s="801"/>
      <c r="E9" s="1154" t="str">
        <f>CONCATENATE(" PAN: ",Main!C11,"            ID No:  ",Main!C10,"           TAN: ",Main!C25)</f>
        <v xml:space="preserve"> PAN: BXCPK0706P            ID No:  0839834           TAN: HYDS19660E</v>
      </c>
      <c r="F9" s="1154"/>
      <c r="G9" s="1154"/>
      <c r="H9" s="1154"/>
      <c r="I9" s="1154"/>
      <c r="J9" s="1154"/>
      <c r="K9" s="1159"/>
      <c r="L9" s="702">
        <v>1</v>
      </c>
      <c r="M9" s="889"/>
      <c r="N9" s="889"/>
      <c r="O9" s="889"/>
      <c r="P9" s="889"/>
      <c r="Q9" s="889"/>
      <c r="R9" s="889"/>
      <c r="S9" s="889"/>
      <c r="T9" s="889"/>
      <c r="U9" s="889"/>
      <c r="V9" s="889"/>
      <c r="W9" s="889"/>
      <c r="X9" s="889"/>
      <c r="Y9" s="889"/>
      <c r="Z9" s="889"/>
      <c r="AA9" s="890"/>
      <c r="AB9" s="890"/>
      <c r="AC9" s="890"/>
      <c r="AD9" s="890"/>
      <c r="AE9" s="890"/>
      <c r="AF9" s="890"/>
      <c r="AG9" s="890"/>
      <c r="AH9" s="890"/>
      <c r="AI9" s="890"/>
      <c r="AJ9" s="890"/>
      <c r="AK9" s="890"/>
      <c r="AL9" s="890"/>
      <c r="AM9" s="890"/>
      <c r="AN9" s="890"/>
      <c r="AO9" s="890"/>
    </row>
    <row r="10" spans="1:191" ht="15" customHeight="1">
      <c r="A10" s="800">
        <v>4</v>
      </c>
      <c r="B10" s="801" t="s">
        <v>24</v>
      </c>
      <c r="C10" s="801"/>
      <c r="D10" s="801"/>
      <c r="E10" s="810"/>
      <c r="F10" s="811" t="str">
        <f>Main!CC8</f>
        <v>2015-2016</v>
      </c>
      <c r="G10" s="801"/>
      <c r="H10" s="809"/>
      <c r="I10" s="801"/>
      <c r="J10" s="801"/>
      <c r="K10" s="812"/>
      <c r="L10" s="702">
        <v>1</v>
      </c>
      <c r="P10" s="888">
        <v>1</v>
      </c>
      <c r="Q10" s="897" t="s">
        <v>15</v>
      </c>
      <c r="R10" s="888" t="s">
        <v>1724</v>
      </c>
      <c r="S10" s="888" t="s">
        <v>9</v>
      </c>
      <c r="AA10" s="898"/>
      <c r="AB10" s="898"/>
      <c r="AC10" s="898"/>
      <c r="AD10" s="898"/>
      <c r="AE10" s="898"/>
      <c r="AF10" s="898"/>
      <c r="AG10" s="898"/>
      <c r="AH10" s="898"/>
      <c r="AI10" s="898"/>
      <c r="AJ10" s="898"/>
      <c r="AK10" s="898"/>
      <c r="AL10" s="898"/>
      <c r="AM10" s="898"/>
      <c r="AN10" s="898"/>
      <c r="AO10" s="898"/>
    </row>
    <row r="11" spans="1:191" ht="15" customHeight="1">
      <c r="A11" s="800"/>
      <c r="B11" s="801"/>
      <c r="C11" s="801" t="str">
        <f>IF(G11=0,"",LOOKUP(M11,$P$10:$Q$22))</f>
        <v>a)</v>
      </c>
      <c r="D11" s="801" t="str">
        <f>Statement!$B$3</f>
        <v>BASIC PAY</v>
      </c>
      <c r="E11" s="810"/>
      <c r="F11" s="813" t="str">
        <f t="shared" ref="F11:F16" si="0">IF(G11=0,"","Rs:")</f>
        <v>Rs:</v>
      </c>
      <c r="G11" s="814">
        <f>Statement!$B$28</f>
        <v>560286</v>
      </c>
      <c r="H11" s="815"/>
      <c r="I11" s="814"/>
      <c r="J11" s="814"/>
      <c r="K11" s="816"/>
      <c r="L11" s="703">
        <f t="shared" ref="L11:L16" si="1">IF(G11=0,"",1)</f>
        <v>1</v>
      </c>
      <c r="M11" s="899">
        <f>SUM($L$11:L11)</f>
        <v>1</v>
      </c>
      <c r="N11" s="899"/>
      <c r="O11" s="899"/>
      <c r="P11" s="888">
        <v>2</v>
      </c>
      <c r="Q11" s="897" t="s">
        <v>14</v>
      </c>
      <c r="R11" s="888" t="s">
        <v>1723</v>
      </c>
      <c r="S11" s="899" t="s">
        <v>1752</v>
      </c>
      <c r="T11" s="899"/>
      <c r="U11" s="899"/>
      <c r="V11" s="899"/>
      <c r="W11" s="899"/>
      <c r="X11" s="899"/>
      <c r="Y11" s="899"/>
      <c r="Z11" s="899"/>
      <c r="AA11" s="900"/>
      <c r="AB11" s="900"/>
      <c r="AC11" s="900"/>
      <c r="AD11" s="900"/>
      <c r="AE11" s="900"/>
      <c r="AF11" s="900"/>
      <c r="AG11" s="900"/>
      <c r="AH11" s="900"/>
      <c r="AI11" s="900"/>
      <c r="AJ11" s="900"/>
      <c r="AK11" s="900"/>
      <c r="AL11" s="900"/>
      <c r="AM11" s="900"/>
      <c r="AN11" s="900"/>
      <c r="AO11" s="900"/>
    </row>
    <row r="12" spans="1:191" s="487" customFormat="1" ht="0.75" hidden="1" customHeight="1">
      <c r="A12" s="800"/>
      <c r="B12" s="801"/>
      <c r="C12" s="801" t="str">
        <f>IF(G12=0,"",LOOKUP(M12,$P$10:$Q$22))</f>
        <v/>
      </c>
      <c r="D12" s="801" t="s">
        <v>1713</v>
      </c>
      <c r="E12" s="801"/>
      <c r="F12" s="813" t="str">
        <f t="shared" si="0"/>
        <v/>
      </c>
      <c r="G12" s="814"/>
      <c r="H12" s="815"/>
      <c r="I12" s="814"/>
      <c r="J12" s="814"/>
      <c r="K12" s="816"/>
      <c r="L12" s="703" t="str">
        <f t="shared" si="1"/>
        <v/>
      </c>
      <c r="M12" s="899">
        <f>SUM($L$11:L12)</f>
        <v>1</v>
      </c>
      <c r="N12" s="899"/>
      <c r="O12" s="899"/>
      <c r="P12" s="888">
        <v>3</v>
      </c>
      <c r="Q12" s="897" t="s">
        <v>13</v>
      </c>
      <c r="R12" s="888" t="s">
        <v>1718</v>
      </c>
      <c r="S12" s="899" t="s">
        <v>1753</v>
      </c>
      <c r="T12" s="899"/>
      <c r="U12" s="899"/>
      <c r="V12" s="899"/>
      <c r="W12" s="899"/>
      <c r="X12" s="899"/>
      <c r="Y12" s="899"/>
      <c r="Z12" s="899"/>
      <c r="AA12" s="900"/>
      <c r="AB12" s="900"/>
      <c r="AC12" s="900"/>
      <c r="AD12" s="900"/>
      <c r="AE12" s="900"/>
      <c r="AF12" s="900"/>
      <c r="AG12" s="900"/>
      <c r="AH12" s="900"/>
      <c r="AI12" s="900"/>
      <c r="AJ12" s="900"/>
      <c r="AK12" s="900"/>
      <c r="AL12" s="900"/>
      <c r="AM12" s="900"/>
      <c r="AN12" s="900"/>
      <c r="AO12" s="900"/>
      <c r="AP12" s="888"/>
      <c r="AQ12" s="888"/>
      <c r="AR12" s="888"/>
      <c r="AS12" s="888"/>
      <c r="AT12" s="888"/>
      <c r="AU12" s="888"/>
      <c r="AV12" s="888"/>
      <c r="AW12" s="888"/>
      <c r="AX12" s="888"/>
      <c r="AY12" s="888"/>
      <c r="AZ12" s="567"/>
      <c r="BA12" s="567"/>
      <c r="BB12" s="567"/>
      <c r="BC12" s="567"/>
      <c r="BD12" s="567"/>
      <c r="BE12" s="567"/>
      <c r="BF12" s="567"/>
      <c r="BG12" s="567"/>
      <c r="BH12" s="567"/>
      <c r="BI12" s="567"/>
      <c r="BJ12" s="567"/>
      <c r="BK12" s="567"/>
      <c r="BL12" s="567"/>
      <c r="BM12" s="567"/>
      <c r="BN12" s="567"/>
      <c r="BO12" s="567"/>
      <c r="BP12" s="567"/>
      <c r="BQ12" s="567"/>
      <c r="BR12" s="567"/>
      <c r="BS12" s="567"/>
      <c r="BT12" s="567"/>
      <c r="BU12" s="567"/>
      <c r="BV12" s="567"/>
      <c r="BW12" s="567"/>
      <c r="BX12" s="567"/>
      <c r="BY12" s="567"/>
      <c r="BZ12" s="567"/>
      <c r="CA12" s="567"/>
      <c r="CB12" s="567"/>
      <c r="CC12" s="567"/>
      <c r="CD12" s="567"/>
      <c r="CE12" s="567"/>
      <c r="CF12" s="567"/>
      <c r="CG12" s="567"/>
      <c r="CH12" s="567"/>
      <c r="CI12" s="567"/>
      <c r="CJ12" s="567"/>
      <c r="CK12" s="567"/>
      <c r="CL12" s="567"/>
      <c r="CM12" s="567"/>
      <c r="CN12" s="567"/>
      <c r="CO12" s="567"/>
      <c r="CP12" s="567"/>
      <c r="CQ12" s="567"/>
      <c r="CR12" s="567"/>
      <c r="CS12" s="567"/>
      <c r="CT12" s="567"/>
      <c r="CU12" s="567"/>
      <c r="CV12" s="567"/>
      <c r="CW12" s="567"/>
      <c r="CX12" s="567"/>
      <c r="CY12" s="567"/>
      <c r="CZ12" s="567"/>
      <c r="DA12" s="567"/>
      <c r="DB12" s="567"/>
      <c r="DC12" s="567"/>
      <c r="DD12" s="567"/>
      <c r="DE12" s="567"/>
      <c r="DF12" s="567"/>
      <c r="DG12" s="567"/>
      <c r="DH12" s="567"/>
      <c r="DI12" s="567"/>
      <c r="DJ12" s="567"/>
      <c r="DK12" s="567"/>
      <c r="DL12" s="567"/>
      <c r="DM12" s="567"/>
      <c r="DN12" s="567"/>
      <c r="DO12" s="567"/>
      <c r="DP12" s="567"/>
      <c r="DQ12" s="567"/>
      <c r="DR12" s="567"/>
      <c r="DS12" s="567"/>
      <c r="DT12" s="567"/>
      <c r="DU12" s="567"/>
      <c r="DV12" s="567"/>
      <c r="DW12" s="567"/>
      <c r="DX12" s="567"/>
      <c r="DY12" s="567"/>
      <c r="DZ12" s="567"/>
      <c r="EA12" s="567"/>
      <c r="EB12" s="567"/>
      <c r="EC12" s="567"/>
      <c r="ED12" s="567"/>
      <c r="EE12" s="567"/>
      <c r="EF12" s="567"/>
      <c r="EG12" s="567"/>
      <c r="EH12" s="567"/>
      <c r="EI12" s="567"/>
      <c r="EJ12" s="567"/>
      <c r="EK12" s="567"/>
      <c r="EL12" s="567"/>
      <c r="EM12" s="567"/>
      <c r="EN12" s="567"/>
      <c r="EO12" s="567"/>
      <c r="EP12" s="567"/>
      <c r="EQ12" s="567"/>
      <c r="ER12" s="567"/>
      <c r="ES12" s="567"/>
      <c r="ET12" s="567"/>
      <c r="EU12" s="567"/>
      <c r="EV12" s="567"/>
      <c r="EW12" s="567"/>
      <c r="EX12" s="567"/>
      <c r="EY12" s="567"/>
      <c r="EZ12" s="567"/>
      <c r="FA12" s="567"/>
      <c r="FB12" s="567"/>
      <c r="FC12" s="567"/>
      <c r="FD12" s="567"/>
      <c r="FE12" s="567"/>
      <c r="FF12" s="567"/>
      <c r="FG12" s="567"/>
      <c r="FH12" s="567"/>
      <c r="FI12" s="567"/>
      <c r="FJ12" s="567"/>
      <c r="FK12" s="567"/>
      <c r="FL12" s="567"/>
      <c r="FM12" s="567"/>
      <c r="FN12" s="567"/>
      <c r="FO12" s="567"/>
      <c r="FP12" s="567"/>
      <c r="FQ12" s="567"/>
      <c r="FR12" s="567"/>
      <c r="FS12" s="567"/>
      <c r="FT12" s="567"/>
      <c r="FU12" s="567"/>
      <c r="FV12" s="567"/>
      <c r="FW12" s="567"/>
      <c r="FX12" s="567"/>
      <c r="FY12" s="567"/>
      <c r="FZ12" s="567"/>
      <c r="GA12" s="567"/>
      <c r="GB12" s="567"/>
      <c r="GC12" s="567"/>
      <c r="GD12" s="567"/>
      <c r="GE12" s="567"/>
      <c r="GF12" s="567"/>
      <c r="GG12" s="567"/>
      <c r="GH12" s="567"/>
      <c r="GI12" s="567"/>
    </row>
    <row r="13" spans="1:191" ht="15" customHeight="1">
      <c r="A13" s="800"/>
      <c r="B13" s="801"/>
      <c r="C13" s="801" t="str">
        <f>IF(G13=0,"",LOOKUP(M13,$P$10:$Q$22))</f>
        <v>b)</v>
      </c>
      <c r="D13" s="801" t="str">
        <f>Statement!$D$3</f>
        <v>DA</v>
      </c>
      <c r="E13" s="810"/>
      <c r="F13" s="813" t="str">
        <f t="shared" si="0"/>
        <v>Rs:</v>
      </c>
      <c r="G13" s="814">
        <f>Statement!$D$28</f>
        <v>135813</v>
      </c>
      <c r="H13" s="815"/>
      <c r="I13" s="814"/>
      <c r="J13" s="814"/>
      <c r="K13" s="816"/>
      <c r="L13" s="703">
        <f t="shared" si="1"/>
        <v>1</v>
      </c>
      <c r="M13" s="899">
        <f>SUM($L$11:L13)</f>
        <v>2</v>
      </c>
      <c r="N13" s="899"/>
      <c r="O13" s="899"/>
      <c r="P13" s="888">
        <v>4</v>
      </c>
      <c r="Q13" s="897" t="s">
        <v>12</v>
      </c>
      <c r="R13" s="888" t="s">
        <v>1719</v>
      </c>
      <c r="S13" s="899" t="s">
        <v>1754</v>
      </c>
      <c r="T13" s="899"/>
      <c r="U13" s="899"/>
      <c r="V13" s="899"/>
      <c r="W13" s="899"/>
      <c r="X13" s="899"/>
      <c r="Y13" s="899"/>
      <c r="Z13" s="899"/>
      <c r="AA13" s="900"/>
      <c r="AB13" s="900"/>
      <c r="AC13" s="900"/>
      <c r="AD13" s="900"/>
      <c r="AE13" s="900"/>
      <c r="AF13" s="900"/>
      <c r="AG13" s="900"/>
      <c r="AH13" s="900"/>
      <c r="AI13" s="900"/>
      <c r="AJ13" s="900"/>
      <c r="AK13" s="900"/>
      <c r="AL13" s="900"/>
      <c r="AM13" s="900"/>
      <c r="AN13" s="900"/>
      <c r="AO13" s="900"/>
    </row>
    <row r="14" spans="1:191" ht="15" customHeight="1">
      <c r="A14" s="800"/>
      <c r="B14" s="801"/>
      <c r="C14" s="801" t="str">
        <f>IF(G14=0,"",LOOKUP(M14,$P$10:$Q$22))</f>
        <v>c)</v>
      </c>
      <c r="D14" s="801" t="str">
        <f>Statement!$E$3</f>
        <v>HRA</v>
      </c>
      <c r="E14" s="810"/>
      <c r="F14" s="813" t="str">
        <f t="shared" si="0"/>
        <v>Rs:</v>
      </c>
      <c r="G14" s="814">
        <f>Statement!$E$28</f>
        <v>128397</v>
      </c>
      <c r="H14" s="815"/>
      <c r="I14" s="814"/>
      <c r="J14" s="814"/>
      <c r="K14" s="816"/>
      <c r="L14" s="703">
        <f t="shared" si="1"/>
        <v>1</v>
      </c>
      <c r="M14" s="899">
        <f>SUM($L$11:L14)</f>
        <v>3</v>
      </c>
      <c r="N14" s="899"/>
      <c r="O14" s="899"/>
      <c r="P14" s="888">
        <v>5</v>
      </c>
      <c r="Q14" s="897" t="s">
        <v>11</v>
      </c>
      <c r="R14" s="888" t="s">
        <v>1722</v>
      </c>
      <c r="S14" s="899" t="s">
        <v>1755</v>
      </c>
      <c r="T14" s="899"/>
      <c r="U14" s="899"/>
      <c r="V14" s="899"/>
      <c r="W14" s="899"/>
      <c r="X14" s="899"/>
      <c r="Y14" s="899"/>
      <c r="Z14" s="899"/>
      <c r="AA14" s="900"/>
      <c r="AB14" s="900"/>
      <c r="AC14" s="900"/>
      <c r="AD14" s="900"/>
      <c r="AE14" s="900"/>
      <c r="AF14" s="900"/>
      <c r="AG14" s="900"/>
      <c r="AH14" s="900"/>
      <c r="AI14" s="900"/>
      <c r="AJ14" s="900"/>
      <c r="AK14" s="900"/>
      <c r="AL14" s="900"/>
      <c r="AM14" s="900"/>
      <c r="AN14" s="900"/>
      <c r="AO14" s="900"/>
    </row>
    <row r="15" spans="1:191" ht="15" customHeight="1">
      <c r="A15" s="800"/>
      <c r="B15" s="801"/>
      <c r="C15" s="801" t="str">
        <f>IF(G15=0,"",LOOKUP(M15,$P$10:$Q$22))</f>
        <v>d)</v>
      </c>
      <c r="D15" s="801" t="str">
        <f>IF(G15&gt;0,"PHCA","")</f>
        <v>PHCA</v>
      </c>
      <c r="E15" s="801"/>
      <c r="F15" s="813" t="str">
        <f t="shared" si="0"/>
        <v>Rs:</v>
      </c>
      <c r="G15" s="814">
        <f>Statement!I28</f>
        <v>10620</v>
      </c>
      <c r="H15" s="815"/>
      <c r="I15" s="814"/>
      <c r="J15" s="814"/>
      <c r="K15" s="816"/>
      <c r="L15" s="703">
        <f t="shared" si="1"/>
        <v>1</v>
      </c>
      <c r="M15" s="899">
        <f>SUM($L$11:L15)</f>
        <v>4</v>
      </c>
      <c r="N15" s="899"/>
      <c r="O15" s="899"/>
      <c r="Q15" s="897"/>
      <c r="S15" s="899"/>
      <c r="T15" s="899"/>
      <c r="U15" s="899"/>
      <c r="V15" s="899"/>
      <c r="W15" s="899"/>
      <c r="X15" s="899"/>
      <c r="Y15" s="899"/>
      <c r="Z15" s="899"/>
      <c r="AA15" s="900"/>
      <c r="AB15" s="900"/>
      <c r="AC15" s="900"/>
      <c r="AD15" s="900"/>
      <c r="AE15" s="900"/>
      <c r="AF15" s="900"/>
      <c r="AG15" s="900"/>
      <c r="AH15" s="900"/>
      <c r="AI15" s="900"/>
      <c r="AJ15" s="900"/>
      <c r="AK15" s="900"/>
      <c r="AL15" s="900"/>
      <c r="AM15" s="900"/>
      <c r="AN15" s="900"/>
      <c r="AO15" s="900"/>
    </row>
    <row r="16" spans="1:191" ht="15" customHeight="1">
      <c r="A16" s="800"/>
      <c r="B16" s="801"/>
      <c r="C16" s="801" t="str">
        <f t="shared" ref="C16" si="2">IF(G16=0,"",LOOKUP(M16,$P$10:$Q$22))</f>
        <v>e)</v>
      </c>
      <c r="D16" s="817" t="s">
        <v>1874</v>
      </c>
      <c r="E16" s="801"/>
      <c r="F16" s="813" t="str">
        <f t="shared" si="0"/>
        <v>Rs:</v>
      </c>
      <c r="G16" s="814">
        <f>SUM(Statement!C28,Statement!F28,Statement!G28,Statement!H28,Statement!K28,Statement!L28,SUM(Statement!J28,Statement!M28))</f>
        <v>60102</v>
      </c>
      <c r="H16" s="815"/>
      <c r="I16" s="814"/>
      <c r="J16" s="814"/>
      <c r="K16" s="816"/>
      <c r="L16" s="703">
        <f t="shared" si="1"/>
        <v>1</v>
      </c>
      <c r="M16" s="899">
        <f>SUM($L$11:L16)</f>
        <v>5</v>
      </c>
      <c r="N16" s="899"/>
      <c r="O16" s="899"/>
      <c r="P16" s="888">
        <v>6</v>
      </c>
      <c r="Q16" s="897" t="s">
        <v>1714</v>
      </c>
      <c r="R16" s="888" t="s">
        <v>1720</v>
      </c>
      <c r="S16" s="899" t="s">
        <v>1756</v>
      </c>
      <c r="T16" s="899"/>
      <c r="U16" s="899"/>
      <c r="V16" s="899"/>
      <c r="W16" s="899"/>
      <c r="X16" s="899"/>
      <c r="Y16" s="899"/>
      <c r="Z16" s="899"/>
      <c r="AA16" s="900"/>
      <c r="AB16" s="900"/>
      <c r="AC16" s="900"/>
      <c r="AD16" s="900"/>
      <c r="AE16" s="900"/>
      <c r="AF16" s="900"/>
      <c r="AG16" s="900"/>
      <c r="AH16" s="900"/>
      <c r="AI16" s="900"/>
      <c r="AJ16" s="900"/>
      <c r="AK16" s="900"/>
      <c r="AL16" s="900"/>
      <c r="AM16" s="900"/>
      <c r="AN16" s="900"/>
      <c r="AO16" s="900"/>
    </row>
    <row r="17" spans="1:51" ht="15" customHeight="1">
      <c r="A17" s="800">
        <v>5</v>
      </c>
      <c r="B17" s="801" t="str">
        <f>CONCATENATE("Gross Salary( ",VLOOKUP(M16,P10:R22,3),")")</f>
        <v>Gross Salary( a + b + c + d + e )</v>
      </c>
      <c r="C17" s="801"/>
      <c r="D17" s="801"/>
      <c r="E17" s="801"/>
      <c r="F17" s="818"/>
      <c r="G17" s="819"/>
      <c r="H17" s="820"/>
      <c r="I17" s="820"/>
      <c r="J17" s="821" t="s">
        <v>7</v>
      </c>
      <c r="K17" s="816">
        <f>SUM(G11:G16)</f>
        <v>895218</v>
      </c>
      <c r="L17" s="704">
        <v>1</v>
      </c>
      <c r="M17" s="899"/>
      <c r="N17" s="899"/>
      <c r="O17" s="899"/>
      <c r="P17" s="888">
        <v>7</v>
      </c>
      <c r="Q17" s="897" t="s">
        <v>1715</v>
      </c>
      <c r="R17" s="888" t="s">
        <v>1721</v>
      </c>
      <c r="S17" s="899" t="s">
        <v>1757</v>
      </c>
      <c r="T17" s="899"/>
      <c r="U17" s="899"/>
      <c r="V17" s="899"/>
      <c r="W17" s="899"/>
      <c r="X17" s="899"/>
      <c r="Y17" s="899"/>
      <c r="Z17" s="899"/>
      <c r="AA17" s="900"/>
      <c r="AB17" s="900"/>
      <c r="AC17" s="900"/>
      <c r="AD17" s="900"/>
      <c r="AE17" s="900"/>
      <c r="AF17" s="900"/>
      <c r="AG17" s="900"/>
      <c r="AH17" s="900"/>
      <c r="AI17" s="900"/>
      <c r="AJ17" s="900"/>
      <c r="AK17" s="900"/>
      <c r="AL17" s="900"/>
      <c r="AM17" s="900"/>
      <c r="AN17" s="900"/>
      <c r="AO17" s="900"/>
      <c r="AP17" s="901"/>
    </row>
    <row r="18" spans="1:51" ht="15" customHeight="1">
      <c r="A18" s="800">
        <v>6</v>
      </c>
      <c r="B18" s="1136" t="s">
        <v>1675</v>
      </c>
      <c r="C18" s="1136"/>
      <c r="D18" s="1136"/>
      <c r="E18" s="1136"/>
      <c r="F18" s="818"/>
      <c r="G18" s="819"/>
      <c r="H18" s="821"/>
      <c r="I18" s="814"/>
      <c r="J18" s="814"/>
      <c r="K18" s="816"/>
      <c r="L18" s="704">
        <v>1</v>
      </c>
      <c r="M18" s="899"/>
      <c r="N18" s="899"/>
      <c r="O18" s="899"/>
      <c r="P18" s="888">
        <v>8</v>
      </c>
      <c r="Q18" s="897" t="s">
        <v>10</v>
      </c>
      <c r="R18" s="888" t="s">
        <v>1725</v>
      </c>
      <c r="S18" s="899" t="s">
        <v>1758</v>
      </c>
      <c r="T18" s="899"/>
      <c r="U18" s="899"/>
      <c r="V18" s="899"/>
      <c r="W18" s="899"/>
      <c r="X18" s="899"/>
      <c r="Y18" s="899"/>
      <c r="Z18" s="899"/>
      <c r="AA18" s="900"/>
      <c r="AB18" s="900"/>
      <c r="AC18" s="900"/>
      <c r="AD18" s="900"/>
      <c r="AE18" s="900"/>
      <c r="AF18" s="900"/>
      <c r="AG18" s="900"/>
      <c r="AH18" s="900"/>
      <c r="AI18" s="900"/>
      <c r="AJ18" s="900"/>
      <c r="AK18" s="900"/>
      <c r="AL18" s="900"/>
      <c r="AM18" s="900"/>
      <c r="AN18" s="900"/>
      <c r="AO18" s="900"/>
      <c r="AP18" s="901"/>
    </row>
    <row r="19" spans="1:51" ht="15" customHeight="1">
      <c r="A19" s="800"/>
      <c r="B19" s="801" t="s">
        <v>1390</v>
      </c>
      <c r="C19" s="801" t="s">
        <v>23</v>
      </c>
      <c r="D19" s="801"/>
      <c r="E19" s="801"/>
      <c r="F19" s="1154" t="s">
        <v>1424</v>
      </c>
      <c r="G19" s="1154"/>
      <c r="H19" s="1154" t="s">
        <v>1694</v>
      </c>
      <c r="I19" s="1154"/>
      <c r="J19" s="1150" t="s">
        <v>1695</v>
      </c>
      <c r="K19" s="1151"/>
      <c r="L19" s="704">
        <v>1</v>
      </c>
      <c r="M19" s="899"/>
      <c r="N19" s="899"/>
      <c r="O19" s="899"/>
      <c r="P19" s="888">
        <v>9</v>
      </c>
      <c r="Q19" s="897" t="s">
        <v>9</v>
      </c>
      <c r="R19" s="888" t="s">
        <v>1726</v>
      </c>
      <c r="S19" s="899" t="s">
        <v>1759</v>
      </c>
      <c r="T19" s="899"/>
      <c r="U19" s="899"/>
      <c r="V19" s="899"/>
      <c r="W19" s="899"/>
      <c r="X19" s="899"/>
      <c r="Y19" s="899"/>
      <c r="Z19" s="899"/>
      <c r="AA19" s="900"/>
      <c r="AB19" s="900"/>
      <c r="AC19" s="900"/>
      <c r="AD19" s="900"/>
      <c r="AE19" s="900"/>
      <c r="AF19" s="900"/>
      <c r="AG19" s="900"/>
      <c r="AH19" s="900"/>
      <c r="AI19" s="900"/>
      <c r="AJ19" s="900"/>
      <c r="AK19" s="900"/>
      <c r="AL19" s="900"/>
      <c r="AM19" s="900"/>
      <c r="AN19" s="900"/>
      <c r="AO19" s="900"/>
      <c r="AP19" s="901"/>
    </row>
    <row r="20" spans="1:51" ht="15" customHeight="1">
      <c r="A20" s="800"/>
      <c r="B20" s="801"/>
      <c r="C20" s="801" t="s">
        <v>15</v>
      </c>
      <c r="D20" s="801" t="s">
        <v>22</v>
      </c>
      <c r="E20" s="801"/>
      <c r="F20" s="813" t="str">
        <f>IF(G20=0,"","Rs:")</f>
        <v>Rs:</v>
      </c>
      <c r="G20" s="822">
        <f>G14</f>
        <v>128397</v>
      </c>
      <c r="H20" s="821"/>
      <c r="I20" s="814">
        <f>G14</f>
        <v>128397</v>
      </c>
      <c r="J20" s="814"/>
      <c r="K20" s="816"/>
      <c r="L20" s="704">
        <v>1</v>
      </c>
      <c r="M20" s="899"/>
      <c r="N20" s="899"/>
      <c r="O20" s="899"/>
      <c r="P20" s="888">
        <v>10</v>
      </c>
      <c r="Q20" s="897" t="s">
        <v>1388</v>
      </c>
      <c r="R20" s="888" t="s">
        <v>1727</v>
      </c>
      <c r="S20" s="899" t="s">
        <v>1760</v>
      </c>
      <c r="T20" s="899"/>
      <c r="U20" s="899"/>
      <c r="V20" s="899"/>
      <c r="W20" s="899"/>
      <c r="X20" s="899"/>
      <c r="Y20" s="899"/>
      <c r="Z20" s="899"/>
      <c r="AA20" s="900"/>
      <c r="AB20" s="900"/>
      <c r="AC20" s="900"/>
      <c r="AD20" s="900"/>
      <c r="AE20" s="900"/>
      <c r="AF20" s="900"/>
      <c r="AG20" s="900"/>
      <c r="AH20" s="900"/>
      <c r="AI20" s="900"/>
      <c r="AJ20" s="900"/>
      <c r="AK20" s="900"/>
      <c r="AL20" s="900"/>
      <c r="AM20" s="900"/>
      <c r="AN20" s="900"/>
      <c r="AO20" s="900"/>
      <c r="AP20" s="901"/>
    </row>
    <row r="21" spans="1:51" ht="15" customHeight="1">
      <c r="A21" s="800"/>
      <c r="B21" s="801"/>
      <c r="C21" s="823" t="s">
        <v>14</v>
      </c>
      <c r="D21" s="1145" t="s">
        <v>1605</v>
      </c>
      <c r="E21" s="824" t="s">
        <v>1601</v>
      </c>
      <c r="F21" s="1144" t="s">
        <v>1602</v>
      </c>
      <c r="G21" s="1144"/>
      <c r="H21" s="1142" t="s">
        <v>1603</v>
      </c>
      <c r="I21" s="1142"/>
      <c r="J21" s="1142" t="s">
        <v>1604</v>
      </c>
      <c r="K21" s="1143"/>
      <c r="L21" s="704">
        <v>1</v>
      </c>
      <c r="M21" s="899"/>
      <c r="N21" s="899"/>
      <c r="O21" s="899"/>
      <c r="P21" s="888">
        <v>11</v>
      </c>
      <c r="Q21" s="897" t="s">
        <v>1716</v>
      </c>
      <c r="R21" s="888" t="s">
        <v>1728</v>
      </c>
      <c r="S21" s="899" t="s">
        <v>1761</v>
      </c>
      <c r="T21" s="899"/>
      <c r="U21" s="899"/>
      <c r="V21" s="899"/>
      <c r="W21" s="899"/>
      <c r="X21" s="899"/>
      <c r="Y21" s="899"/>
      <c r="Z21" s="899"/>
      <c r="AA21" s="900"/>
      <c r="AB21" s="900"/>
      <c r="AC21" s="900"/>
      <c r="AD21" s="900"/>
      <c r="AE21" s="900"/>
      <c r="AF21" s="900"/>
      <c r="AG21" s="900"/>
      <c r="AH21" s="900"/>
      <c r="AI21" s="900"/>
      <c r="AJ21" s="900"/>
      <c r="AK21" s="900"/>
      <c r="AL21" s="900"/>
      <c r="AM21" s="900"/>
      <c r="AN21" s="900"/>
      <c r="AO21" s="900"/>
      <c r="AP21" s="901"/>
    </row>
    <row r="22" spans="1:51" ht="15" customHeight="1">
      <c r="A22" s="800"/>
      <c r="B22" s="801"/>
      <c r="C22" s="825"/>
      <c r="D22" s="1145"/>
      <c r="E22" s="826">
        <f>Main!C13</f>
        <v>8300</v>
      </c>
      <c r="F22" s="1180">
        <f>IF(Main!C12=Main!CD28,0,ROUND(E22*12,0))</f>
        <v>99600</v>
      </c>
      <c r="G22" s="1180"/>
      <c r="H22" s="1181">
        <f>IF(Main!C12=Main!CD28,0,ROUND(SUM(G11,G13)*10%,0))</f>
        <v>69610</v>
      </c>
      <c r="I22" s="1181"/>
      <c r="J22" s="827" t="s">
        <v>7</v>
      </c>
      <c r="K22" s="828">
        <f>IF(Main!C12=Main!CD28,0,IF(F22-H22&gt;0,F22-H22,0))</f>
        <v>29990</v>
      </c>
      <c r="L22" s="704">
        <v>1</v>
      </c>
      <c r="M22" s="899"/>
      <c r="N22" s="899"/>
      <c r="O22" s="899"/>
      <c r="P22" s="888">
        <v>12</v>
      </c>
      <c r="Q22" s="902" t="s">
        <v>1717</v>
      </c>
      <c r="S22" s="899" t="s">
        <v>1762</v>
      </c>
      <c r="T22" s="899"/>
      <c r="U22" s="899"/>
      <c r="V22" s="899"/>
      <c r="W22" s="899"/>
      <c r="X22" s="899"/>
      <c r="Y22" s="899"/>
      <c r="Z22" s="899"/>
      <c r="AA22" s="900"/>
      <c r="AB22" s="900"/>
      <c r="AC22" s="900"/>
      <c r="AD22" s="900"/>
      <c r="AE22" s="900"/>
      <c r="AF22" s="900"/>
      <c r="AG22" s="900"/>
      <c r="AH22" s="900"/>
      <c r="AI22" s="900"/>
      <c r="AJ22" s="900"/>
      <c r="AK22" s="900"/>
      <c r="AL22" s="900"/>
      <c r="AM22" s="900"/>
      <c r="AN22" s="900"/>
      <c r="AO22" s="900"/>
      <c r="AP22" s="901"/>
    </row>
    <row r="23" spans="1:51" ht="18" customHeight="1">
      <c r="A23" s="800"/>
      <c r="B23" s="801"/>
      <c r="C23" s="801" t="s">
        <v>13</v>
      </c>
      <c r="D23" s="801" t="s">
        <v>21</v>
      </c>
      <c r="E23" s="801"/>
      <c r="F23" s="809" t="str">
        <f t="shared" ref="F23:F29" si="3">IF(G23=0,"","Rs:")</f>
        <v>Rs:</v>
      </c>
      <c r="G23" s="829">
        <f>(G11+G13)*40%</f>
        <v>278439.60000000003</v>
      </c>
      <c r="H23" s="821"/>
      <c r="I23" s="814"/>
      <c r="J23" s="814"/>
      <c r="K23" s="816"/>
      <c r="L23" s="704">
        <v>1</v>
      </c>
      <c r="M23" s="899"/>
      <c r="N23" s="899"/>
      <c r="O23" s="899"/>
      <c r="P23" s="899"/>
      <c r="Q23" s="899"/>
      <c r="R23" s="899"/>
      <c r="S23" s="899"/>
      <c r="T23" s="899"/>
      <c r="U23" s="899"/>
      <c r="V23" s="899"/>
      <c r="W23" s="899"/>
      <c r="X23" s="899"/>
      <c r="Y23" s="899"/>
      <c r="Z23" s="899"/>
      <c r="AA23" s="900"/>
      <c r="AB23" s="900"/>
      <c r="AC23" s="900"/>
      <c r="AD23" s="900"/>
      <c r="AE23" s="900"/>
      <c r="AF23" s="900"/>
      <c r="AG23" s="900"/>
      <c r="AH23" s="900"/>
      <c r="AI23" s="900"/>
      <c r="AJ23" s="900"/>
      <c r="AK23" s="900"/>
      <c r="AL23" s="900"/>
      <c r="AM23" s="900"/>
      <c r="AN23" s="900"/>
      <c r="AO23" s="900"/>
      <c r="AP23" s="901"/>
      <c r="AQ23" s="903"/>
      <c r="AR23" s="903"/>
      <c r="AS23" s="903"/>
      <c r="AT23" s="903"/>
      <c r="AU23" s="903"/>
      <c r="AV23" s="903"/>
      <c r="AW23" s="903"/>
      <c r="AX23" s="903"/>
      <c r="AY23" s="903"/>
    </row>
    <row r="24" spans="1:51" ht="17.25" customHeight="1">
      <c r="A24" s="800"/>
      <c r="B24" s="801"/>
      <c r="C24" s="801" t="s">
        <v>20</v>
      </c>
      <c r="D24" s="801"/>
      <c r="E24" s="801"/>
      <c r="F24" s="813" t="str">
        <f t="shared" si="3"/>
        <v>Rs:</v>
      </c>
      <c r="G24" s="830">
        <f>IF(K22&gt;0,MIN(G20,K22,G23),0)</f>
        <v>29990</v>
      </c>
      <c r="H24" s="813" t="s">
        <v>7</v>
      </c>
      <c r="I24" s="831">
        <f>MIN(G20,K22,G23)</f>
        <v>29990</v>
      </c>
      <c r="J24" s="813" t="str">
        <f>IF(B30="","Rs:","")</f>
        <v/>
      </c>
      <c r="K24" s="816">
        <f>IF(J24="",0,K30)</f>
        <v>0</v>
      </c>
      <c r="L24" s="703">
        <v>1</v>
      </c>
      <c r="M24" s="899">
        <f>SUM($L$24:L24)</f>
        <v>1</v>
      </c>
      <c r="N24" s="902"/>
      <c r="O24" s="902"/>
      <c r="P24" s="902"/>
      <c r="Q24" s="902"/>
      <c r="R24" s="902"/>
      <c r="S24" s="902"/>
      <c r="T24" s="902"/>
      <c r="U24" s="902"/>
      <c r="V24" s="902"/>
      <c r="W24" s="902"/>
      <c r="X24" s="902"/>
      <c r="Y24" s="902"/>
      <c r="Z24" s="902"/>
      <c r="AA24" s="902"/>
      <c r="AB24" s="902"/>
      <c r="AC24" s="902"/>
      <c r="AD24" s="902"/>
      <c r="AE24" s="902"/>
      <c r="AF24" s="902"/>
      <c r="AG24" s="902"/>
      <c r="AH24" s="902"/>
      <c r="AI24" s="902"/>
      <c r="AJ24" s="902"/>
      <c r="AK24" s="902"/>
      <c r="AL24" s="902"/>
      <c r="AM24" s="902"/>
      <c r="AN24" s="902"/>
      <c r="AO24" s="902"/>
      <c r="AP24" s="901"/>
      <c r="AQ24" s="903"/>
      <c r="AR24" s="903"/>
      <c r="AS24" s="903"/>
      <c r="AT24" s="903"/>
      <c r="AU24" s="903"/>
      <c r="AV24" s="903"/>
      <c r="AW24" s="903"/>
      <c r="AX24" s="903"/>
      <c r="AY24" s="903"/>
    </row>
    <row r="25" spans="1:51" ht="14.25" hidden="1" customHeight="1">
      <c r="A25" s="800"/>
      <c r="B25" s="801" t="str">
        <f>IF(G25=0,"",UPPER(LOOKUP(M25,$P$10:$Q$22)))</f>
        <v/>
      </c>
      <c r="C25" s="1138" t="str">
        <f>Main!N115</f>
        <v/>
      </c>
      <c r="D25" s="1138"/>
      <c r="E25" s="1138"/>
      <c r="F25" s="813" t="str">
        <f t="shared" si="3"/>
        <v/>
      </c>
      <c r="G25" s="832">
        <f>Main!H12</f>
        <v>0</v>
      </c>
      <c r="H25" s="813" t="str">
        <f t="shared" ref="H25:H30" si="4">IF(I25=0,"","Rs:")</f>
        <v/>
      </c>
      <c r="I25" s="832">
        <f>Main!O115</f>
        <v>0</v>
      </c>
      <c r="J25" s="833"/>
      <c r="K25" s="834"/>
      <c r="L25" s="703" t="str">
        <f>IF(G25=0,"",1)</f>
        <v/>
      </c>
      <c r="M25" s="900">
        <f>SUM($L$24:L25)</f>
        <v>1</v>
      </c>
      <c r="N25" s="902"/>
      <c r="O25" s="902" t="str">
        <f>CONCATENATE(" Excess of House Rent Paid over &amp; above of 10% of (Pay +DA ) ",IF(Main!CA26=2,"",IF(Main!C12=Main!CD28,"",CONCATENATE("      =( Rs: ",Main!C13," X 12  - ",SUM(G11+G13)," X 10%  = ",IF(SUM(Main!C13*12,-ROUND(SUM(G11+G13)*10%,0))&gt;0,SUM(Main!C13*12,-ROUND(SUM(G11+G13)*10%,0)),0)," )"))))</f>
        <v xml:space="preserve"> Excess of House Rent Paid over &amp; above of 10% of (Pay +DA )       =( Rs: 8300 X 12  - 696099 X 10%  = 29990 )</v>
      </c>
      <c r="P25" s="902"/>
      <c r="Q25" s="902"/>
      <c r="R25" s="902"/>
      <c r="S25" s="902"/>
      <c r="T25" s="902"/>
      <c r="U25" s="902"/>
      <c r="V25" s="902"/>
      <c r="W25" s="902"/>
      <c r="X25" s="902"/>
      <c r="Y25" s="902"/>
      <c r="Z25" s="902"/>
      <c r="AA25" s="902"/>
      <c r="AB25" s="902"/>
      <c r="AC25" s="902"/>
      <c r="AD25" s="902"/>
      <c r="AE25" s="902"/>
      <c r="AF25" s="902"/>
      <c r="AG25" s="902"/>
      <c r="AH25" s="902"/>
      <c r="AI25" s="902"/>
      <c r="AJ25" s="902"/>
      <c r="AK25" s="902"/>
      <c r="AL25" s="902"/>
      <c r="AM25" s="902"/>
      <c r="AN25" s="902"/>
      <c r="AO25" s="902"/>
      <c r="AP25" s="901"/>
      <c r="AQ25" s="903"/>
      <c r="AR25" s="903"/>
      <c r="AS25" s="903"/>
      <c r="AT25" s="903"/>
      <c r="AU25" s="903"/>
      <c r="AV25" s="903"/>
      <c r="AW25" s="903"/>
      <c r="AX25" s="903"/>
      <c r="AY25" s="903"/>
    </row>
    <row r="26" spans="1:51" ht="14.25" hidden="1" customHeight="1">
      <c r="A26" s="800"/>
      <c r="B26" s="801" t="str">
        <f>IF(G26=0,"",UPPER(LOOKUP(M26,$P$10:$Q$22)))</f>
        <v/>
      </c>
      <c r="C26" s="1138" t="str">
        <f>Main!N116</f>
        <v/>
      </c>
      <c r="D26" s="1138"/>
      <c r="E26" s="1138"/>
      <c r="F26" s="813" t="str">
        <f t="shared" si="3"/>
        <v/>
      </c>
      <c r="G26" s="832">
        <f>Main!H13</f>
        <v>0</v>
      </c>
      <c r="H26" s="813" t="str">
        <f t="shared" si="4"/>
        <v/>
      </c>
      <c r="I26" s="832">
        <f>Main!O116</f>
        <v>0</v>
      </c>
      <c r="J26" s="833"/>
      <c r="K26" s="834"/>
      <c r="L26" s="703" t="str">
        <f>IF(G26=0,"",1)</f>
        <v/>
      </c>
      <c r="M26" s="900">
        <f>SUM($L$24:L26)</f>
        <v>1</v>
      </c>
      <c r="N26" s="902"/>
      <c r="O26" s="902"/>
      <c r="P26" s="902"/>
      <c r="Q26" s="902"/>
      <c r="R26" s="902"/>
      <c r="S26" s="902"/>
      <c r="T26" s="902"/>
      <c r="U26" s="902"/>
      <c r="V26" s="902"/>
      <c r="W26" s="902"/>
      <c r="X26" s="902"/>
      <c r="Y26" s="902"/>
      <c r="Z26" s="902"/>
      <c r="AA26" s="902"/>
      <c r="AB26" s="902"/>
      <c r="AC26" s="902"/>
      <c r="AD26" s="902"/>
      <c r="AE26" s="902"/>
      <c r="AF26" s="902"/>
      <c r="AG26" s="902"/>
      <c r="AH26" s="902"/>
      <c r="AI26" s="902"/>
      <c r="AJ26" s="902"/>
      <c r="AK26" s="902"/>
      <c r="AL26" s="902"/>
      <c r="AM26" s="902"/>
      <c r="AN26" s="902"/>
      <c r="AO26" s="902"/>
      <c r="AP26" s="901"/>
      <c r="AQ26" s="903"/>
      <c r="AR26" s="903"/>
      <c r="AS26" s="903"/>
      <c r="AT26" s="903"/>
      <c r="AU26" s="903"/>
      <c r="AV26" s="903"/>
      <c r="AW26" s="903"/>
      <c r="AX26" s="903"/>
      <c r="AY26" s="903"/>
    </row>
    <row r="27" spans="1:51" ht="15" hidden="1" customHeight="1">
      <c r="A27" s="800"/>
      <c r="B27" s="801" t="str">
        <f>IF(G27=0,"",UPPER(LOOKUP(M27,$P$10:$Q$22)))</f>
        <v/>
      </c>
      <c r="C27" s="1138" t="str">
        <f>Main!N117</f>
        <v/>
      </c>
      <c r="D27" s="1138"/>
      <c r="E27" s="1138"/>
      <c r="F27" s="813" t="str">
        <f t="shared" si="3"/>
        <v/>
      </c>
      <c r="G27" s="832">
        <f>Main!L12</f>
        <v>0</v>
      </c>
      <c r="H27" s="813" t="str">
        <f t="shared" si="4"/>
        <v/>
      </c>
      <c r="I27" s="832">
        <f>Main!O117</f>
        <v>0</v>
      </c>
      <c r="J27" s="833"/>
      <c r="K27" s="834"/>
      <c r="L27" s="703" t="str">
        <f>IF(G27=0,"",1)</f>
        <v/>
      </c>
      <c r="M27" s="900">
        <f>SUM($L$24:L27)</f>
        <v>1</v>
      </c>
      <c r="N27" s="899"/>
      <c r="O27" s="899"/>
      <c r="P27" s="899"/>
      <c r="Q27" s="899"/>
      <c r="R27" s="899"/>
      <c r="S27" s="899"/>
      <c r="T27" s="899"/>
      <c r="U27" s="899"/>
      <c r="V27" s="899"/>
      <c r="W27" s="899"/>
      <c r="X27" s="899"/>
      <c r="Y27" s="899"/>
      <c r="Z27" s="899"/>
      <c r="AA27" s="900"/>
      <c r="AB27" s="900"/>
      <c r="AC27" s="900"/>
      <c r="AD27" s="900"/>
      <c r="AE27" s="900"/>
      <c r="AF27" s="900"/>
      <c r="AG27" s="900"/>
      <c r="AH27" s="900"/>
      <c r="AI27" s="900"/>
      <c r="AJ27" s="900"/>
      <c r="AK27" s="900"/>
      <c r="AL27" s="900"/>
      <c r="AM27" s="900"/>
      <c r="AN27" s="900"/>
      <c r="AO27" s="900"/>
      <c r="AP27" s="901"/>
    </row>
    <row r="28" spans="1:51" ht="15" hidden="1" customHeight="1">
      <c r="A28" s="800"/>
      <c r="B28" s="801" t="str">
        <f>IF(G28=0,"",UPPER(LOOKUP(M28,$P$10:$Q$22)))</f>
        <v/>
      </c>
      <c r="C28" s="1138" t="str">
        <f>Main!N118</f>
        <v/>
      </c>
      <c r="D28" s="1138"/>
      <c r="E28" s="1138"/>
      <c r="F28" s="813" t="str">
        <f t="shared" si="3"/>
        <v/>
      </c>
      <c r="G28" s="832">
        <f>Main!L13</f>
        <v>0</v>
      </c>
      <c r="H28" s="813" t="str">
        <f t="shared" si="4"/>
        <v/>
      </c>
      <c r="I28" s="832">
        <f>Main!O118</f>
        <v>0</v>
      </c>
      <c r="J28" s="833"/>
      <c r="K28" s="834"/>
      <c r="L28" s="703" t="str">
        <f>IF(G28=0,"",1)</f>
        <v/>
      </c>
      <c r="M28" s="900">
        <f>SUM($L$24:L28)</f>
        <v>1</v>
      </c>
      <c r="N28" s="899"/>
      <c r="O28" s="899"/>
      <c r="P28" s="899"/>
      <c r="Q28" s="899"/>
      <c r="R28" s="899"/>
      <c r="S28" s="899"/>
      <c r="T28" s="899"/>
      <c r="U28" s="899"/>
      <c r="V28" s="899"/>
      <c r="W28" s="899"/>
      <c r="X28" s="899"/>
      <c r="Y28" s="899"/>
      <c r="Z28" s="899"/>
      <c r="AA28" s="900"/>
      <c r="AB28" s="900"/>
      <c r="AC28" s="900"/>
      <c r="AD28" s="900"/>
      <c r="AE28" s="900"/>
      <c r="AF28" s="900"/>
      <c r="AG28" s="900"/>
      <c r="AH28" s="900"/>
      <c r="AI28" s="900"/>
      <c r="AJ28" s="900"/>
      <c r="AK28" s="900"/>
      <c r="AL28" s="900"/>
      <c r="AM28" s="900"/>
      <c r="AN28" s="900"/>
      <c r="AO28" s="900"/>
      <c r="AP28" s="901"/>
    </row>
    <row r="29" spans="1:51" ht="15" customHeight="1">
      <c r="A29" s="800"/>
      <c r="B29" s="801" t="str">
        <f>IF(G29=0,"",UPPER(LOOKUP(M29,$P$10:$Q$22)))</f>
        <v>B)</v>
      </c>
      <c r="C29" s="1138" t="str">
        <f>IF(G29&gt;0,"PHCA U/S 10(14 )(i)(ii)","")</f>
        <v>PHCA U/S 10(14 )(i)(ii)</v>
      </c>
      <c r="D29" s="1138"/>
      <c r="E29" s="1138"/>
      <c r="F29" s="813" t="str">
        <f t="shared" si="3"/>
        <v>Rs:</v>
      </c>
      <c r="G29" s="832">
        <f>Statement!I28</f>
        <v>10620</v>
      </c>
      <c r="H29" s="813" t="str">
        <f t="shared" si="4"/>
        <v>Rs:</v>
      </c>
      <c r="I29" s="832">
        <f>MIN(G29,Main!J122)</f>
        <v>10620</v>
      </c>
      <c r="J29" s="833"/>
      <c r="K29" s="834"/>
      <c r="L29" s="703">
        <f>IF(G29=0,"",1)</f>
        <v>1</v>
      </c>
      <c r="M29" s="899">
        <f>SUM($L$24:L29)</f>
        <v>2</v>
      </c>
      <c r="N29" s="899"/>
      <c r="O29" s="899"/>
      <c r="P29" s="899"/>
      <c r="Q29" s="899"/>
      <c r="R29" s="899"/>
      <c r="S29" s="899"/>
      <c r="T29" s="899"/>
      <c r="U29" s="899"/>
      <c r="V29" s="899"/>
      <c r="W29" s="899"/>
      <c r="X29" s="899"/>
      <c r="Y29" s="899"/>
      <c r="Z29" s="899"/>
      <c r="AA29" s="900"/>
      <c r="AB29" s="900"/>
      <c r="AC29" s="900"/>
      <c r="AD29" s="900"/>
      <c r="AE29" s="900"/>
      <c r="AF29" s="900"/>
      <c r="AG29" s="900"/>
      <c r="AH29" s="900"/>
      <c r="AI29" s="900"/>
      <c r="AJ29" s="900"/>
      <c r="AK29" s="900"/>
      <c r="AL29" s="900"/>
      <c r="AM29" s="900"/>
      <c r="AN29" s="900"/>
      <c r="AO29" s="900"/>
      <c r="AP29" s="901"/>
    </row>
    <row r="30" spans="1:51" ht="15" customHeight="1">
      <c r="A30" s="800"/>
      <c r="B30" s="1136" t="str">
        <f>IF(SUM(G24:G29)=G24,"",CONCATENATE(" Total Exemptions (  ",UPPER(VLOOKUP(M29,P10:R22,3)),")"))</f>
        <v xml:space="preserve"> Total Exemptions (  A + B )</v>
      </c>
      <c r="C30" s="1136"/>
      <c r="D30" s="1136"/>
      <c r="E30" s="1136"/>
      <c r="F30" s="813" t="s">
        <v>7</v>
      </c>
      <c r="G30" s="835">
        <f>SUM(G24:G29)</f>
        <v>40610</v>
      </c>
      <c r="H30" s="813" t="str">
        <f t="shared" si="4"/>
        <v>Rs:</v>
      </c>
      <c r="I30" s="835">
        <f>SUM(I24:I29)</f>
        <v>40610</v>
      </c>
      <c r="J30" s="813" t="s">
        <v>7</v>
      </c>
      <c r="K30" s="836">
        <f>SUM(I24:I29)</f>
        <v>40610</v>
      </c>
      <c r="L30" s="704">
        <f>IF(K24=K30,"",1)</f>
        <v>1</v>
      </c>
      <c r="M30" s="899"/>
      <c r="N30" s="899"/>
      <c r="O30" s="899"/>
      <c r="P30" s="899"/>
      <c r="Q30" s="899"/>
      <c r="R30" s="899"/>
      <c r="S30" s="899"/>
      <c r="T30" s="899"/>
      <c r="U30" s="899"/>
      <c r="V30" s="899"/>
      <c r="W30" s="899"/>
      <c r="X30" s="899"/>
      <c r="Y30" s="899"/>
      <c r="Z30" s="899"/>
      <c r="AA30" s="900"/>
      <c r="AB30" s="900"/>
      <c r="AC30" s="900"/>
      <c r="AD30" s="900"/>
      <c r="AE30" s="900"/>
      <c r="AF30" s="900"/>
      <c r="AG30" s="900"/>
      <c r="AH30" s="900"/>
      <c r="AI30" s="900"/>
      <c r="AJ30" s="900"/>
      <c r="AK30" s="900"/>
      <c r="AL30" s="900"/>
      <c r="AM30" s="900"/>
      <c r="AN30" s="900"/>
      <c r="AO30" s="900"/>
      <c r="AP30" s="901"/>
    </row>
    <row r="31" spans="1:51" ht="15" customHeight="1">
      <c r="A31" s="800">
        <v>7</v>
      </c>
      <c r="B31" s="801" t="s">
        <v>1697</v>
      </c>
      <c r="C31" s="801"/>
      <c r="D31" s="801"/>
      <c r="E31" s="801"/>
      <c r="F31" s="813"/>
      <c r="G31" s="837"/>
      <c r="H31" s="813"/>
      <c r="I31" s="833"/>
      <c r="J31" s="813" t="s">
        <v>7</v>
      </c>
      <c r="K31" s="838">
        <f>SUM(K17,-K30)</f>
        <v>854608</v>
      </c>
      <c r="L31" s="704">
        <v>1</v>
      </c>
      <c r="M31" s="899"/>
      <c r="N31" s="899"/>
      <c r="O31" s="899"/>
      <c r="P31" s="899"/>
      <c r="Q31" s="899"/>
      <c r="R31" s="899"/>
      <c r="S31" s="899"/>
      <c r="T31" s="899"/>
      <c r="U31" s="899"/>
      <c r="V31" s="899"/>
      <c r="W31" s="899"/>
      <c r="X31" s="899"/>
      <c r="Y31" s="899"/>
      <c r="Z31" s="899"/>
      <c r="AA31" s="900"/>
      <c r="AB31" s="900"/>
      <c r="AC31" s="900"/>
      <c r="AD31" s="900"/>
      <c r="AE31" s="900"/>
      <c r="AF31" s="900"/>
      <c r="AG31" s="900"/>
      <c r="AH31" s="900"/>
      <c r="AI31" s="900"/>
      <c r="AJ31" s="900"/>
      <c r="AK31" s="900"/>
      <c r="AL31" s="900"/>
      <c r="AM31" s="900"/>
      <c r="AN31" s="900"/>
      <c r="AO31" s="900"/>
      <c r="AP31" s="901"/>
    </row>
    <row r="32" spans="1:51" ht="15" customHeight="1">
      <c r="A32" s="800">
        <v>8</v>
      </c>
      <c r="B32" s="811" t="s">
        <v>19</v>
      </c>
      <c r="C32" s="801"/>
      <c r="D32" s="801"/>
      <c r="E32" s="801"/>
      <c r="F32" s="813"/>
      <c r="G32" s="814"/>
      <c r="H32" s="821"/>
      <c r="I32" s="814"/>
      <c r="J32" s="813"/>
      <c r="K32" s="816"/>
      <c r="L32" s="704">
        <v>1</v>
      </c>
      <c r="M32" s="899"/>
      <c r="N32" s="899"/>
      <c r="O32" s="899"/>
      <c r="P32" s="899"/>
      <c r="Q32" s="899"/>
      <c r="R32" s="899"/>
      <c r="S32" s="899"/>
      <c r="T32" s="899"/>
      <c r="U32" s="899"/>
      <c r="V32" s="899"/>
      <c r="W32" s="899"/>
      <c r="X32" s="899"/>
      <c r="Y32" s="899"/>
      <c r="Z32" s="899"/>
      <c r="AA32" s="900"/>
      <c r="AB32" s="900"/>
      <c r="AC32" s="900"/>
      <c r="AD32" s="900"/>
      <c r="AE32" s="900"/>
      <c r="AF32" s="900"/>
      <c r="AG32" s="900"/>
      <c r="AH32" s="900"/>
      <c r="AI32" s="900"/>
      <c r="AJ32" s="900"/>
      <c r="AK32" s="900"/>
      <c r="AL32" s="900"/>
      <c r="AM32" s="900"/>
      <c r="AN32" s="900"/>
      <c r="AO32" s="900"/>
    </row>
    <row r="33" spans="1:42" ht="15" customHeight="1">
      <c r="A33" s="800"/>
      <c r="B33" s="1137" t="s">
        <v>18</v>
      </c>
      <c r="C33" s="1137"/>
      <c r="D33" s="1137"/>
      <c r="E33" s="801"/>
      <c r="F33" s="813" t="str">
        <f>F23</f>
        <v>Rs:</v>
      </c>
      <c r="G33" s="814">
        <f>Statement!R28</f>
        <v>0</v>
      </c>
      <c r="H33" s="821"/>
      <c r="I33" s="814"/>
      <c r="J33" s="814"/>
      <c r="K33" s="816"/>
      <c r="L33" s="704">
        <v>1</v>
      </c>
      <c r="M33" s="899"/>
      <c r="N33" s="899"/>
      <c r="O33" s="899"/>
      <c r="P33" s="899"/>
      <c r="Q33" s="899"/>
      <c r="R33" s="899"/>
      <c r="S33" s="899"/>
      <c r="T33" s="899"/>
      <c r="U33" s="899"/>
      <c r="V33" s="899"/>
      <c r="W33" s="899"/>
      <c r="X33" s="899"/>
      <c r="Y33" s="899"/>
      <c r="Z33" s="899"/>
      <c r="AA33" s="900"/>
      <c r="AB33" s="900"/>
      <c r="AC33" s="900"/>
      <c r="AD33" s="900"/>
      <c r="AE33" s="900"/>
      <c r="AF33" s="900"/>
      <c r="AG33" s="900"/>
      <c r="AH33" s="900"/>
      <c r="AI33" s="900"/>
      <c r="AJ33" s="900"/>
      <c r="AK33" s="900"/>
      <c r="AL33" s="900"/>
      <c r="AM33" s="900"/>
      <c r="AN33" s="900"/>
      <c r="AO33" s="900"/>
    </row>
    <row r="34" spans="1:42" ht="15" customHeight="1">
      <c r="A34" s="800">
        <v>9</v>
      </c>
      <c r="B34" s="801" t="s">
        <v>1698</v>
      </c>
      <c r="C34" s="801"/>
      <c r="D34" s="801"/>
      <c r="E34" s="801"/>
      <c r="F34" s="813"/>
      <c r="G34" s="814"/>
      <c r="H34" s="839"/>
      <c r="I34" s="839"/>
      <c r="J34" s="813" t="s">
        <v>7</v>
      </c>
      <c r="K34" s="838">
        <f>SUM(K31,-G33)</f>
        <v>854608</v>
      </c>
      <c r="L34" s="704">
        <v>1</v>
      </c>
      <c r="M34" s="899"/>
      <c r="N34" s="899"/>
      <c r="O34" s="899"/>
      <c r="P34" s="899"/>
      <c r="Q34" s="899"/>
      <c r="R34" s="899"/>
      <c r="S34" s="899"/>
      <c r="T34" s="899"/>
      <c r="U34" s="899"/>
      <c r="V34" s="899"/>
      <c r="W34" s="899"/>
      <c r="X34" s="899"/>
      <c r="Y34" s="899"/>
      <c r="Z34" s="899"/>
      <c r="AA34" s="900"/>
      <c r="AB34" s="900"/>
      <c r="AC34" s="900"/>
      <c r="AD34" s="900"/>
      <c r="AE34" s="900"/>
      <c r="AF34" s="900"/>
      <c r="AG34" s="900"/>
      <c r="AH34" s="900"/>
      <c r="AI34" s="900"/>
      <c r="AJ34" s="900"/>
      <c r="AK34" s="900"/>
      <c r="AL34" s="900"/>
      <c r="AM34" s="900"/>
      <c r="AN34" s="900"/>
      <c r="AO34" s="900"/>
    </row>
    <row r="35" spans="1:42" ht="15" customHeight="1">
      <c r="A35" s="800">
        <v>10</v>
      </c>
      <c r="B35" s="801" t="str">
        <f>CONCATENATE("Income From other sources ",IF(Main!L40&gt;0, CONCATENATE("( ",Main!J40," )"),""))</f>
        <v xml:space="preserve">Income From other sources </v>
      </c>
      <c r="C35" s="801"/>
      <c r="D35" s="801"/>
      <c r="E35" s="801"/>
      <c r="F35" s="813"/>
      <c r="G35" s="840"/>
      <c r="H35" s="841" t="str">
        <f>IF(I39=0,"Rs:","")</f>
        <v/>
      </c>
      <c r="I35" s="839"/>
      <c r="J35" s="813"/>
      <c r="K35" s="816"/>
      <c r="L35" s="704">
        <v>1</v>
      </c>
      <c r="M35" s="899"/>
      <c r="N35" s="899"/>
      <c r="O35" s="899"/>
      <c r="P35" s="899"/>
      <c r="Q35" s="899"/>
      <c r="R35" s="899"/>
      <c r="S35" s="899"/>
      <c r="T35" s="899"/>
      <c r="U35" s="899"/>
      <c r="V35" s="899"/>
      <c r="W35" s="899"/>
      <c r="X35" s="899"/>
      <c r="Y35" s="899"/>
      <c r="Z35" s="899"/>
      <c r="AA35" s="900"/>
      <c r="AB35" s="900"/>
      <c r="AC35" s="900"/>
      <c r="AD35" s="900"/>
      <c r="AE35" s="900"/>
      <c r="AF35" s="900"/>
      <c r="AG35" s="900"/>
      <c r="AH35" s="900"/>
      <c r="AI35" s="900"/>
      <c r="AJ35" s="900"/>
      <c r="AK35" s="900"/>
      <c r="AL35" s="900"/>
      <c r="AM35" s="900"/>
      <c r="AN35" s="900"/>
      <c r="AO35" s="900"/>
      <c r="AP35" s="904"/>
    </row>
    <row r="36" spans="1:42" ht="15" hidden="1" customHeight="1">
      <c r="A36" s="800"/>
      <c r="B36" s="801" t="str">
        <f>IF(I36=0,"",LOOKUP(SUM($M$36:M36),$P$10:$Q$22))</f>
        <v/>
      </c>
      <c r="C36" s="1137" t="str">
        <f>IF(B36="","","Income from One House Property U/s 24B")</f>
        <v/>
      </c>
      <c r="D36" s="1137"/>
      <c r="E36" s="801"/>
      <c r="F36" s="813"/>
      <c r="G36" s="840"/>
      <c r="H36" s="813" t="str">
        <f>IF(L36=1,"Rs:","")</f>
        <v/>
      </c>
      <c r="I36" s="835">
        <f>Main!I139</f>
        <v>0</v>
      </c>
      <c r="J36" s="813"/>
      <c r="K36" s="816"/>
      <c r="L36" s="703" t="str">
        <f>IF(I36=0,"",1)</f>
        <v/>
      </c>
      <c r="M36" s="899" t="str">
        <f>IF(I36=0,"",1)</f>
        <v/>
      </c>
      <c r="N36" s="899"/>
      <c r="O36" s="899"/>
      <c r="P36" s="899"/>
      <c r="Q36" s="899"/>
      <c r="R36" s="899"/>
      <c r="S36" s="899"/>
      <c r="T36" s="899"/>
      <c r="U36" s="899"/>
      <c r="V36" s="899"/>
      <c r="W36" s="899"/>
      <c r="X36" s="899"/>
      <c r="Y36" s="899"/>
      <c r="Z36" s="899"/>
      <c r="AA36" s="900"/>
      <c r="AB36" s="900"/>
      <c r="AC36" s="900"/>
      <c r="AD36" s="900"/>
      <c r="AE36" s="900"/>
      <c r="AF36" s="900"/>
      <c r="AG36" s="900"/>
      <c r="AH36" s="900"/>
      <c r="AI36" s="900"/>
      <c r="AJ36" s="900"/>
      <c r="AK36" s="900"/>
      <c r="AL36" s="900"/>
      <c r="AM36" s="900"/>
      <c r="AN36" s="900"/>
      <c r="AO36" s="900"/>
      <c r="AP36" s="904"/>
    </row>
    <row r="37" spans="1:42" ht="15" customHeight="1">
      <c r="A37" s="800"/>
      <c r="B37" s="801" t="str">
        <f>IF(I37=0,"",LOOKUP(SUM($M$36:M37),$P$10:$Q$22))</f>
        <v>a)</v>
      </c>
      <c r="C37" s="801" t="str">
        <f>IF(B37="","",Main!J14)</f>
        <v>CPS Employers Contribution</v>
      </c>
      <c r="D37" s="801"/>
      <c r="E37" s="801"/>
      <c r="F37" s="813"/>
      <c r="G37" s="840"/>
      <c r="H37" s="813" t="str">
        <f>IF(L37=1,"Rs:","")</f>
        <v>Rs:</v>
      </c>
      <c r="I37" s="842">
        <f>IF(Main!F22="CPS",Main!L14,0)</f>
        <v>70144</v>
      </c>
      <c r="J37" s="839"/>
      <c r="K37" s="843"/>
      <c r="L37" s="703">
        <f t="shared" ref="L37:L38" si="5">IF(I37=0,"",1)</f>
        <v>1</v>
      </c>
      <c r="M37" s="899">
        <f>IF(I37=0,"",1)</f>
        <v>1</v>
      </c>
      <c r="N37" s="899"/>
      <c r="O37" s="899"/>
      <c r="P37" s="899"/>
      <c r="Q37" s="899"/>
      <c r="R37" s="899"/>
      <c r="S37" s="899"/>
      <c r="T37" s="899"/>
      <c r="U37" s="899"/>
      <c r="V37" s="899"/>
      <c r="W37" s="899"/>
      <c r="X37" s="899"/>
      <c r="Y37" s="899"/>
      <c r="Z37" s="899"/>
      <c r="AA37" s="900"/>
      <c r="AB37" s="900"/>
      <c r="AC37" s="900"/>
      <c r="AD37" s="900"/>
      <c r="AE37" s="900"/>
      <c r="AF37" s="900"/>
      <c r="AG37" s="900"/>
      <c r="AH37" s="900"/>
      <c r="AI37" s="900"/>
      <c r="AJ37" s="900"/>
      <c r="AK37" s="900"/>
      <c r="AL37" s="900"/>
      <c r="AM37" s="900"/>
      <c r="AN37" s="900"/>
      <c r="AO37" s="900"/>
      <c r="AP37" s="904"/>
    </row>
    <row r="38" spans="1:42" ht="15" hidden="1" customHeight="1">
      <c r="A38" s="800"/>
      <c r="B38" s="801" t="str">
        <f>IF(I38=0,"",LOOKUP(SUM($M$36:M38),$P$10:$Q$22))</f>
        <v/>
      </c>
      <c r="C38" s="801" t="str">
        <f>IF(B38="","",Main!F14)</f>
        <v/>
      </c>
      <c r="D38" s="801"/>
      <c r="E38" s="801"/>
      <c r="F38" s="813"/>
      <c r="G38" s="840"/>
      <c r="H38" s="813" t="str">
        <f>IF(L38=1,"Rs:","")</f>
        <v/>
      </c>
      <c r="I38" s="842">
        <f>Main!H14</f>
        <v>0</v>
      </c>
      <c r="J38" s="839"/>
      <c r="K38" s="843"/>
      <c r="L38" s="703" t="str">
        <f t="shared" si="5"/>
        <v/>
      </c>
      <c r="M38" s="899" t="str">
        <f>IF(I38=0,"",1)</f>
        <v/>
      </c>
      <c r="N38" s="899"/>
      <c r="O38" s="899"/>
      <c r="P38" s="899"/>
      <c r="Q38" s="899"/>
      <c r="R38" s="899"/>
      <c r="S38" s="899"/>
      <c r="T38" s="899"/>
      <c r="U38" s="899"/>
      <c r="V38" s="899"/>
      <c r="W38" s="899"/>
      <c r="X38" s="899"/>
      <c r="Y38" s="899"/>
      <c r="Z38" s="899"/>
      <c r="AA38" s="900"/>
      <c r="AB38" s="900"/>
      <c r="AC38" s="900"/>
      <c r="AD38" s="900"/>
      <c r="AE38" s="900"/>
      <c r="AF38" s="900"/>
      <c r="AG38" s="900"/>
      <c r="AH38" s="900"/>
      <c r="AI38" s="900"/>
      <c r="AJ38" s="900"/>
      <c r="AK38" s="900"/>
      <c r="AL38" s="900"/>
      <c r="AM38" s="900"/>
      <c r="AN38" s="900"/>
      <c r="AO38" s="900"/>
      <c r="AP38" s="904"/>
    </row>
    <row r="39" spans="1:42" ht="15" customHeight="1">
      <c r="A39" s="800"/>
      <c r="B39" s="802" t="str">
        <f>IF(I39=0,"",CONCATENATE("      Total (  ",VLOOKUP(SUM($M$36:M39),P10:R22,3),")"))</f>
        <v xml:space="preserve">      Total (  a )</v>
      </c>
      <c r="C39" s="802"/>
      <c r="D39" s="802"/>
      <c r="E39" s="801"/>
      <c r="F39" s="813"/>
      <c r="G39" s="840"/>
      <c r="H39" s="813" t="str">
        <f>IF(I39=0,"","Rs:")</f>
        <v>Rs:</v>
      </c>
      <c r="I39" s="822">
        <f>SUM(I36:I38)</f>
        <v>70144</v>
      </c>
      <c r="J39" s="813"/>
      <c r="K39" s="843"/>
      <c r="L39" s="704">
        <f>IF(SUM(L36:L38)=0,"",1)</f>
        <v>1</v>
      </c>
      <c r="M39" s="899"/>
      <c r="N39" s="899"/>
      <c r="O39" s="899"/>
      <c r="P39" s="899"/>
      <c r="Q39" s="899"/>
      <c r="R39" s="899"/>
      <c r="S39" s="899"/>
      <c r="T39" s="899"/>
      <c r="U39" s="899"/>
      <c r="V39" s="899"/>
      <c r="W39" s="899"/>
      <c r="X39" s="899"/>
      <c r="Y39" s="899"/>
      <c r="Z39" s="899"/>
      <c r="AA39" s="900"/>
      <c r="AB39" s="900"/>
      <c r="AC39" s="900"/>
      <c r="AD39" s="900"/>
      <c r="AE39" s="900"/>
      <c r="AF39" s="900"/>
      <c r="AG39" s="900"/>
      <c r="AH39" s="900"/>
      <c r="AI39" s="900"/>
      <c r="AJ39" s="900"/>
      <c r="AK39" s="900"/>
      <c r="AL39" s="900"/>
      <c r="AM39" s="900"/>
      <c r="AN39" s="900"/>
      <c r="AO39" s="900"/>
      <c r="AP39" s="904"/>
    </row>
    <row r="40" spans="1:42" ht="15" customHeight="1">
      <c r="A40" s="800">
        <v>11</v>
      </c>
      <c r="B40" s="801" t="s">
        <v>1699</v>
      </c>
      <c r="C40" s="801"/>
      <c r="D40" s="801"/>
      <c r="E40" s="801"/>
      <c r="F40" s="813"/>
      <c r="G40" s="839"/>
      <c r="H40" s="841"/>
      <c r="I40" s="839"/>
      <c r="J40" s="813" t="s">
        <v>7</v>
      </c>
      <c r="K40" s="838">
        <f>SUM(K34,I39)</f>
        <v>924752</v>
      </c>
      <c r="L40" s="704">
        <v>1</v>
      </c>
      <c r="M40" s="899"/>
      <c r="N40" s="899"/>
      <c r="O40" s="899"/>
      <c r="P40" s="899"/>
      <c r="Q40" s="899"/>
      <c r="R40" s="899"/>
      <c r="S40" s="899"/>
      <c r="T40" s="899"/>
      <c r="U40" s="899"/>
      <c r="V40" s="899"/>
      <c r="W40" s="899"/>
      <c r="X40" s="899"/>
      <c r="Y40" s="899"/>
      <c r="Z40" s="899"/>
      <c r="AA40" s="900"/>
      <c r="AB40" s="900"/>
      <c r="AC40" s="900"/>
      <c r="AD40" s="900"/>
      <c r="AE40" s="900"/>
      <c r="AF40" s="900"/>
      <c r="AG40" s="900"/>
      <c r="AH40" s="900"/>
      <c r="AI40" s="900"/>
      <c r="AJ40" s="900"/>
      <c r="AK40" s="900"/>
      <c r="AL40" s="900"/>
      <c r="AM40" s="900"/>
      <c r="AN40" s="900"/>
      <c r="AO40" s="900"/>
    </row>
    <row r="41" spans="1:42" ht="15" customHeight="1">
      <c r="A41" s="800">
        <v>12</v>
      </c>
      <c r="B41" s="801" t="s">
        <v>17</v>
      </c>
      <c r="C41" s="801"/>
      <c r="D41" s="801"/>
      <c r="E41" s="801"/>
      <c r="F41" s="1141" t="s">
        <v>1424</v>
      </c>
      <c r="G41" s="1141"/>
      <c r="H41" s="1141" t="s">
        <v>1694</v>
      </c>
      <c r="I41" s="1141"/>
      <c r="J41" s="1146" t="s">
        <v>1707</v>
      </c>
      <c r="K41" s="1147"/>
      <c r="L41" s="704">
        <v>1</v>
      </c>
      <c r="M41" s="899"/>
      <c r="N41" s="899"/>
      <c r="O41" s="899"/>
      <c r="P41" s="899"/>
      <c r="Q41" s="899"/>
      <c r="R41" s="899"/>
      <c r="S41" s="899"/>
      <c r="T41" s="899"/>
      <c r="U41" s="899"/>
      <c r="V41" s="899"/>
      <c r="W41" s="899"/>
      <c r="X41" s="899"/>
      <c r="Y41" s="899"/>
      <c r="Z41" s="899"/>
      <c r="AA41" s="900"/>
      <c r="AB41" s="900"/>
      <c r="AC41" s="900"/>
      <c r="AD41" s="900"/>
      <c r="AE41" s="900"/>
      <c r="AF41" s="900"/>
      <c r="AG41" s="900"/>
      <c r="AH41" s="900"/>
      <c r="AI41" s="900"/>
      <c r="AJ41" s="900"/>
      <c r="AK41" s="900"/>
      <c r="AL41" s="900"/>
      <c r="AM41" s="900"/>
      <c r="AN41" s="900"/>
      <c r="AO41" s="900"/>
    </row>
    <row r="42" spans="1:42" ht="15" customHeight="1">
      <c r="A42" s="800"/>
      <c r="B42" s="801"/>
      <c r="C42" s="801" t="str">
        <f t="shared" ref="C42:C47" si="6">IF(G42=0,"",LOOKUP(M42,$P$10:$Q$22))</f>
        <v>a)</v>
      </c>
      <c r="D42" s="1140" t="s">
        <v>1813</v>
      </c>
      <c r="E42" s="1140"/>
      <c r="F42" s="813" t="str">
        <f t="shared" ref="F42:F48" si="7">IF(G42=0,"","Rs:")</f>
        <v>Rs:</v>
      </c>
      <c r="G42" s="822">
        <f>Statement!T28</f>
        <v>70</v>
      </c>
      <c r="H42" s="813" t="s">
        <v>7</v>
      </c>
      <c r="I42" s="814">
        <f>G42</f>
        <v>70</v>
      </c>
      <c r="J42" s="814"/>
      <c r="K42" s="816"/>
      <c r="L42" s="704">
        <v>1</v>
      </c>
      <c r="M42" s="899">
        <f>SUM($L$42:L42)</f>
        <v>1</v>
      </c>
      <c r="N42" s="899"/>
      <c r="O42" s="899"/>
      <c r="P42" s="899"/>
      <c r="Q42" s="899"/>
      <c r="R42" s="899"/>
      <c r="S42" s="899"/>
      <c r="T42" s="899"/>
      <c r="U42" s="899"/>
      <c r="V42" s="899"/>
      <c r="W42" s="899"/>
      <c r="X42" s="899"/>
      <c r="Y42" s="899"/>
      <c r="Z42" s="899"/>
      <c r="AA42" s="900"/>
      <c r="AB42" s="900"/>
      <c r="AC42" s="900"/>
      <c r="AD42" s="900"/>
      <c r="AE42" s="900"/>
      <c r="AF42" s="900"/>
      <c r="AG42" s="900"/>
      <c r="AH42" s="900"/>
      <c r="AI42" s="900"/>
      <c r="AJ42" s="900"/>
      <c r="AK42" s="900"/>
      <c r="AL42" s="900"/>
      <c r="AM42" s="900"/>
      <c r="AN42" s="900"/>
      <c r="AO42" s="900"/>
    </row>
    <row r="43" spans="1:42" ht="15" customHeight="1">
      <c r="A43" s="800"/>
      <c r="B43" s="801"/>
      <c r="C43" s="801" t="str">
        <f t="shared" si="6"/>
        <v>b)</v>
      </c>
      <c r="D43" s="844" t="str">
        <f>Main!F133</f>
        <v>EHS U/S 80D</v>
      </c>
      <c r="E43" s="844"/>
      <c r="F43" s="813" t="str">
        <f t="shared" si="7"/>
        <v>Rs:</v>
      </c>
      <c r="G43" s="822">
        <f>Main!J133</f>
        <v>1080</v>
      </c>
      <c r="H43" s="813" t="s">
        <v>7</v>
      </c>
      <c r="I43" s="822">
        <f>G43</f>
        <v>1080</v>
      </c>
      <c r="J43" s="814"/>
      <c r="K43" s="816"/>
      <c r="L43" s="703">
        <f>IF(G43=0,"",1)</f>
        <v>1</v>
      </c>
      <c r="M43" s="899">
        <f>SUM($L$42:L43)</f>
        <v>2</v>
      </c>
      <c r="N43" s="899"/>
      <c r="O43" s="899"/>
      <c r="P43" s="899"/>
      <c r="Q43" s="899"/>
      <c r="R43" s="899"/>
      <c r="S43" s="899"/>
      <c r="T43" s="899"/>
      <c r="U43" s="899"/>
      <c r="V43" s="899"/>
      <c r="W43" s="899"/>
      <c r="X43" s="899"/>
      <c r="Y43" s="899"/>
      <c r="Z43" s="899"/>
      <c r="AA43" s="900"/>
      <c r="AB43" s="900"/>
      <c r="AC43" s="900"/>
      <c r="AD43" s="900"/>
      <c r="AE43" s="900"/>
      <c r="AF43" s="900"/>
      <c r="AG43" s="900"/>
      <c r="AH43" s="900"/>
      <c r="AI43" s="900"/>
      <c r="AJ43" s="900"/>
      <c r="AK43" s="900"/>
      <c r="AL43" s="900"/>
      <c r="AM43" s="900"/>
      <c r="AN43" s="900"/>
      <c r="AO43" s="900"/>
    </row>
    <row r="44" spans="1:42" ht="26.25" hidden="1" customHeight="1">
      <c r="A44" s="800"/>
      <c r="B44" s="801"/>
      <c r="C44" s="801" t="str">
        <f t="shared" si="6"/>
        <v/>
      </c>
      <c r="D44" s="1140" t="str">
        <f>Main!F129</f>
        <v/>
      </c>
      <c r="E44" s="1140"/>
      <c r="F44" s="813" t="str">
        <f t="shared" si="7"/>
        <v/>
      </c>
      <c r="G44" s="822">
        <f>Main!L29</f>
        <v>0</v>
      </c>
      <c r="H44" s="813" t="str">
        <f>IF(I44=0,"","Rs:")</f>
        <v/>
      </c>
      <c r="I44" s="822">
        <f>Main!J129</f>
        <v>0</v>
      </c>
      <c r="J44" s="814"/>
      <c r="K44" s="816"/>
      <c r="L44" s="703" t="str">
        <f>IF(G44=0,"",1)</f>
        <v/>
      </c>
      <c r="M44" s="899">
        <f>SUM($L$42:L44)</f>
        <v>2</v>
      </c>
      <c r="N44" s="899"/>
      <c r="O44" s="899"/>
      <c r="P44" s="899"/>
      <c r="Q44" s="899"/>
      <c r="R44" s="899"/>
      <c r="S44" s="899"/>
      <c r="T44" s="899"/>
      <c r="U44" s="899"/>
      <c r="W44" s="899"/>
      <c r="X44" s="899"/>
      <c r="Y44" s="899"/>
      <c r="Z44" s="899"/>
      <c r="AA44" s="900"/>
      <c r="AB44" s="900"/>
      <c r="AC44" s="900"/>
      <c r="AD44" s="900"/>
      <c r="AE44" s="900"/>
      <c r="AF44" s="900"/>
      <c r="AG44" s="900"/>
      <c r="AH44" s="900"/>
      <c r="AI44" s="900"/>
      <c r="AJ44" s="900"/>
      <c r="AK44" s="900"/>
      <c r="AL44" s="900"/>
      <c r="AM44" s="900"/>
      <c r="AN44" s="900"/>
      <c r="AO44" s="900"/>
    </row>
    <row r="45" spans="1:42" ht="24.75" hidden="1" customHeight="1">
      <c r="A45" s="800"/>
      <c r="B45" s="801"/>
      <c r="C45" s="801" t="str">
        <f t="shared" si="6"/>
        <v/>
      </c>
      <c r="D45" s="1140" t="str">
        <f>Main!F130</f>
        <v/>
      </c>
      <c r="E45" s="1140"/>
      <c r="F45" s="813" t="str">
        <f t="shared" si="7"/>
        <v/>
      </c>
      <c r="G45" s="822">
        <f>Main!L30</f>
        <v>0</v>
      </c>
      <c r="H45" s="813" t="str">
        <f>IF(I45=0,"","Rs:")</f>
        <v/>
      </c>
      <c r="I45" s="822">
        <f>Main!J130</f>
        <v>0</v>
      </c>
      <c r="J45" s="814"/>
      <c r="K45" s="816"/>
      <c r="L45" s="703" t="str">
        <f>IF(G45=0,"",1)</f>
        <v/>
      </c>
      <c r="M45" s="900">
        <f>SUM($L$42:L45)</f>
        <v>2</v>
      </c>
      <c r="N45" s="899"/>
      <c r="O45" s="899"/>
      <c r="P45" s="899"/>
      <c r="Q45" s="899"/>
      <c r="R45" s="899"/>
      <c r="S45" s="899"/>
      <c r="T45" s="899"/>
      <c r="U45" s="899"/>
      <c r="V45" s="899"/>
      <c r="W45" s="899"/>
      <c r="X45" s="899"/>
      <c r="Y45" s="899"/>
      <c r="Z45" s="899"/>
      <c r="AA45" s="900"/>
      <c r="AB45" s="900"/>
      <c r="AC45" s="900"/>
      <c r="AD45" s="900"/>
      <c r="AE45" s="900"/>
      <c r="AF45" s="900"/>
      <c r="AG45" s="900"/>
      <c r="AH45" s="900"/>
      <c r="AI45" s="900"/>
      <c r="AJ45" s="900"/>
      <c r="AK45" s="900"/>
      <c r="AL45" s="900"/>
      <c r="AM45" s="900"/>
      <c r="AN45" s="900"/>
      <c r="AO45" s="900"/>
    </row>
    <row r="46" spans="1:42" ht="30" hidden="1" customHeight="1">
      <c r="A46" s="800"/>
      <c r="B46" s="801"/>
      <c r="C46" s="801" t="str">
        <f t="shared" si="6"/>
        <v/>
      </c>
      <c r="D46" s="1140" t="str">
        <f>Main!F131</f>
        <v/>
      </c>
      <c r="E46" s="1140"/>
      <c r="F46" s="813" t="str">
        <f t="shared" si="7"/>
        <v/>
      </c>
      <c r="G46" s="822">
        <f>Main!L31</f>
        <v>0</v>
      </c>
      <c r="H46" s="813" t="str">
        <f>IF(I46=0,"","Rs:")</f>
        <v/>
      </c>
      <c r="I46" s="822">
        <f>Main!J131</f>
        <v>0</v>
      </c>
      <c r="J46" s="814"/>
      <c r="K46" s="816"/>
      <c r="L46" s="703" t="str">
        <f>IF(G46=0,"",1)</f>
        <v/>
      </c>
      <c r="M46" s="900">
        <f>SUM($L$42:L46)</f>
        <v>2</v>
      </c>
      <c r="N46" s="899"/>
      <c r="O46" s="899"/>
      <c r="P46" s="899"/>
      <c r="Q46" s="899"/>
      <c r="R46" s="899"/>
      <c r="S46" s="899"/>
      <c r="T46" s="899"/>
      <c r="U46" s="899"/>
      <c r="V46" s="899"/>
      <c r="W46" s="899"/>
      <c r="X46" s="899"/>
      <c r="Y46" s="899"/>
      <c r="Z46" s="899"/>
      <c r="AA46" s="900"/>
      <c r="AB46" s="900"/>
      <c r="AC46" s="900"/>
      <c r="AD46" s="900"/>
      <c r="AE46" s="900"/>
      <c r="AF46" s="900"/>
      <c r="AG46" s="900"/>
      <c r="AH46" s="900"/>
      <c r="AI46" s="900"/>
      <c r="AJ46" s="900"/>
      <c r="AK46" s="900"/>
      <c r="AL46" s="900"/>
      <c r="AM46" s="900"/>
      <c r="AN46" s="900"/>
      <c r="AO46" s="900"/>
    </row>
    <row r="47" spans="1:42" ht="15.75" hidden="1" customHeight="1">
      <c r="A47" s="800"/>
      <c r="B47" s="801"/>
      <c r="C47" s="801" t="str">
        <f t="shared" si="6"/>
        <v/>
      </c>
      <c r="D47" s="1140" t="str">
        <f>Main!F132</f>
        <v/>
      </c>
      <c r="E47" s="1140"/>
      <c r="F47" s="813" t="str">
        <f t="shared" si="7"/>
        <v/>
      </c>
      <c r="G47" s="822">
        <f>Main!L32</f>
        <v>0</v>
      </c>
      <c r="H47" s="813" t="str">
        <f t="shared" ref="H47" si="8">IF(I47=0,"","Rs:")</f>
        <v/>
      </c>
      <c r="I47" s="814">
        <f>Main!L132</f>
        <v>0</v>
      </c>
      <c r="J47" s="814"/>
      <c r="K47" s="816"/>
      <c r="L47" s="703" t="str">
        <f>IF(G47=0,"",1)</f>
        <v/>
      </c>
      <c r="M47" s="900">
        <f>SUM($L$42:L47)</f>
        <v>2</v>
      </c>
      <c r="N47" s="899"/>
      <c r="O47" s="899"/>
      <c r="P47" s="899"/>
      <c r="Q47" s="899"/>
      <c r="R47" s="899"/>
      <c r="S47" s="899"/>
      <c r="T47" s="899"/>
      <c r="U47" s="899"/>
      <c r="V47" s="899"/>
      <c r="W47" s="899"/>
      <c r="X47" s="899"/>
      <c r="Y47" s="899"/>
      <c r="Z47" s="899"/>
      <c r="AA47" s="900"/>
      <c r="AB47" s="900"/>
      <c r="AC47" s="900"/>
      <c r="AD47" s="900"/>
      <c r="AE47" s="900"/>
      <c r="AF47" s="900"/>
      <c r="AG47" s="900"/>
      <c r="AH47" s="900"/>
      <c r="AI47" s="900"/>
      <c r="AJ47" s="900"/>
      <c r="AK47" s="900"/>
      <c r="AL47" s="900"/>
      <c r="AM47" s="900"/>
      <c r="AN47" s="900"/>
      <c r="AO47" s="900"/>
    </row>
    <row r="48" spans="1:42" ht="15" customHeight="1">
      <c r="A48" s="800"/>
      <c r="B48" s="801"/>
      <c r="C48" s="1136" t="str">
        <f>CONCATENATE(" Total (  ",VLOOKUP(M47,P10:R22,3),")")</f>
        <v xml:space="preserve"> Total (  a + b )</v>
      </c>
      <c r="D48" s="1136"/>
      <c r="E48" s="1136"/>
      <c r="F48" s="813" t="str">
        <f t="shared" si="7"/>
        <v>Rs:</v>
      </c>
      <c r="G48" s="822">
        <f>SUM(G42:G47)</f>
        <v>1150</v>
      </c>
      <c r="H48" s="813" t="s">
        <v>7</v>
      </c>
      <c r="I48" s="814">
        <f>SUM(I42:I47)</f>
        <v>1150</v>
      </c>
      <c r="J48" s="813" t="s">
        <v>7</v>
      </c>
      <c r="K48" s="816">
        <f>SUM(I42:I47)</f>
        <v>1150</v>
      </c>
      <c r="L48" s="704">
        <v>1</v>
      </c>
      <c r="M48" s="899"/>
      <c r="N48" s="899"/>
      <c r="O48" s="899"/>
      <c r="P48" s="899"/>
      <c r="Q48" s="899"/>
      <c r="R48" s="899"/>
      <c r="S48" s="899"/>
      <c r="T48" s="899"/>
      <c r="U48" s="899"/>
      <c r="V48" s="899"/>
      <c r="W48" s="899"/>
      <c r="X48" s="899"/>
      <c r="Y48" s="899"/>
      <c r="Z48" s="899"/>
      <c r="AA48" s="900"/>
      <c r="AB48" s="900"/>
      <c r="AC48" s="900"/>
      <c r="AD48" s="900"/>
      <c r="AE48" s="900"/>
      <c r="AF48" s="900"/>
      <c r="AG48" s="900"/>
      <c r="AH48" s="900"/>
      <c r="AI48" s="900"/>
      <c r="AJ48" s="900"/>
      <c r="AK48" s="900"/>
      <c r="AL48" s="900"/>
      <c r="AM48" s="900"/>
      <c r="AN48" s="900"/>
      <c r="AO48" s="900"/>
    </row>
    <row r="49" spans="1:41" ht="15" customHeight="1">
      <c r="A49" s="800">
        <v>13</v>
      </c>
      <c r="B49" s="801" t="s">
        <v>16</v>
      </c>
      <c r="C49" s="801"/>
      <c r="D49" s="801"/>
      <c r="E49" s="801"/>
      <c r="F49" s="813"/>
      <c r="G49" s="814"/>
      <c r="H49" s="820"/>
      <c r="I49" s="814"/>
      <c r="J49" s="813" t="s">
        <v>7</v>
      </c>
      <c r="K49" s="838">
        <f>SUM(K40-K48)</f>
        <v>923602</v>
      </c>
      <c r="L49" s="704">
        <v>1</v>
      </c>
      <c r="M49" s="899"/>
      <c r="N49" s="899"/>
      <c r="O49" s="899"/>
      <c r="P49" s="899"/>
      <c r="Q49" s="899"/>
      <c r="R49" s="899"/>
      <c r="S49" s="899"/>
      <c r="T49" s="899"/>
      <c r="U49" s="899"/>
      <c r="V49" s="899"/>
      <c r="W49" s="899"/>
      <c r="X49" s="899"/>
      <c r="Y49" s="899"/>
      <c r="Z49" s="899"/>
      <c r="AA49" s="900"/>
      <c r="AB49" s="900"/>
      <c r="AC49" s="900"/>
      <c r="AD49" s="900"/>
      <c r="AE49" s="900"/>
      <c r="AF49" s="900"/>
      <c r="AG49" s="900"/>
      <c r="AH49" s="900"/>
      <c r="AI49" s="900"/>
      <c r="AJ49" s="900"/>
      <c r="AK49" s="900"/>
      <c r="AL49" s="900"/>
      <c r="AM49" s="900"/>
      <c r="AN49" s="900"/>
      <c r="AO49" s="900"/>
    </row>
    <row r="50" spans="1:41" ht="15" customHeight="1">
      <c r="A50" s="800">
        <v>14</v>
      </c>
      <c r="B50" s="801" t="str">
        <f>IF(I63=I70, "SAVINGS","SAVINGS UNDER SECTION 80 CCE [ 80 C, 80CCC &amp; 80CCD ]")</f>
        <v>SAVINGS UNDER SECTION 80 CCE [ 80 C, 80CCC &amp; 80CCD ]</v>
      </c>
      <c r="C50" s="801"/>
      <c r="D50" s="801"/>
      <c r="E50" s="801"/>
      <c r="F50" s="1141"/>
      <c r="G50" s="1141"/>
      <c r="H50" s="1141" t="s">
        <v>1645</v>
      </c>
      <c r="I50" s="1141"/>
      <c r="J50" s="1146" t="s">
        <v>1707</v>
      </c>
      <c r="K50" s="1147"/>
      <c r="L50" s="704">
        <v>1</v>
      </c>
      <c r="M50" s="899"/>
      <c r="N50" s="899"/>
      <c r="O50" s="899"/>
      <c r="P50" s="899"/>
      <c r="Q50" s="899"/>
      <c r="R50" s="899"/>
      <c r="S50" s="899"/>
      <c r="T50" s="899"/>
      <c r="U50" s="899"/>
      <c r="V50" s="899"/>
      <c r="W50" s="899"/>
      <c r="X50" s="899"/>
      <c r="Y50" s="899"/>
      <c r="Z50" s="899"/>
      <c r="AA50" s="900"/>
      <c r="AB50" s="900"/>
      <c r="AC50" s="900"/>
      <c r="AD50" s="900"/>
      <c r="AE50" s="900"/>
      <c r="AF50" s="900"/>
      <c r="AG50" s="900"/>
      <c r="AH50" s="900"/>
      <c r="AI50" s="900"/>
      <c r="AJ50" s="900"/>
      <c r="AK50" s="900"/>
      <c r="AL50" s="900"/>
      <c r="AM50" s="900"/>
      <c r="AN50" s="900"/>
      <c r="AO50" s="900"/>
    </row>
    <row r="51" spans="1:41" ht="15" customHeight="1">
      <c r="A51" s="1135" t="str">
        <f>IF(I66=I70,"","I)")</f>
        <v>I)</v>
      </c>
      <c r="B51" s="1136"/>
      <c r="C51" s="1137" t="str">
        <f>IF(I63=I70,"","UNDER SECTION 80 CCE [ 80 C, 80CCC &amp; 80CCD(i) ]")</f>
        <v>UNDER SECTION 80 CCE [ 80 C, 80CCC &amp; 80CCD(i) ]</v>
      </c>
      <c r="D51" s="1137"/>
      <c r="E51" s="1137"/>
      <c r="F51" s="845"/>
      <c r="G51" s="845"/>
      <c r="H51" s="845"/>
      <c r="I51" s="845"/>
      <c r="J51" s="846"/>
      <c r="K51" s="847"/>
      <c r="L51" s="704">
        <f>IF(I66=I70,"",1)</f>
        <v>1</v>
      </c>
      <c r="M51" s="899"/>
      <c r="N51" s="899"/>
      <c r="O51" s="899"/>
      <c r="P51" s="899"/>
      <c r="Q51" s="899"/>
      <c r="R51" s="899"/>
      <c r="S51" s="899"/>
      <c r="T51" s="899"/>
      <c r="U51" s="899"/>
      <c r="V51" s="899"/>
      <c r="W51" s="899"/>
      <c r="X51" s="899"/>
      <c r="Y51" s="899"/>
      <c r="Z51" s="899"/>
      <c r="AA51" s="900"/>
      <c r="AB51" s="900"/>
      <c r="AC51" s="900"/>
      <c r="AD51" s="900"/>
      <c r="AE51" s="900"/>
      <c r="AF51" s="900"/>
      <c r="AG51" s="900"/>
      <c r="AH51" s="900"/>
      <c r="AI51" s="900"/>
      <c r="AJ51" s="900"/>
      <c r="AK51" s="900"/>
      <c r="AL51" s="900"/>
      <c r="AM51" s="900"/>
      <c r="AN51" s="900"/>
      <c r="AO51" s="900"/>
    </row>
    <row r="52" spans="1:41" ht="15" customHeight="1">
      <c r="A52" s="800"/>
      <c r="B52" s="801" t="s">
        <v>1390</v>
      </c>
      <c r="C52" s="1137" t="s">
        <v>1732</v>
      </c>
      <c r="D52" s="1137"/>
      <c r="E52" s="801"/>
      <c r="F52" s="820"/>
      <c r="G52" s="820"/>
      <c r="H52" s="820"/>
      <c r="I52" s="820"/>
      <c r="J52" s="813"/>
      <c r="K52" s="816"/>
      <c r="L52" s="705">
        <v>1</v>
      </c>
      <c r="M52" s="899"/>
      <c r="N52" s="899"/>
      <c r="O52" s="899"/>
      <c r="P52" s="899"/>
      <c r="Q52" s="899"/>
      <c r="R52" s="899"/>
      <c r="S52" s="899"/>
      <c r="T52" s="899"/>
      <c r="U52" s="899"/>
      <c r="V52" s="899"/>
      <c r="W52" s="899"/>
      <c r="X52" s="899"/>
      <c r="Y52" s="899"/>
      <c r="Z52" s="899"/>
      <c r="AA52" s="900"/>
      <c r="AB52" s="900"/>
      <c r="AC52" s="900"/>
      <c r="AD52" s="900"/>
      <c r="AE52" s="900"/>
      <c r="AF52" s="900"/>
      <c r="AG52" s="900"/>
      <c r="AH52" s="900"/>
      <c r="AI52" s="900"/>
      <c r="AJ52" s="900"/>
      <c r="AK52" s="900"/>
      <c r="AL52" s="900"/>
      <c r="AM52" s="900"/>
      <c r="AN52" s="900"/>
      <c r="AO52" s="900"/>
    </row>
    <row r="53" spans="1:41" ht="15" hidden="1" customHeight="1">
      <c r="A53" s="800"/>
      <c r="B53" s="801"/>
      <c r="C53" s="801" t="str">
        <f t="shared" ref="C53:C62" si="9">IF(G53=0,"",LOOKUP(M53,$P$9:$Q$22))</f>
        <v/>
      </c>
      <c r="D53" s="802" t="str">
        <f>IF(Main!F22=Main!CA24,"",CONCATENATE(Main!F22," ( No: ",Main!H22," )"))</f>
        <v/>
      </c>
      <c r="E53" s="801"/>
      <c r="F53" s="813" t="str">
        <f t="shared" ref="F53:F68" si="10">IF(G53=0,"","Rs:")</f>
        <v/>
      </c>
      <c r="G53" s="848">
        <f>IF(Main!F22=Main!CA24,0,Statement!O28)</f>
        <v>0</v>
      </c>
      <c r="H53" s="820"/>
      <c r="I53" s="820"/>
      <c r="J53" s="813"/>
      <c r="K53" s="816"/>
      <c r="L53" s="703" t="str">
        <f>IF(G53=0,"",1)</f>
        <v/>
      </c>
      <c r="M53" s="899">
        <f>SUM($L$53:L53)</f>
        <v>0</v>
      </c>
      <c r="N53" s="899"/>
      <c r="O53" s="899"/>
      <c r="P53" s="899"/>
      <c r="Q53" s="899"/>
      <c r="R53" s="899"/>
      <c r="S53" s="899"/>
      <c r="T53" s="899"/>
      <c r="U53" s="899"/>
      <c r="V53" s="899"/>
      <c r="W53" s="899"/>
      <c r="X53" s="899"/>
      <c r="Y53" s="899"/>
      <c r="Z53" s="899"/>
      <c r="AA53" s="900"/>
      <c r="AB53" s="900"/>
      <c r="AC53" s="900"/>
      <c r="AD53" s="900"/>
      <c r="AE53" s="900"/>
      <c r="AF53" s="900"/>
      <c r="AG53" s="900"/>
      <c r="AH53" s="900"/>
      <c r="AI53" s="900"/>
      <c r="AJ53" s="900"/>
      <c r="AK53" s="900"/>
      <c r="AL53" s="900"/>
      <c r="AM53" s="900"/>
      <c r="AN53" s="900"/>
      <c r="AO53" s="900"/>
    </row>
    <row r="54" spans="1:41" ht="15" customHeight="1">
      <c r="A54" s="800"/>
      <c r="B54" s="801"/>
      <c r="C54" s="801" t="str">
        <f t="shared" si="9"/>
        <v>a)</v>
      </c>
      <c r="D54" s="1138" t="str">
        <f>CONCATENATE(Statement!P3," ( No: ",Main!H23," )")</f>
        <v>APGLI ( No: 2008299A )</v>
      </c>
      <c r="E54" s="1138"/>
      <c r="F54" s="813" t="str">
        <f t="shared" si="10"/>
        <v>Rs:</v>
      </c>
      <c r="G54" s="814">
        <f>Statement!P28</f>
        <v>9000</v>
      </c>
      <c r="H54" s="813" t="str">
        <f t="shared" ref="H54:H70" si="11">IF(I54=0,"","Rs:")</f>
        <v/>
      </c>
      <c r="I54" s="814"/>
      <c r="J54" s="814"/>
      <c r="K54" s="816"/>
      <c r="L54" s="703">
        <f>IF(G54=0,"",1)</f>
        <v>1</v>
      </c>
      <c r="M54" s="899">
        <f>SUM($L$53:L54)</f>
        <v>1</v>
      </c>
      <c r="N54" s="899"/>
      <c r="O54" s="899"/>
      <c r="P54" s="899"/>
      <c r="Q54" s="899"/>
      <c r="R54" s="899"/>
      <c r="S54" s="899"/>
      <c r="T54" s="899"/>
      <c r="U54" s="899"/>
      <c r="V54" s="899"/>
      <c r="W54" s="899"/>
      <c r="X54" s="899"/>
      <c r="Y54" s="899"/>
      <c r="Z54" s="899"/>
      <c r="AA54" s="900"/>
      <c r="AB54" s="900"/>
      <c r="AC54" s="900"/>
      <c r="AD54" s="900"/>
      <c r="AE54" s="900"/>
      <c r="AF54" s="900"/>
      <c r="AG54" s="900"/>
      <c r="AH54" s="900"/>
      <c r="AI54" s="900"/>
      <c r="AJ54" s="900"/>
      <c r="AK54" s="900"/>
      <c r="AL54" s="900"/>
      <c r="AM54" s="900"/>
      <c r="AN54" s="900"/>
      <c r="AO54" s="900"/>
    </row>
    <row r="55" spans="1:41" ht="15" customHeight="1">
      <c r="A55" s="800"/>
      <c r="B55" s="801"/>
      <c r="C55" s="801" t="str">
        <f t="shared" si="9"/>
        <v>b)</v>
      </c>
      <c r="D55" s="1138" t="str">
        <f>Statement!Q3</f>
        <v>G.I.S</v>
      </c>
      <c r="E55" s="1138"/>
      <c r="F55" s="813" t="str">
        <f t="shared" si="10"/>
        <v>Rs:</v>
      </c>
      <c r="G55" s="814">
        <f>Statement!Q28</f>
        <v>720</v>
      </c>
      <c r="H55" s="813" t="str">
        <f t="shared" si="11"/>
        <v/>
      </c>
      <c r="I55" s="814"/>
      <c r="J55" s="814"/>
      <c r="K55" s="816"/>
      <c r="L55" s="703">
        <f t="shared" ref="L55:L61" si="12">IF(G55=0,"",1)</f>
        <v>1</v>
      </c>
      <c r="M55" s="899">
        <f>SUM($L$53:L55)</f>
        <v>2</v>
      </c>
      <c r="N55" s="899"/>
      <c r="O55" s="899"/>
      <c r="P55" s="899"/>
      <c r="Q55" s="899"/>
      <c r="R55" s="899"/>
      <c r="S55" s="899"/>
      <c r="T55" s="899"/>
      <c r="U55" s="899"/>
      <c r="V55" s="899"/>
      <c r="W55" s="899"/>
      <c r="X55" s="899"/>
      <c r="Y55" s="899"/>
      <c r="Z55" s="899"/>
      <c r="AA55" s="900"/>
      <c r="AB55" s="900"/>
      <c r="AC55" s="900"/>
      <c r="AD55" s="900"/>
      <c r="AE55" s="900"/>
      <c r="AF55" s="900"/>
      <c r="AG55" s="900"/>
      <c r="AH55" s="900"/>
      <c r="AI55" s="900"/>
      <c r="AJ55" s="900"/>
      <c r="AK55" s="900"/>
      <c r="AL55" s="900"/>
      <c r="AM55" s="900"/>
      <c r="AN55" s="900"/>
      <c r="AO55" s="900"/>
    </row>
    <row r="56" spans="1:41" ht="15" hidden="1" customHeight="1">
      <c r="A56" s="800"/>
      <c r="B56" s="801"/>
      <c r="C56" s="801" t="str">
        <f t="shared" si="9"/>
        <v/>
      </c>
      <c r="D56" s="1138" t="str">
        <f>IF(G56=0,"",CONCATENATE(Statement!U3," (  ",Main!H25," ) "))</f>
        <v/>
      </c>
      <c r="E56" s="1138"/>
      <c r="F56" s="813" t="str">
        <f t="shared" si="10"/>
        <v/>
      </c>
      <c r="G56" s="814">
        <f>Statement!U28</f>
        <v>0</v>
      </c>
      <c r="H56" s="813" t="str">
        <f t="shared" si="11"/>
        <v/>
      </c>
      <c r="I56" s="814"/>
      <c r="J56" s="814"/>
      <c r="K56" s="816"/>
      <c r="L56" s="703" t="str">
        <f t="shared" si="12"/>
        <v/>
      </c>
      <c r="M56" s="899">
        <f>SUM($L$53:L56)</f>
        <v>2</v>
      </c>
      <c r="N56" s="899"/>
      <c r="O56" s="899"/>
      <c r="P56" s="899"/>
      <c r="Q56" s="899"/>
      <c r="R56" s="899"/>
      <c r="S56" s="899"/>
      <c r="T56" s="899"/>
      <c r="U56" s="899"/>
      <c r="V56" s="899"/>
      <c r="W56" s="899"/>
      <c r="X56" s="899"/>
      <c r="Y56" s="899"/>
      <c r="Z56" s="899"/>
      <c r="AA56" s="900"/>
      <c r="AB56" s="900"/>
      <c r="AC56" s="900"/>
      <c r="AD56" s="900"/>
      <c r="AE56" s="900"/>
      <c r="AF56" s="900"/>
      <c r="AG56" s="900"/>
      <c r="AH56" s="900"/>
      <c r="AI56" s="900"/>
      <c r="AJ56" s="900"/>
      <c r="AK56" s="900"/>
      <c r="AL56" s="900"/>
      <c r="AM56" s="900"/>
      <c r="AN56" s="900"/>
      <c r="AO56" s="900"/>
    </row>
    <row r="57" spans="1:41" ht="15" hidden="1" customHeight="1">
      <c r="A57" s="800"/>
      <c r="B57" s="801"/>
      <c r="C57" s="801" t="str">
        <f t="shared" si="9"/>
        <v/>
      </c>
      <c r="D57" s="1138" t="str">
        <f>IF(G57=0,"",Main!A29)</f>
        <v/>
      </c>
      <c r="E57" s="1138"/>
      <c r="F57" s="813" t="str">
        <f t="shared" si="10"/>
        <v/>
      </c>
      <c r="G57" s="814">
        <f>Main!D29</f>
        <v>0</v>
      </c>
      <c r="H57" s="813" t="str">
        <f t="shared" si="11"/>
        <v/>
      </c>
      <c r="I57" s="814"/>
      <c r="J57" s="814"/>
      <c r="K57" s="816"/>
      <c r="L57" s="703" t="str">
        <f t="shared" si="12"/>
        <v/>
      </c>
      <c r="M57" s="899">
        <f>SUM($L$53:L57)</f>
        <v>2</v>
      </c>
      <c r="N57" s="899"/>
      <c r="O57" s="899"/>
      <c r="P57" s="899"/>
      <c r="Q57" s="899"/>
      <c r="R57" s="899"/>
      <c r="S57" s="899"/>
      <c r="T57" s="899"/>
      <c r="U57" s="899"/>
      <c r="V57" s="899"/>
      <c r="W57" s="899"/>
      <c r="X57" s="899"/>
      <c r="Y57" s="899"/>
      <c r="Z57" s="899"/>
      <c r="AA57" s="900"/>
      <c r="AB57" s="900"/>
      <c r="AC57" s="900"/>
      <c r="AD57" s="900"/>
      <c r="AE57" s="900"/>
      <c r="AF57" s="900"/>
      <c r="AG57" s="900"/>
      <c r="AH57" s="900"/>
      <c r="AI57" s="900"/>
      <c r="AJ57" s="900"/>
      <c r="AK57" s="900"/>
      <c r="AL57" s="900"/>
      <c r="AM57" s="900"/>
      <c r="AN57" s="900"/>
      <c r="AO57" s="900"/>
    </row>
    <row r="58" spans="1:41" ht="15" hidden="1" customHeight="1">
      <c r="A58" s="800"/>
      <c r="B58" s="801"/>
      <c r="C58" s="801" t="str">
        <f t="shared" si="9"/>
        <v/>
      </c>
      <c r="D58" s="1138" t="str">
        <f>IF(G58=0,"",Main!A30)</f>
        <v/>
      </c>
      <c r="E58" s="1138"/>
      <c r="F58" s="813" t="str">
        <f t="shared" si="10"/>
        <v/>
      </c>
      <c r="G58" s="814">
        <f>Main!D30</f>
        <v>0</v>
      </c>
      <c r="H58" s="813" t="str">
        <f t="shared" si="11"/>
        <v/>
      </c>
      <c r="I58" s="814"/>
      <c r="J58" s="814"/>
      <c r="K58" s="816"/>
      <c r="L58" s="703" t="str">
        <f t="shared" si="12"/>
        <v/>
      </c>
      <c r="M58" s="899">
        <f>SUM($L$53:L58)</f>
        <v>2</v>
      </c>
      <c r="N58" s="899"/>
      <c r="O58" s="899"/>
      <c r="P58" s="899"/>
      <c r="Q58" s="899"/>
      <c r="R58" s="899"/>
      <c r="S58" s="899"/>
      <c r="T58" s="899"/>
      <c r="U58" s="899"/>
      <c r="V58" s="899"/>
      <c r="W58" s="899"/>
      <c r="X58" s="899"/>
      <c r="Y58" s="899"/>
      <c r="Z58" s="899"/>
      <c r="AA58" s="900"/>
      <c r="AB58" s="900"/>
      <c r="AC58" s="900"/>
      <c r="AD58" s="900"/>
      <c r="AE58" s="900"/>
      <c r="AF58" s="900"/>
      <c r="AG58" s="900"/>
      <c r="AH58" s="900"/>
      <c r="AI58" s="900"/>
      <c r="AJ58" s="900"/>
      <c r="AK58" s="900"/>
      <c r="AL58" s="900"/>
      <c r="AM58" s="900"/>
      <c r="AN58" s="900"/>
      <c r="AO58" s="900"/>
    </row>
    <row r="59" spans="1:41" ht="15" customHeight="1">
      <c r="A59" s="800"/>
      <c r="B59" s="801"/>
      <c r="C59" s="801" t="str">
        <f t="shared" si="9"/>
        <v/>
      </c>
      <c r="D59" s="1138" t="str">
        <f>IF(G59=0,"",Main!A31)</f>
        <v/>
      </c>
      <c r="E59" s="1138"/>
      <c r="F59" s="813" t="str">
        <f t="shared" si="10"/>
        <v/>
      </c>
      <c r="G59" s="814">
        <f>Main!D31</f>
        <v>0</v>
      </c>
      <c r="H59" s="813" t="str">
        <f t="shared" si="11"/>
        <v/>
      </c>
      <c r="I59" s="814"/>
      <c r="J59" s="814"/>
      <c r="K59" s="816"/>
      <c r="L59" s="703" t="str">
        <f t="shared" si="12"/>
        <v/>
      </c>
      <c r="M59" s="899">
        <f>SUM($L$53:L59)</f>
        <v>2</v>
      </c>
      <c r="N59" s="899"/>
      <c r="O59" s="899"/>
      <c r="P59" s="899"/>
      <c r="Q59" s="899"/>
      <c r="R59" s="899"/>
      <c r="S59" s="899"/>
      <c r="T59" s="899"/>
      <c r="U59" s="899"/>
      <c r="V59" s="899"/>
      <c r="W59" s="899"/>
      <c r="X59" s="899"/>
      <c r="Y59" s="899"/>
      <c r="Z59" s="899"/>
      <c r="AA59" s="900"/>
      <c r="AB59" s="900"/>
      <c r="AC59" s="900"/>
      <c r="AD59" s="900"/>
      <c r="AE59" s="900"/>
      <c r="AF59" s="900"/>
      <c r="AG59" s="900"/>
      <c r="AH59" s="900"/>
      <c r="AI59" s="900"/>
      <c r="AJ59" s="900"/>
      <c r="AK59" s="900"/>
      <c r="AL59" s="900"/>
      <c r="AM59" s="900"/>
      <c r="AN59" s="900"/>
      <c r="AO59" s="900"/>
    </row>
    <row r="60" spans="1:41" ht="15" customHeight="1">
      <c r="A60" s="800"/>
      <c r="B60" s="801"/>
      <c r="C60" s="801" t="str">
        <f t="shared" si="9"/>
        <v>c)</v>
      </c>
      <c r="D60" s="1138" t="str">
        <f>IF(G60=0,"",Main!A32)</f>
        <v>Tuition Fee- Two Children</v>
      </c>
      <c r="E60" s="1138"/>
      <c r="F60" s="813" t="str">
        <f t="shared" si="10"/>
        <v>Rs:</v>
      </c>
      <c r="G60" s="814">
        <f>Main!D32</f>
        <v>130000</v>
      </c>
      <c r="H60" s="813" t="str">
        <f t="shared" si="11"/>
        <v/>
      </c>
      <c r="I60" s="814"/>
      <c r="J60" s="814"/>
      <c r="K60" s="816"/>
      <c r="L60" s="703">
        <f t="shared" si="12"/>
        <v>1</v>
      </c>
      <c r="M60" s="899">
        <f>SUM($L$53:L60)</f>
        <v>3</v>
      </c>
      <c r="N60" s="899"/>
      <c r="O60" s="899"/>
      <c r="P60" s="899"/>
      <c r="Q60" s="899"/>
      <c r="R60" s="899"/>
      <c r="S60" s="899"/>
      <c r="T60" s="899"/>
      <c r="U60" s="899"/>
      <c r="V60" s="899"/>
      <c r="W60" s="899"/>
      <c r="X60" s="899"/>
      <c r="Y60" s="899"/>
      <c r="Z60" s="899"/>
      <c r="AA60" s="900"/>
      <c r="AB60" s="900"/>
      <c r="AC60" s="900"/>
      <c r="AD60" s="900"/>
      <c r="AE60" s="900"/>
      <c r="AF60" s="900"/>
      <c r="AG60" s="900"/>
      <c r="AH60" s="900"/>
      <c r="AI60" s="900"/>
      <c r="AJ60" s="900"/>
      <c r="AK60" s="900"/>
      <c r="AL60" s="900"/>
      <c r="AM60" s="900"/>
      <c r="AN60" s="900"/>
      <c r="AO60" s="900"/>
    </row>
    <row r="61" spans="1:41" ht="15" hidden="1" customHeight="1">
      <c r="A61" s="800"/>
      <c r="B61" s="801"/>
      <c r="C61" s="801" t="str">
        <f t="shared" si="9"/>
        <v/>
      </c>
      <c r="D61" s="1138" t="str">
        <f>IF(G61=0,"",Main!A33)</f>
        <v/>
      </c>
      <c r="E61" s="1138"/>
      <c r="F61" s="813" t="str">
        <f t="shared" si="10"/>
        <v/>
      </c>
      <c r="G61" s="814">
        <f>Main!D33</f>
        <v>0</v>
      </c>
      <c r="H61" s="813" t="str">
        <f t="shared" si="11"/>
        <v/>
      </c>
      <c r="I61" s="814"/>
      <c r="J61" s="814"/>
      <c r="K61" s="816"/>
      <c r="L61" s="703" t="str">
        <f t="shared" si="12"/>
        <v/>
      </c>
      <c r="M61" s="899">
        <f>SUM($L$53:L61)</f>
        <v>3</v>
      </c>
      <c r="N61" s="899"/>
      <c r="O61" s="899"/>
      <c r="P61" s="899"/>
      <c r="Q61" s="899"/>
      <c r="R61" s="899"/>
      <c r="S61" s="899"/>
      <c r="T61" s="899"/>
      <c r="U61" s="899"/>
      <c r="V61" s="899"/>
      <c r="W61" s="899"/>
      <c r="X61" s="899"/>
      <c r="Y61" s="899"/>
      <c r="Z61" s="899"/>
      <c r="AA61" s="900"/>
      <c r="AB61" s="900"/>
      <c r="AC61" s="900"/>
      <c r="AD61" s="900"/>
      <c r="AE61" s="900"/>
      <c r="AF61" s="900"/>
      <c r="AG61" s="900"/>
      <c r="AH61" s="900"/>
      <c r="AI61" s="900"/>
      <c r="AJ61" s="900"/>
      <c r="AK61" s="900"/>
      <c r="AL61" s="900"/>
      <c r="AM61" s="900"/>
      <c r="AN61" s="900"/>
      <c r="AO61" s="900"/>
    </row>
    <row r="62" spans="1:41" ht="15" hidden="1" customHeight="1">
      <c r="A62" s="800"/>
      <c r="B62" s="801"/>
      <c r="C62" s="801" t="str">
        <f t="shared" si="9"/>
        <v/>
      </c>
      <c r="D62" s="1138" t="str">
        <f>IF(G62=0,"",Main!A34)</f>
        <v/>
      </c>
      <c r="E62" s="1138"/>
      <c r="F62" s="813" t="str">
        <f t="shared" si="10"/>
        <v/>
      </c>
      <c r="G62" s="814">
        <f>Main!D34</f>
        <v>0</v>
      </c>
      <c r="H62" s="813" t="str">
        <f t="shared" si="11"/>
        <v/>
      </c>
      <c r="I62" s="814"/>
      <c r="J62" s="814"/>
      <c r="K62" s="816"/>
      <c r="L62" s="703" t="str">
        <f>IF(G62=0,"",1)</f>
        <v/>
      </c>
      <c r="M62" s="899">
        <f>SUM($L$53:L62)</f>
        <v>3</v>
      </c>
      <c r="N62" s="899"/>
      <c r="O62" s="899"/>
      <c r="P62" s="899"/>
      <c r="Q62" s="899"/>
      <c r="R62" s="899"/>
      <c r="S62" s="899"/>
      <c r="T62" s="899"/>
      <c r="U62" s="899"/>
      <c r="V62" s="899"/>
      <c r="W62" s="899"/>
      <c r="X62" s="899"/>
      <c r="Y62" s="899"/>
      <c r="Z62" s="899"/>
      <c r="AA62" s="900"/>
      <c r="AB62" s="900"/>
      <c r="AC62" s="900"/>
      <c r="AD62" s="900"/>
      <c r="AE62" s="900"/>
      <c r="AF62" s="900"/>
      <c r="AG62" s="900"/>
      <c r="AH62" s="900"/>
      <c r="AI62" s="900"/>
      <c r="AJ62" s="900"/>
      <c r="AK62" s="900"/>
      <c r="AL62" s="900"/>
      <c r="AM62" s="900"/>
      <c r="AN62" s="900"/>
      <c r="AO62" s="900"/>
    </row>
    <row r="63" spans="1:41" ht="15" customHeight="1">
      <c r="A63" s="800"/>
      <c r="B63" s="801"/>
      <c r="C63" s="801" t="str">
        <f>LOOKUP(M63,$P$10:$Q$22)</f>
        <v>d)</v>
      </c>
      <c r="D63" s="1138" t="str">
        <f>Main!A35</f>
        <v>Others</v>
      </c>
      <c r="E63" s="1138"/>
      <c r="F63" s="813" t="str">
        <f t="shared" si="10"/>
        <v/>
      </c>
      <c r="G63" s="814">
        <f>Main!D35</f>
        <v>0</v>
      </c>
      <c r="H63" s="813" t="str">
        <f t="shared" si="11"/>
        <v>Rs:</v>
      </c>
      <c r="I63" s="822">
        <f>SUM(G53:G63)</f>
        <v>139720</v>
      </c>
      <c r="J63" s="813" t="str">
        <f>IF(K63=0,"","Rs:")</f>
        <v>Rs:</v>
      </c>
      <c r="K63" s="849">
        <f>MIN(I63,150000)</f>
        <v>139720</v>
      </c>
      <c r="L63" s="703">
        <v>1</v>
      </c>
      <c r="M63" s="899">
        <f>SUM($L$53:L63)</f>
        <v>4</v>
      </c>
      <c r="N63" s="899"/>
      <c r="O63" s="899"/>
      <c r="P63" s="899">
        <v>1</v>
      </c>
      <c r="Q63" s="899" t="s">
        <v>1644</v>
      </c>
      <c r="R63" s="899"/>
      <c r="S63" s="899"/>
      <c r="T63" s="899"/>
      <c r="U63" s="899"/>
      <c r="V63" s="899"/>
      <c r="W63" s="899"/>
      <c r="X63" s="899"/>
      <c r="Y63" s="899"/>
      <c r="Z63" s="899"/>
      <c r="AA63" s="900"/>
      <c r="AB63" s="900"/>
      <c r="AC63" s="900"/>
      <c r="AD63" s="900"/>
      <c r="AE63" s="900"/>
      <c r="AF63" s="900"/>
      <c r="AG63" s="900"/>
      <c r="AH63" s="900"/>
      <c r="AI63" s="900"/>
      <c r="AJ63" s="900"/>
      <c r="AK63" s="900"/>
      <c r="AL63" s="900"/>
      <c r="AM63" s="900"/>
      <c r="AN63" s="900"/>
      <c r="AO63" s="900"/>
    </row>
    <row r="64" spans="1:41" ht="16.5" hidden="1" customHeight="1">
      <c r="A64" s="800"/>
      <c r="B64" s="801" t="str">
        <f>IF(K64&gt;0,"B)","")</f>
        <v/>
      </c>
      <c r="C64" s="1137" t="str">
        <f>IF(K64&gt;0,"Section 80CCC","")</f>
        <v/>
      </c>
      <c r="D64" s="1137"/>
      <c r="E64" s="1137"/>
      <c r="F64" s="813" t="str">
        <f t="shared" si="10"/>
        <v/>
      </c>
      <c r="G64" s="814"/>
      <c r="H64" s="813" t="str">
        <f t="shared" si="11"/>
        <v/>
      </c>
      <c r="I64" s="814">
        <f>Main!D36</f>
        <v>0</v>
      </c>
      <c r="J64" s="813" t="str">
        <f>IF(H64="","","Rs:")</f>
        <v/>
      </c>
      <c r="K64" s="849">
        <f>MIN(I64,150000-K63)</f>
        <v>0</v>
      </c>
      <c r="L64" s="704" t="str">
        <f>IF(K64=0,"",1)</f>
        <v/>
      </c>
      <c r="M64" s="899">
        <f>SUM($L$63:L64)</f>
        <v>1</v>
      </c>
      <c r="N64" s="899"/>
      <c r="O64" s="899"/>
      <c r="P64" s="899">
        <v>2</v>
      </c>
      <c r="Q64" s="899" t="s">
        <v>1955</v>
      </c>
      <c r="R64" s="899"/>
      <c r="S64" s="899"/>
      <c r="T64" s="899"/>
      <c r="U64" s="899"/>
      <c r="V64" s="899"/>
      <c r="W64" s="899"/>
      <c r="X64" s="899"/>
      <c r="Y64" s="899"/>
      <c r="Z64" s="899"/>
      <c r="AA64" s="900"/>
      <c r="AB64" s="900"/>
      <c r="AC64" s="900"/>
      <c r="AD64" s="900"/>
      <c r="AE64" s="900"/>
      <c r="AF64" s="900"/>
      <c r="AG64" s="900"/>
      <c r="AH64" s="900"/>
      <c r="AI64" s="900"/>
      <c r="AJ64" s="900"/>
      <c r="AK64" s="900"/>
      <c r="AL64" s="900"/>
      <c r="AM64" s="900"/>
      <c r="AN64" s="900"/>
      <c r="AO64" s="900"/>
    </row>
    <row r="65" spans="1:64" ht="27.75" customHeight="1">
      <c r="A65" s="800"/>
      <c r="B65" s="801" t="str">
        <f>IF(AND(I65&gt;0,I64&gt;0),"C)",IF(I65&gt;0,"B)",""))</f>
        <v>B)</v>
      </c>
      <c r="C65" s="1139" t="str">
        <f>IF(I65&gt;0,CONCATENATE("Section 80CCD (i) (CPS Employees Contribution)  ( ",Main!H22," )"),"")</f>
        <v>Section 80CCD (i) (CPS Employees Contribution)  ( . )</v>
      </c>
      <c r="D65" s="1139"/>
      <c r="E65" s="1139"/>
      <c r="F65" s="813" t="str">
        <f t="shared" si="10"/>
        <v/>
      </c>
      <c r="G65" s="814"/>
      <c r="H65" s="813" t="str">
        <f t="shared" si="11"/>
        <v>Rs:</v>
      </c>
      <c r="I65" s="814">
        <f>IF(Main!F22=Main!CA24,Statement!O28,0)</f>
        <v>70144</v>
      </c>
      <c r="J65" s="813" t="str">
        <f>IF(H65="","","Rs:")</f>
        <v>Rs:</v>
      </c>
      <c r="K65" s="850">
        <f>IF(I65=0,0,MIN(I65,150000-SUM(K63,K64)))</f>
        <v>10280</v>
      </c>
      <c r="L65" s="704">
        <f>IF(I65=0,"",1)</f>
        <v>1</v>
      </c>
      <c r="M65" s="899">
        <f>SUM($L$63:L65)</f>
        <v>2</v>
      </c>
      <c r="N65" s="899"/>
      <c r="O65" s="899"/>
      <c r="P65" s="899">
        <v>3</v>
      </c>
      <c r="Q65" s="899" t="s">
        <v>1954</v>
      </c>
      <c r="R65" s="899"/>
      <c r="S65" s="899"/>
      <c r="T65" s="899"/>
      <c r="U65" s="899"/>
      <c r="V65" s="899"/>
      <c r="W65" s="899"/>
      <c r="X65" s="899"/>
      <c r="Y65" s="899"/>
      <c r="Z65" s="899"/>
      <c r="AA65" s="900"/>
      <c r="AB65" s="900"/>
      <c r="AC65" s="900"/>
      <c r="AD65" s="900"/>
      <c r="AE65" s="900"/>
      <c r="AF65" s="900"/>
      <c r="AG65" s="900"/>
      <c r="AH65" s="900"/>
      <c r="AI65" s="900"/>
      <c r="AJ65" s="900"/>
      <c r="AK65" s="900"/>
      <c r="AL65" s="900"/>
      <c r="AM65" s="900"/>
      <c r="AN65" s="900"/>
      <c r="AO65" s="900"/>
    </row>
    <row r="66" spans="1:64" ht="16.5" customHeight="1">
      <c r="A66" s="800"/>
      <c r="B66" s="801"/>
      <c r="C66" s="1136" t="str">
        <f>IF(L66="","",CONCATENATE("Total  80CCE  ( Max Rs: 1,50,000/- ) {  ",VLOOKUP(M65,P63:Q65,2,TRUE),"   }   = "))</f>
        <v xml:space="preserve">Total  80CCE  ( Max Rs: 1,50,000/- ) {  (A) + (B)    }   = </v>
      </c>
      <c r="D66" s="1136"/>
      <c r="E66" s="1136"/>
      <c r="F66" s="813" t="str">
        <f t="shared" si="10"/>
        <v/>
      </c>
      <c r="G66" s="814"/>
      <c r="H66" s="813" t="str">
        <f>IF(I66=0,"","Rs:")</f>
        <v>Rs:</v>
      </c>
      <c r="I66" s="822">
        <f>SUM(I63:I65)</f>
        <v>209864</v>
      </c>
      <c r="J66" s="813" t="str">
        <f>IF(K66="","","Rs:")</f>
        <v>Rs:</v>
      </c>
      <c r="K66" s="849">
        <f>SUM(K63,K64,K65)</f>
        <v>150000</v>
      </c>
      <c r="L66" s="704">
        <f>IF(SUM(L64:L65)=0,"",1)</f>
        <v>1</v>
      </c>
      <c r="M66" s="899">
        <f>SUM($L$66:L66)</f>
        <v>1</v>
      </c>
      <c r="N66" s="899"/>
      <c r="O66" s="899"/>
      <c r="P66" s="899">
        <v>1</v>
      </c>
      <c r="Q66" s="899" t="s">
        <v>1925</v>
      </c>
      <c r="R66" s="899" t="s">
        <v>1928</v>
      </c>
      <c r="S66" s="899"/>
      <c r="T66" s="899"/>
      <c r="U66" s="899"/>
      <c r="V66" s="899"/>
      <c r="W66" s="899"/>
      <c r="X66" s="899"/>
      <c r="Y66" s="899"/>
      <c r="Z66" s="899"/>
      <c r="AA66" s="900"/>
      <c r="AB66" s="900"/>
      <c r="AC66" s="900"/>
      <c r="AD66" s="900"/>
      <c r="AE66" s="900"/>
      <c r="AF66" s="900"/>
      <c r="AG66" s="900"/>
      <c r="AH66" s="900"/>
      <c r="AI66" s="900"/>
      <c r="AJ66" s="900"/>
      <c r="AK66" s="900"/>
      <c r="AL66" s="900"/>
      <c r="AM66" s="900"/>
      <c r="AN66" s="900"/>
      <c r="AO66" s="900"/>
    </row>
    <row r="67" spans="1:64" ht="16.5" customHeight="1">
      <c r="A67" s="1135" t="str">
        <f>IF(I67=0,"","II)")</f>
        <v>II)</v>
      </c>
      <c r="B67" s="1136"/>
      <c r="C67" s="1137" t="str">
        <f>IF(I67=0,""," Section 80CCD (ii) [CPS Employers Contribution ]")</f>
        <v xml:space="preserve"> Section 80CCD (ii) [CPS Employers Contribution ]</v>
      </c>
      <c r="D67" s="1137"/>
      <c r="E67" s="1137"/>
      <c r="F67" s="813" t="str">
        <f t="shared" si="10"/>
        <v/>
      </c>
      <c r="G67" s="814"/>
      <c r="H67" s="813" t="str">
        <f t="shared" si="11"/>
        <v>Rs:</v>
      </c>
      <c r="I67" s="814">
        <f>IF(Main!F22=Main!CA24,Main!L14,0)</f>
        <v>70144</v>
      </c>
      <c r="J67" s="813" t="str">
        <f>IF(H67="","","Rs:")</f>
        <v>Rs:</v>
      </c>
      <c r="K67" s="850">
        <f>IF(I67=0,0,MIN(I67,I65))</f>
        <v>70144</v>
      </c>
      <c r="L67" s="704">
        <f>IF(K67=0,"",1)</f>
        <v>1</v>
      </c>
      <c r="M67" s="899">
        <f>SUM($L$66:L67)</f>
        <v>2</v>
      </c>
      <c r="N67" s="899"/>
      <c r="O67" s="899"/>
      <c r="P67" s="899">
        <v>2</v>
      </c>
      <c r="Q67" s="899" t="s">
        <v>1926</v>
      </c>
      <c r="R67" s="899" t="s">
        <v>1929</v>
      </c>
      <c r="S67" s="899"/>
      <c r="T67" s="899"/>
      <c r="U67" s="899"/>
      <c r="V67" s="899"/>
      <c r="W67" s="899"/>
      <c r="X67" s="899"/>
      <c r="Y67" s="899"/>
      <c r="Z67" s="899"/>
      <c r="AA67" s="900"/>
      <c r="AB67" s="900"/>
      <c r="AC67" s="900"/>
      <c r="AD67" s="900"/>
      <c r="AE67" s="900"/>
      <c r="AF67" s="900"/>
      <c r="AG67" s="900"/>
      <c r="AH67" s="900"/>
      <c r="AI67" s="900"/>
      <c r="AJ67" s="900"/>
      <c r="AK67" s="900"/>
      <c r="AL67" s="900"/>
      <c r="AM67" s="900"/>
      <c r="AN67" s="900"/>
      <c r="AO67" s="900"/>
      <c r="AU67" s="888" t="s">
        <v>1823</v>
      </c>
      <c r="BE67" s="905"/>
      <c r="BF67" s="905"/>
      <c r="BG67" s="905"/>
      <c r="BH67" s="905"/>
      <c r="BI67" s="905"/>
      <c r="BJ67" s="905"/>
      <c r="BK67" s="905"/>
      <c r="BL67" s="905"/>
    </row>
    <row r="68" spans="1:64" ht="16.5" hidden="1" customHeight="1">
      <c r="A68" s="1135" t="str">
        <f>IF(I68=0,"",IF(I67&gt;0,"III)","II)"))</f>
        <v/>
      </c>
      <c r="B68" s="1136"/>
      <c r="C68" s="1137" t="str">
        <f>IF(I68=0,"","Section 80 CCG (RGESS)")</f>
        <v/>
      </c>
      <c r="D68" s="1137"/>
      <c r="E68" s="1137"/>
      <c r="F68" s="813" t="str">
        <f t="shared" si="10"/>
        <v/>
      </c>
      <c r="G68" s="814"/>
      <c r="H68" s="813" t="str">
        <f>IF(I68=0,"","Rs:")</f>
        <v/>
      </c>
      <c r="I68" s="814">
        <f>Main!D37</f>
        <v>0</v>
      </c>
      <c r="J68" s="813" t="str">
        <f>IF(H68="","","Rs:")</f>
        <v/>
      </c>
      <c r="K68" s="850">
        <f>IF(K17&gt;=1200000,0,MIN(ROUND(I68/2,0),25000))</f>
        <v>0</v>
      </c>
      <c r="L68" s="704" t="str">
        <f>IF(A68="","",1)</f>
        <v/>
      </c>
      <c r="M68" s="899">
        <f>SUM($L$66:L68)</f>
        <v>2</v>
      </c>
      <c r="N68" s="899"/>
      <c r="O68" s="899"/>
      <c r="P68" s="899">
        <v>3</v>
      </c>
      <c r="Q68" s="899" t="s">
        <v>1924</v>
      </c>
      <c r="R68" s="899" t="s">
        <v>1930</v>
      </c>
      <c r="S68" s="899"/>
      <c r="T68" s="899"/>
      <c r="U68" s="899"/>
      <c r="V68" s="899"/>
      <c r="W68" s="899"/>
      <c r="X68" s="899"/>
      <c r="Y68" s="899"/>
      <c r="Z68" s="899"/>
      <c r="AA68" s="900"/>
      <c r="AB68" s="900"/>
      <c r="AC68" s="900"/>
      <c r="AD68" s="900"/>
      <c r="AE68" s="900"/>
      <c r="AF68" s="900"/>
      <c r="AG68" s="900"/>
      <c r="AH68" s="900"/>
      <c r="AI68" s="900"/>
      <c r="AJ68" s="900"/>
      <c r="AK68" s="900"/>
      <c r="AL68" s="900"/>
      <c r="AM68" s="900"/>
      <c r="AN68" s="900"/>
      <c r="AO68" s="900"/>
    </row>
    <row r="69" spans="1:64" ht="16.5" customHeight="1">
      <c r="A69" s="1135" t="str">
        <f>IF(I69=0,"",IF(AND(I68&gt;0,I69&gt;0,I67&gt;0),"IV)",IF(AND(I68=0,I67&gt;0),"III)","II)")))</f>
        <v>III)</v>
      </c>
      <c r="B69" s="1136"/>
      <c r="C69" s="1137" t="str">
        <f>IF(I69=0,"","Additional contribution towards NPS [u/s 80CCD(1B)]")</f>
        <v>Additional contribution towards NPS [u/s 80CCD(1B)]</v>
      </c>
      <c r="D69" s="1137"/>
      <c r="E69" s="1137"/>
      <c r="F69" s="813"/>
      <c r="G69" s="814"/>
      <c r="H69" s="813" t="str">
        <f>IF(I69=0,"","Rs:")</f>
        <v>Rs:</v>
      </c>
      <c r="I69" s="814">
        <f>Main!M14</f>
        <v>59864</v>
      </c>
      <c r="J69" s="813" t="str">
        <f>IF(H69="","","Rs:")</f>
        <v>Rs:</v>
      </c>
      <c r="K69" s="850">
        <f>MIN(I69,50000)</f>
        <v>50000</v>
      </c>
      <c r="L69" s="704">
        <f>IF(A69="","",1)</f>
        <v>1</v>
      </c>
      <c r="M69" s="899">
        <f>SUM($L$66:L69)</f>
        <v>3</v>
      </c>
      <c r="N69" s="899"/>
      <c r="O69" s="899"/>
      <c r="P69" s="899">
        <v>4</v>
      </c>
      <c r="Q69" s="899" t="s">
        <v>1927</v>
      </c>
      <c r="R69" s="899" t="s">
        <v>1931</v>
      </c>
      <c r="S69" s="899"/>
      <c r="T69" s="899"/>
      <c r="U69" s="899"/>
      <c r="V69" s="899"/>
      <c r="W69" s="899"/>
      <c r="X69" s="899"/>
      <c r="Y69" s="899"/>
      <c r="Z69" s="899"/>
      <c r="AA69" s="900"/>
      <c r="AB69" s="900"/>
      <c r="AC69" s="900"/>
      <c r="AD69" s="900"/>
      <c r="AE69" s="900"/>
      <c r="AF69" s="900"/>
      <c r="AG69" s="900"/>
      <c r="AH69" s="900"/>
      <c r="AI69" s="900"/>
      <c r="AJ69" s="900"/>
      <c r="AK69" s="900"/>
      <c r="AL69" s="900"/>
      <c r="AM69" s="900"/>
      <c r="AN69" s="900"/>
      <c r="AO69" s="900"/>
    </row>
    <row r="70" spans="1:64" ht="16.5" customHeight="1">
      <c r="A70" s="800"/>
      <c r="B70" s="1136" t="str">
        <f>IF(M69&gt;1,CONCATENATE("Total Savings [ ", VLOOKUP(M69,P66:R69,3), " ]"),"")</f>
        <v>Total Savings [ ( I ) + ( II ) + ( III ) ]</v>
      </c>
      <c r="C70" s="1136"/>
      <c r="D70" s="1136"/>
      <c r="E70" s="1136"/>
      <c r="F70" s="813"/>
      <c r="G70" s="814"/>
      <c r="H70" s="813" t="str">
        <f t="shared" si="11"/>
        <v>Rs:</v>
      </c>
      <c r="I70" s="822">
        <f>SUM(I66:I69)</f>
        <v>339872</v>
      </c>
      <c r="J70" s="813" t="s">
        <v>7</v>
      </c>
      <c r="K70" s="838">
        <f>SUM(K66:K69)</f>
        <v>270144</v>
      </c>
      <c r="L70" s="704">
        <f>IF(B70="","",1)</f>
        <v>1</v>
      </c>
      <c r="M70" s="899"/>
      <c r="N70" s="899"/>
      <c r="O70" s="899"/>
      <c r="P70" s="899"/>
      <c r="Q70" s="899"/>
      <c r="R70" s="899"/>
      <c r="S70" s="899"/>
      <c r="T70" s="899"/>
      <c r="U70" s="899"/>
      <c r="V70" s="899"/>
      <c r="W70" s="899"/>
      <c r="X70" s="899"/>
      <c r="Y70" s="899"/>
      <c r="Z70" s="899"/>
      <c r="AA70" s="900"/>
      <c r="AB70" s="900"/>
      <c r="AC70" s="900"/>
      <c r="AD70" s="900"/>
      <c r="AE70" s="900"/>
      <c r="AF70" s="900"/>
      <c r="AG70" s="900"/>
      <c r="AH70" s="900"/>
      <c r="AI70" s="900"/>
      <c r="AJ70" s="900"/>
      <c r="AK70" s="900"/>
      <c r="AL70" s="900"/>
      <c r="AM70" s="900"/>
      <c r="AN70" s="900"/>
      <c r="AO70" s="900"/>
    </row>
    <row r="71" spans="1:64" ht="15" customHeight="1">
      <c r="A71" s="800">
        <v>15</v>
      </c>
      <c r="B71" s="1140" t="s">
        <v>8</v>
      </c>
      <c r="C71" s="1140"/>
      <c r="D71" s="1140"/>
      <c r="E71" s="844"/>
      <c r="F71" s="813"/>
      <c r="G71" s="814"/>
      <c r="H71" s="820"/>
      <c r="I71" s="851"/>
      <c r="J71" s="813" t="s">
        <v>7</v>
      </c>
      <c r="K71" s="852">
        <f>K49-K70</f>
        <v>653458</v>
      </c>
      <c r="L71" s="704">
        <v>1</v>
      </c>
      <c r="M71" s="906"/>
      <c r="N71" s="906"/>
      <c r="O71" s="906"/>
      <c r="P71" s="906"/>
      <c r="Q71" s="906"/>
      <c r="R71" s="906"/>
      <c r="S71" s="906"/>
      <c r="T71" s="906"/>
      <c r="U71" s="906"/>
      <c r="V71" s="906"/>
      <c r="W71" s="906"/>
      <c r="X71" s="906"/>
      <c r="Y71" s="906"/>
      <c r="Z71" s="906"/>
      <c r="AA71" s="907"/>
      <c r="AB71" s="907"/>
      <c r="AC71" s="907"/>
      <c r="AD71" s="907"/>
      <c r="AE71" s="907"/>
      <c r="AF71" s="907"/>
      <c r="AG71" s="907"/>
      <c r="AH71" s="907"/>
      <c r="AI71" s="907"/>
      <c r="AJ71" s="907"/>
      <c r="AK71" s="907"/>
      <c r="AL71" s="907"/>
      <c r="AM71" s="907"/>
      <c r="AN71" s="907"/>
      <c r="AO71" s="907"/>
      <c r="AV71" s="888" t="s">
        <v>1479</v>
      </c>
      <c r="AW71" s="888" t="s">
        <v>1480</v>
      </c>
      <c r="AX71" s="888" t="s">
        <v>1481</v>
      </c>
      <c r="AY71" s="888" t="s">
        <v>1414</v>
      </c>
      <c r="BA71" s="567" t="s">
        <v>1414</v>
      </c>
      <c r="BB71" s="567">
        <f ca="1">SUM(AY72:AY75)</f>
        <v>55692</v>
      </c>
      <c r="BD71" s="888"/>
      <c r="BE71" s="888"/>
      <c r="BF71" s="888"/>
      <c r="BG71" s="888"/>
      <c r="BH71" s="888"/>
      <c r="BI71" s="888"/>
    </row>
    <row r="72" spans="1:64" ht="16.5" customHeight="1">
      <c r="A72" s="800">
        <v>16</v>
      </c>
      <c r="B72" s="1139" t="s">
        <v>1482</v>
      </c>
      <c r="C72" s="1139"/>
      <c r="D72" s="1139"/>
      <c r="E72" s="853"/>
      <c r="F72" s="818"/>
      <c r="G72" s="854"/>
      <c r="H72" s="855"/>
      <c r="I72" s="856"/>
      <c r="J72" s="856"/>
      <c r="K72" s="857"/>
      <c r="L72" s="706">
        <v>1</v>
      </c>
      <c r="M72" s="567"/>
      <c r="N72" s="567"/>
      <c r="O72" s="567"/>
      <c r="P72" s="567"/>
      <c r="Q72" s="567"/>
      <c r="R72" s="567"/>
      <c r="S72" s="567"/>
      <c r="T72" s="567"/>
      <c r="U72" s="567"/>
      <c r="V72" s="567"/>
      <c r="W72" s="567"/>
      <c r="X72" s="567"/>
      <c r="Y72" s="567"/>
      <c r="Z72" s="567"/>
      <c r="AA72" s="567"/>
      <c r="AB72" s="567"/>
      <c r="AC72" s="567"/>
      <c r="AD72" s="567"/>
      <c r="AE72" s="567"/>
      <c r="AF72" s="567"/>
      <c r="AG72" s="567"/>
      <c r="AH72" s="567"/>
      <c r="AI72" s="567"/>
      <c r="AJ72" s="567"/>
      <c r="AK72" s="567"/>
      <c r="AL72" s="567"/>
      <c r="AM72" s="567"/>
      <c r="AN72" s="567"/>
      <c r="AO72" s="567"/>
      <c r="AT72" s="888" t="str">
        <f ca="1">CONCATENATE("Up To Rs:",AV73)</f>
        <v>Up To Rs:250000</v>
      </c>
      <c r="AU72" s="888" t="str">
        <f ca="1">CONCATENATE(AX72, " X ", AW72,"%  = ")</f>
        <v xml:space="preserve">250000 X 0%  = </v>
      </c>
      <c r="AV72" s="888">
        <v>0</v>
      </c>
      <c r="AW72" s="888">
        <f>0</f>
        <v>0</v>
      </c>
      <c r="AX72" s="888">
        <f ca="1">AV73</f>
        <v>250000</v>
      </c>
      <c r="AY72" s="888">
        <f ca="1">ROUND(AX72*AW72%,0)</f>
        <v>0</v>
      </c>
      <c r="BA72" s="908">
        <v>0.02</v>
      </c>
      <c r="BB72" s="567">
        <f ca="1">ROUND(BB71*2%,0)</f>
        <v>1114</v>
      </c>
      <c r="BD72" s="888"/>
      <c r="BE72" s="888"/>
      <c r="BF72" s="888"/>
      <c r="BG72" s="888"/>
      <c r="BH72" s="888"/>
      <c r="BI72" s="888"/>
      <c r="BK72" s="908"/>
    </row>
    <row r="73" spans="1:64" ht="15" customHeight="1">
      <c r="A73" s="800"/>
      <c r="B73" s="856" t="s">
        <v>1390</v>
      </c>
      <c r="C73" s="844" t="s">
        <v>15</v>
      </c>
      <c r="D73" s="853" t="str">
        <f ca="1">AT72</f>
        <v>Up To Rs:250000</v>
      </c>
      <c r="E73" s="858" t="str">
        <f t="shared" ref="D73:E76" ca="1" si="13">AU72</f>
        <v xml:space="preserve">250000 X 0%  = </v>
      </c>
      <c r="F73" s="809" t="s">
        <v>7</v>
      </c>
      <c r="G73" s="859">
        <f ca="1">AY72</f>
        <v>0</v>
      </c>
      <c r="H73" s="815"/>
      <c r="I73" s="860"/>
      <c r="J73" s="860"/>
      <c r="K73" s="861"/>
      <c r="L73" s="705">
        <v>1</v>
      </c>
      <c r="M73" s="909"/>
      <c r="N73" s="909"/>
      <c r="O73" s="909"/>
      <c r="P73" s="909"/>
      <c r="Q73" s="909"/>
      <c r="R73" s="909"/>
      <c r="S73" s="909"/>
      <c r="T73" s="909"/>
      <c r="U73" s="909"/>
      <c r="V73" s="909"/>
      <c r="W73" s="909"/>
      <c r="X73" s="909"/>
      <c r="Y73" s="909"/>
      <c r="Z73" s="909"/>
      <c r="AA73" s="910"/>
      <c r="AB73" s="910"/>
      <c r="AC73" s="910"/>
      <c r="AD73" s="910"/>
      <c r="AE73" s="910"/>
      <c r="AF73" s="910"/>
      <c r="AG73" s="910"/>
      <c r="AH73" s="910"/>
      <c r="AI73" s="910"/>
      <c r="AJ73" s="910"/>
      <c r="AK73" s="910"/>
      <c r="AL73" s="910"/>
      <c r="AM73" s="910"/>
      <c r="AN73" s="910"/>
      <c r="AO73" s="910"/>
      <c r="AP73" s="911"/>
      <c r="AQ73" s="911"/>
      <c r="AR73" s="911"/>
      <c r="AS73" s="911"/>
      <c r="AT73" s="888" t="str">
        <f ca="1">CONCATENATE("From Rs: ",AV73+1," To ",AV74)</f>
        <v>From Rs: 250001 To 500000</v>
      </c>
      <c r="AU73" s="888" t="str">
        <f ca="1">CONCATENATE(AX73, " X ", AW73,"%  = ")</f>
        <v xml:space="preserve">250000 X 10%  = </v>
      </c>
      <c r="AV73" s="888">
        <f ca="1">IF($F$5&gt;=80,500000,IF($F$5&gt;=60,300000,250000))</f>
        <v>250000</v>
      </c>
      <c r="AW73" s="888">
        <f ca="1">IF($F$5&gt;=80,20,10)</f>
        <v>10</v>
      </c>
      <c r="AX73" s="888">
        <f ca="1">MIN(IF($K$71&gt;=AV73,$K$71-AV73,0),AV74-AV73)</f>
        <v>250000</v>
      </c>
      <c r="AY73" s="888">
        <f ca="1">ROUND(AX73*AW73%,0)</f>
        <v>25000</v>
      </c>
      <c r="BA73" s="908">
        <v>0.01</v>
      </c>
      <c r="BB73" s="567">
        <f ca="1">ROUND(BB71*1%,0)</f>
        <v>557</v>
      </c>
      <c r="BD73" s="888"/>
      <c r="BE73" s="888"/>
      <c r="BF73" s="888"/>
      <c r="BG73" s="888"/>
      <c r="BH73" s="888"/>
      <c r="BI73" s="888"/>
      <c r="BK73" s="908"/>
    </row>
    <row r="74" spans="1:64" ht="15" customHeight="1">
      <c r="A74" s="800"/>
      <c r="B74" s="856"/>
      <c r="C74" s="844" t="s">
        <v>14</v>
      </c>
      <c r="D74" s="853" t="str">
        <f t="shared" ca="1" si="13"/>
        <v>From Rs: 250001 To 500000</v>
      </c>
      <c r="E74" s="858" t="str">
        <f t="shared" ca="1" si="13"/>
        <v xml:space="preserve">250000 X 10%  = </v>
      </c>
      <c r="F74" s="809" t="s">
        <v>7</v>
      </c>
      <c r="G74" s="859">
        <f ca="1">AY73</f>
        <v>25000</v>
      </c>
      <c r="H74" s="815"/>
      <c r="I74" s="860"/>
      <c r="J74" s="860"/>
      <c r="K74" s="861"/>
      <c r="L74" s="705">
        <v>1</v>
      </c>
      <c r="M74" s="909"/>
      <c r="N74" s="909"/>
      <c r="O74" s="909"/>
      <c r="P74" s="909"/>
      <c r="Q74" s="909"/>
      <c r="R74" s="909"/>
      <c r="S74" s="909"/>
      <c r="T74" s="909"/>
      <c r="U74" s="909"/>
      <c r="V74" s="909"/>
      <c r="W74" s="909"/>
      <c r="X74" s="909"/>
      <c r="Y74" s="909"/>
      <c r="Z74" s="909"/>
      <c r="AA74" s="910"/>
      <c r="AB74" s="910"/>
      <c r="AC74" s="910"/>
      <c r="AD74" s="910"/>
      <c r="AE74" s="910"/>
      <c r="AF74" s="910"/>
      <c r="AG74" s="910"/>
      <c r="AH74" s="910"/>
      <c r="AI74" s="910"/>
      <c r="AJ74" s="910"/>
      <c r="AK74" s="910"/>
      <c r="AL74" s="910"/>
      <c r="AM74" s="910"/>
      <c r="AN74" s="910"/>
      <c r="AO74" s="910"/>
      <c r="AT74" s="888" t="str">
        <f ca="1">IF($F$5&gt;=80,CONCATENATE("Above Rs: ",AV74+1),CONCATENATE("From Rs: ",AV74+1," To ",AV75))</f>
        <v>From Rs: 500001 To 1000000</v>
      </c>
      <c r="AU74" s="888" t="str">
        <f ca="1">CONCATENATE(AX74, " X ", AW74,"%  = ")</f>
        <v xml:space="preserve">153458 X 20%  = </v>
      </c>
      <c r="AV74" s="888">
        <f ca="1">IF($F$5&gt;=80,1000000,500000)</f>
        <v>500000</v>
      </c>
      <c r="AW74" s="888">
        <f ca="1">IF($F$5&gt;=80,30,20)</f>
        <v>20</v>
      </c>
      <c r="AX74" s="888">
        <f ca="1">IF(AND($F$5=80,$K$71&gt;AV74),$K$71-AV74,MIN(IF($K$71&gt;=AV74,$K$71-AV74,0),IF(AV75=0,0,AV75-AV74)))</f>
        <v>153458</v>
      </c>
      <c r="AY74" s="888">
        <f ca="1">ROUND(AX74*AW74%,0)</f>
        <v>30692</v>
      </c>
      <c r="BA74" s="567" t="s">
        <v>31</v>
      </c>
      <c r="BB74" s="567">
        <f ca="1">_xlfn.CEILING.PRECISE(SUM(BB71:BB73),10)</f>
        <v>57370</v>
      </c>
      <c r="BD74" s="888"/>
      <c r="BE74" s="888"/>
      <c r="BF74" s="888"/>
      <c r="BG74" s="888"/>
      <c r="BH74" s="888"/>
      <c r="BI74" s="888"/>
    </row>
    <row r="75" spans="1:64" ht="15" customHeight="1">
      <c r="A75" s="800"/>
      <c r="B75" s="856"/>
      <c r="C75" s="844" t="s">
        <v>13</v>
      </c>
      <c r="D75" s="853" t="str">
        <f t="shared" ca="1" si="13"/>
        <v>From Rs: 500001 To 1000000</v>
      </c>
      <c r="E75" s="858" t="str">
        <f t="shared" ca="1" si="13"/>
        <v xml:space="preserve">153458 X 20%  = </v>
      </c>
      <c r="F75" s="809" t="s">
        <v>7</v>
      </c>
      <c r="G75" s="859">
        <f ca="1">AY74</f>
        <v>30692</v>
      </c>
      <c r="H75" s="815"/>
      <c r="I75" s="860"/>
      <c r="J75" s="860"/>
      <c r="K75" s="861"/>
      <c r="L75" s="705">
        <v>1</v>
      </c>
      <c r="M75" s="909"/>
      <c r="N75" s="909"/>
      <c r="O75" s="909"/>
      <c r="P75" s="909"/>
      <c r="Q75" s="909"/>
      <c r="R75" s="909"/>
      <c r="S75" s="909"/>
      <c r="T75" s="909"/>
      <c r="U75" s="909"/>
      <c r="V75" s="909"/>
      <c r="W75" s="909"/>
      <c r="X75" s="909"/>
      <c r="Y75" s="909"/>
      <c r="Z75" s="909"/>
      <c r="AA75" s="910"/>
      <c r="AB75" s="910"/>
      <c r="AC75" s="910"/>
      <c r="AD75" s="910"/>
      <c r="AE75" s="910"/>
      <c r="AF75" s="910"/>
      <c r="AG75" s="910"/>
      <c r="AH75" s="910"/>
      <c r="AI75" s="910"/>
      <c r="AJ75" s="910"/>
      <c r="AK75" s="910"/>
      <c r="AL75" s="910"/>
      <c r="AM75" s="910"/>
      <c r="AN75" s="910"/>
      <c r="AO75" s="910"/>
      <c r="AT75" s="888" t="str">
        <f ca="1">IF($F$5&gt;=80,"",CONCATENATE("Above Rs : ",AV75+1))</f>
        <v>Above Rs : 1000001</v>
      </c>
      <c r="AU75" s="888" t="str">
        <f ca="1">IF(F5&gt;=80,"",CONCATENATE(AX75," X ",AW75,"%  = "))</f>
        <v xml:space="preserve">0 X 30%  = </v>
      </c>
      <c r="AV75" s="888">
        <f ca="1">IF($F$5&gt;=80,0,1000000)</f>
        <v>1000000</v>
      </c>
      <c r="AW75" s="888">
        <f ca="1">IF($F$5&gt;=80,0,30)</f>
        <v>30</v>
      </c>
      <c r="AX75" s="888">
        <f ca="1">IF(AV75=0,0,IF($K$71&gt;=AV75,$K$71-AV75,0))</f>
        <v>0</v>
      </c>
      <c r="AY75" s="888">
        <f ca="1">ROUND(AX75*AW75%,0)</f>
        <v>0</v>
      </c>
      <c r="BD75" s="888"/>
      <c r="BE75" s="888"/>
      <c r="BF75" s="888"/>
      <c r="BG75" s="888"/>
      <c r="BH75" s="888"/>
      <c r="BI75" s="888"/>
    </row>
    <row r="76" spans="1:64" ht="15" customHeight="1">
      <c r="A76" s="800"/>
      <c r="B76" s="856"/>
      <c r="C76" s="844" t="str">
        <f ca="1">IF(D76="","","d)")</f>
        <v>d)</v>
      </c>
      <c r="D76" s="853" t="str">
        <f t="shared" ca="1" si="13"/>
        <v>Above Rs : 1000001</v>
      </c>
      <c r="E76" s="858" t="str">
        <f t="shared" ca="1" si="13"/>
        <v xml:space="preserve">0 X 30%  = </v>
      </c>
      <c r="F76" s="809" t="s">
        <v>7</v>
      </c>
      <c r="G76" s="859">
        <f ca="1">AY75</f>
        <v>0</v>
      </c>
      <c r="H76" s="855"/>
      <c r="I76" s="856"/>
      <c r="J76" s="856"/>
      <c r="K76" s="857"/>
      <c r="L76" s="706">
        <v>1</v>
      </c>
      <c r="M76" s="567"/>
      <c r="N76" s="567"/>
      <c r="O76" s="567"/>
      <c r="P76" s="567"/>
      <c r="Q76" s="567"/>
      <c r="R76" s="567"/>
      <c r="S76" s="567"/>
      <c r="T76" s="567"/>
      <c r="U76" s="567"/>
      <c r="V76" s="567"/>
      <c r="W76" s="567"/>
      <c r="X76" s="567"/>
      <c r="Y76" s="567"/>
      <c r="Z76" s="567"/>
      <c r="AA76" s="567"/>
      <c r="AB76" s="567"/>
      <c r="AC76" s="567"/>
      <c r="AD76" s="567"/>
      <c r="AE76" s="567"/>
      <c r="AF76" s="567"/>
      <c r="AG76" s="567"/>
      <c r="AH76" s="567"/>
      <c r="AI76" s="567"/>
      <c r="AJ76" s="567"/>
      <c r="AK76" s="567"/>
      <c r="AL76" s="567"/>
      <c r="AM76" s="567"/>
      <c r="AN76" s="567"/>
      <c r="AO76" s="567"/>
      <c r="AZ76" s="888"/>
      <c r="BA76" s="911"/>
      <c r="BB76" s="912">
        <f ca="1">K82</f>
        <v>57363</v>
      </c>
      <c r="BD76" s="911"/>
    </row>
    <row r="77" spans="1:64" ht="27" customHeight="1">
      <c r="A77" s="800"/>
      <c r="B77" s="856"/>
      <c r="C77" s="844" t="str">
        <f ca="1">IF(D76="","d)","e)")</f>
        <v>e)</v>
      </c>
      <c r="D77" s="1139" t="s">
        <v>1806</v>
      </c>
      <c r="E77" s="1139"/>
      <c r="F77" s="809" t="s">
        <v>7</v>
      </c>
      <c r="G77" s="859">
        <f>IF(K71&gt;500000,0,MIN(2000,SUM(G73:G76)))</f>
        <v>0</v>
      </c>
      <c r="H77" s="855"/>
      <c r="I77" s="856"/>
      <c r="J77" s="856"/>
      <c r="K77" s="857"/>
      <c r="L77" s="706">
        <v>1</v>
      </c>
      <c r="M77" s="567"/>
      <c r="N77" s="567"/>
      <c r="O77" s="567"/>
      <c r="P77" s="567"/>
      <c r="Q77" s="567"/>
      <c r="R77" s="567"/>
      <c r="S77" s="567"/>
      <c r="T77" s="567"/>
      <c r="U77" s="567"/>
      <c r="V77" s="567"/>
      <c r="W77" s="567"/>
      <c r="X77" s="567"/>
      <c r="Y77" s="567"/>
      <c r="Z77" s="567"/>
      <c r="AA77" s="567"/>
      <c r="AB77" s="567"/>
      <c r="AC77" s="567"/>
      <c r="AD77" s="567"/>
      <c r="AE77" s="567"/>
      <c r="AF77" s="567"/>
      <c r="AG77" s="567"/>
      <c r="AH77" s="567"/>
      <c r="AI77" s="567"/>
      <c r="AJ77" s="567"/>
      <c r="AK77" s="567"/>
      <c r="AL77" s="567"/>
      <c r="AM77" s="567"/>
      <c r="AN77" s="567"/>
      <c r="AO77" s="567"/>
      <c r="AQ77" s="913"/>
      <c r="AV77" s="888">
        <f>IF(E9&gt;0,1,2)</f>
        <v>1</v>
      </c>
      <c r="AZ77" s="888"/>
      <c r="BA77" s="911"/>
      <c r="BB77" s="888"/>
      <c r="BD77" s="911"/>
    </row>
    <row r="78" spans="1:64" ht="15" customHeight="1">
      <c r="A78" s="800"/>
      <c r="B78" s="856"/>
      <c r="C78" s="1168" t="str">
        <f ca="1">CONCATENATE("Total             (a) + (b) + ( c ) ",IF(C76="",""," + (d) "),IF(C76=""," - (d) "," - (e) "),"  = ")</f>
        <v xml:space="preserve">Total             (a) + (b) + ( c )  + (d)  - (e)   = </v>
      </c>
      <c r="D78" s="1168"/>
      <c r="E78" s="1168"/>
      <c r="F78" s="809" t="s">
        <v>7</v>
      </c>
      <c r="G78" s="859">
        <f ca="1">SUM(G73:G76,-G77)</f>
        <v>55692</v>
      </c>
      <c r="H78" s="815" t="s">
        <v>7</v>
      </c>
      <c r="I78" s="862">
        <f ca="1">IF(G78=0,"NIL",G78)</f>
        <v>55692</v>
      </c>
      <c r="J78" s="863"/>
      <c r="K78" s="864"/>
      <c r="L78" s="705">
        <v>1</v>
      </c>
      <c r="M78" s="914"/>
      <c r="N78" s="914"/>
      <c r="O78" s="914"/>
      <c r="P78" s="914"/>
      <c r="Q78" s="914"/>
      <c r="R78" s="914"/>
      <c r="S78" s="914"/>
      <c r="T78" s="914"/>
      <c r="U78" s="914"/>
      <c r="V78" s="914"/>
      <c r="W78" s="914"/>
      <c r="X78" s="914"/>
      <c r="Y78" s="914"/>
      <c r="Z78" s="914"/>
      <c r="AA78" s="915"/>
      <c r="AB78" s="915"/>
      <c r="AC78" s="915"/>
      <c r="AD78" s="915"/>
      <c r="AE78" s="915"/>
      <c r="AF78" s="915"/>
      <c r="AG78" s="915"/>
      <c r="AH78" s="915"/>
      <c r="AI78" s="915"/>
      <c r="AJ78" s="915"/>
      <c r="AK78" s="915"/>
      <c r="AL78" s="915"/>
      <c r="AM78" s="915"/>
      <c r="AN78" s="915"/>
      <c r="AO78" s="915"/>
      <c r="AP78" s="567"/>
      <c r="AQ78" s="567"/>
      <c r="AR78" s="567"/>
      <c r="AS78" s="567"/>
      <c r="AV78" s="888" t="s">
        <v>1479</v>
      </c>
      <c r="AW78" s="888" t="s">
        <v>1480</v>
      </c>
      <c r="AX78" s="888" t="s">
        <v>1481</v>
      </c>
      <c r="AY78" s="888" t="s">
        <v>1414</v>
      </c>
      <c r="BA78" s="567" t="s">
        <v>1414</v>
      </c>
      <c r="BB78" s="567">
        <f>SUM(AY79:AY82)</f>
        <v>0</v>
      </c>
      <c r="BD78" s="888"/>
    </row>
    <row r="79" spans="1:64" ht="15" hidden="1" customHeight="1">
      <c r="A79" s="800"/>
      <c r="B79" s="856" t="str">
        <f>IF(K71&gt;10000000,"B)","")</f>
        <v/>
      </c>
      <c r="C79" s="1139" t="str">
        <f>IF(K71&gt;10000000,"Surcharge","")</f>
        <v/>
      </c>
      <c r="D79" s="1139"/>
      <c r="E79" s="809" t="str">
        <f>IF(K71&gt;10000000,CONCATENATE(I78, " X 10 % = "),"")</f>
        <v/>
      </c>
      <c r="F79" s="809" t="s">
        <v>7</v>
      </c>
      <c r="G79" s="859">
        <f ca="1">IF(G78=0,0,IF(K71&gt;10000000,I78*10%,0))</f>
        <v>0</v>
      </c>
      <c r="H79" s="815"/>
      <c r="I79" s="862"/>
      <c r="J79" s="863"/>
      <c r="K79" s="864"/>
      <c r="L79" s="705" t="str">
        <f>IF(K71&gt;10000000,1,"")</f>
        <v/>
      </c>
      <c r="M79" s="914"/>
      <c r="N79" s="914"/>
      <c r="O79" s="914"/>
      <c r="P79" s="914"/>
      <c r="Q79" s="914"/>
      <c r="R79" s="914"/>
      <c r="S79" s="914"/>
      <c r="T79" s="914"/>
      <c r="U79" s="914"/>
      <c r="V79" s="914"/>
      <c r="W79" s="914"/>
      <c r="X79" s="914"/>
      <c r="Y79" s="914"/>
      <c r="Z79" s="914"/>
      <c r="AA79" s="915"/>
      <c r="AB79" s="915"/>
      <c r="AC79" s="915"/>
      <c r="AD79" s="915"/>
      <c r="AE79" s="915"/>
      <c r="AF79" s="915"/>
      <c r="AG79" s="915"/>
      <c r="AH79" s="915"/>
      <c r="AI79" s="915"/>
      <c r="AJ79" s="915"/>
      <c r="AK79" s="915"/>
      <c r="AL79" s="915"/>
      <c r="AM79" s="915"/>
      <c r="AN79" s="915"/>
      <c r="AO79" s="915"/>
      <c r="AP79" s="567"/>
      <c r="AQ79" s="567"/>
      <c r="AR79" s="567"/>
      <c r="AS79" s="567"/>
      <c r="AT79" s="888" t="str">
        <f>IF(AND(AV77=2,K71&gt;200000),"UP To Rs: 1000000",CONCATENATE("Up To Rs:",AV80))</f>
        <v>Up To Rs:200000</v>
      </c>
      <c r="AU79" s="888" t="str">
        <f>CONCATENATE(AX79, " X ", AW79,"%  = ")</f>
        <v xml:space="preserve">0 X 0%  = </v>
      </c>
      <c r="AV79" s="888">
        <v>0</v>
      </c>
      <c r="AW79" s="888">
        <f>IF(AND(AV77=2,K71&gt;200000),20,0)</f>
        <v>0</v>
      </c>
      <c r="AX79" s="888">
        <f>IF(AW79=0,0,IF(AND(AV77=2,K71&gt;200000),MIN(K71,IF(K71&lt;1000000,K71,1000000)),0))</f>
        <v>0</v>
      </c>
      <c r="AY79" s="888">
        <f>ROUND(AX79*AW79%,3)</f>
        <v>0</v>
      </c>
      <c r="BA79" s="908">
        <v>0.02</v>
      </c>
      <c r="BB79" s="567">
        <f>ROUND(BB78*2%,4)</f>
        <v>0</v>
      </c>
      <c r="BD79" s="888"/>
    </row>
    <row r="80" spans="1:64" ht="15" customHeight="1">
      <c r="A80" s="800"/>
      <c r="B80" s="820" t="str">
        <f>IF(K71&gt;10000000,"C)","B)")</f>
        <v>B)</v>
      </c>
      <c r="C80" s="1139" t="s">
        <v>1483</v>
      </c>
      <c r="D80" s="1139"/>
      <c r="E80" s="858" t="str">
        <f ca="1">IF(G78=0,"2%",CONCATENATE(I78+G79," X  2 %  = "))</f>
        <v xml:space="preserve">55692 X  2 %  = </v>
      </c>
      <c r="F80" s="809" t="s">
        <v>7</v>
      </c>
      <c r="G80" s="863">
        <f ca="1">IF(I78="NIL","NIL",ROUND((I78+G79)*2%,0))</f>
        <v>1114</v>
      </c>
      <c r="H80" s="815"/>
      <c r="I80" s="865"/>
      <c r="J80" s="866"/>
      <c r="K80" s="867"/>
      <c r="L80" s="707">
        <v>1</v>
      </c>
      <c r="M80" s="916"/>
      <c r="N80" s="916"/>
      <c r="O80" s="916"/>
      <c r="P80" s="916"/>
      <c r="Q80" s="916"/>
      <c r="R80" s="916"/>
      <c r="S80" s="916"/>
      <c r="T80" s="916"/>
      <c r="U80" s="916"/>
      <c r="V80" s="916"/>
      <c r="W80" s="916"/>
      <c r="X80" s="916"/>
      <c r="Y80" s="916"/>
      <c r="Z80" s="916"/>
      <c r="AA80" s="917"/>
      <c r="AB80" s="917"/>
      <c r="AC80" s="917"/>
      <c r="AD80" s="917"/>
      <c r="AE80" s="917"/>
      <c r="AF80" s="917"/>
      <c r="AG80" s="917"/>
      <c r="AH80" s="917"/>
      <c r="AI80" s="917"/>
      <c r="AJ80" s="917"/>
      <c r="AK80" s="917"/>
      <c r="AL80" s="917"/>
      <c r="AM80" s="917"/>
      <c r="AN80" s="917"/>
      <c r="AO80" s="917"/>
      <c r="AP80" s="567"/>
      <c r="AQ80" s="567"/>
      <c r="AR80" s="567"/>
      <c r="AS80" s="567"/>
      <c r="AT80" s="888" t="str">
        <f>IF(AW80=30,"Above Rs: 1000001",CONCATENATE("From Rs: ",AV80+1," To ",AV81))</f>
        <v>From Rs: 200001 To 1000000</v>
      </c>
      <c r="AU80" s="888" t="str">
        <f>CONCATENATE(AX80, " X ", AW80,"%  = ")</f>
        <v xml:space="preserve">0 X 20%  = </v>
      </c>
      <c r="AV80" s="888">
        <f>IF(AND(AV77=2,K71&gt;200000),1000000,200000)</f>
        <v>200000</v>
      </c>
      <c r="AW80" s="888">
        <f>IF(AND(AV77=2,K71&gt;200000),30,20)</f>
        <v>20</v>
      </c>
      <c r="AX80" s="888">
        <f>IF(AW79=0,0,IF(AND(AV77=2,K71&gt;1000000),K71-1000000,0))</f>
        <v>0</v>
      </c>
      <c r="AY80" s="888">
        <f t="shared" ref="AY80" si="14">ROUND(AX80*AW80%,3)</f>
        <v>0</v>
      </c>
      <c r="BA80" s="908">
        <v>0.01</v>
      </c>
      <c r="BB80" s="567">
        <f>ROUND(BB78*1%,4)</f>
        <v>0</v>
      </c>
      <c r="BD80" s="888"/>
    </row>
    <row r="81" spans="1:56" ht="22.5" customHeight="1">
      <c r="A81" s="800"/>
      <c r="B81" s="820" t="str">
        <f>IF(K71&gt;10000000,"D)","C)")</f>
        <v>C)</v>
      </c>
      <c r="C81" s="1170" t="s">
        <v>1484</v>
      </c>
      <c r="D81" s="1170"/>
      <c r="E81" s="858" t="str">
        <f ca="1">IF(G78=0,"1%",CONCATENATE(I78+G79," X  1 %  = "))</f>
        <v xml:space="preserve">55692 X  1 %  = </v>
      </c>
      <c r="F81" s="809" t="s">
        <v>7</v>
      </c>
      <c r="G81" s="863">
        <f ca="1">IF(I78="NIL","NIL",ROUND((I78+G79)*1%,0))</f>
        <v>557</v>
      </c>
      <c r="H81" s="815" t="s">
        <v>7</v>
      </c>
      <c r="I81" s="859">
        <f ca="1">IF(SUM(G73:G76)=0,"NIL",SUM(G79:G81))</f>
        <v>1671</v>
      </c>
      <c r="J81" s="866"/>
      <c r="K81" s="867"/>
      <c r="L81" s="707">
        <v>1</v>
      </c>
      <c r="M81" s="916"/>
      <c r="N81" s="916"/>
      <c r="O81" s="916"/>
      <c r="P81" s="916"/>
      <c r="Q81" s="916"/>
      <c r="R81" s="916"/>
      <c r="S81" s="916"/>
      <c r="T81" s="916"/>
      <c r="U81" s="916"/>
      <c r="V81" s="916"/>
      <c r="W81" s="916"/>
      <c r="X81" s="916"/>
      <c r="Y81" s="916"/>
      <c r="Z81" s="916"/>
      <c r="AA81" s="917"/>
      <c r="AB81" s="917"/>
      <c r="AC81" s="917"/>
      <c r="AD81" s="917"/>
      <c r="AE81" s="917"/>
      <c r="AF81" s="917"/>
      <c r="AG81" s="917"/>
      <c r="AH81" s="917"/>
      <c r="AI81" s="917"/>
      <c r="AJ81" s="917"/>
      <c r="AK81" s="917"/>
      <c r="AL81" s="917"/>
      <c r="AM81" s="917"/>
      <c r="AN81" s="917"/>
      <c r="AO81" s="917"/>
      <c r="AP81" s="567"/>
      <c r="AQ81" s="567"/>
      <c r="AR81" s="567"/>
      <c r="AS81" s="567"/>
      <c r="AT81" s="888" t="str">
        <f ca="1">IF(AW80=30,"",IF($F$5&gt;=80,CONCATENATE("Above Rs: ",AV81+1),CONCATENATE("From Rs: ",AV81+1," To ",AV82)))</f>
        <v xml:space="preserve">From Rs: 1000001 To </v>
      </c>
      <c r="AU81" s="888" t="str">
        <f>CONCATENATE(AX81, " X ", AW81,"%  = ")</f>
        <v xml:space="preserve">0 X 30%  = </v>
      </c>
      <c r="AV81" s="888">
        <v>1000000</v>
      </c>
      <c r="AW81" s="888">
        <f>IF(AND(AV77=2,K71&gt;200000),"",30)</f>
        <v>30</v>
      </c>
      <c r="AX81" s="888">
        <f>MIN(IF($K$71&gt;=AV81,$K$71-AV81,0),IF(AV82=0,0,AV82-AV81))</f>
        <v>0</v>
      </c>
      <c r="AY81" s="888">
        <f>IF(AW81="",0,ROUND(AX81*AW81%,3))</f>
        <v>0</v>
      </c>
      <c r="BA81" s="567" t="s">
        <v>31</v>
      </c>
      <c r="BB81" s="567">
        <f>_xlfn.CEILING.PRECISE(SUM(BB78:BB80),10)</f>
        <v>0</v>
      </c>
      <c r="BC81" s="888"/>
      <c r="BD81" s="888"/>
    </row>
    <row r="82" spans="1:56" ht="15" customHeight="1">
      <c r="A82" s="800"/>
      <c r="B82" s="1171" t="str">
        <f>CONCATENATE("Total Income Tax                       ( A )+( B )+( C )",IF(K71&gt;10000000,"+( D )","")," = ")</f>
        <v xml:space="preserve">Total Income Tax                       ( A )+( B )+( C ) = </v>
      </c>
      <c r="C82" s="1171"/>
      <c r="D82" s="1171"/>
      <c r="E82" s="1171"/>
      <c r="F82" s="820"/>
      <c r="G82" s="820"/>
      <c r="H82" s="815" t="s">
        <v>7</v>
      </c>
      <c r="I82" s="859">
        <f ca="1">IF(I78="NIL","NIL",SUM(I78,I81))</f>
        <v>57363</v>
      </c>
      <c r="J82" s="821" t="s">
        <v>7</v>
      </c>
      <c r="K82" s="868">
        <f ca="1">IF(I78="NIL","NIL",ROUND(I82,0))</f>
        <v>57363</v>
      </c>
      <c r="L82" s="703">
        <v>1</v>
      </c>
      <c r="M82" s="918"/>
      <c r="N82" s="918"/>
      <c r="O82" s="918"/>
      <c r="P82" s="918"/>
      <c r="Q82" s="918"/>
      <c r="R82" s="918"/>
      <c r="S82" s="918"/>
      <c r="T82" s="918"/>
      <c r="U82" s="918"/>
      <c r="V82" s="918"/>
      <c r="W82" s="918"/>
      <c r="X82" s="918"/>
      <c r="Y82" s="918"/>
      <c r="Z82" s="918"/>
      <c r="AA82" s="919"/>
      <c r="AB82" s="919"/>
      <c r="AC82" s="919"/>
      <c r="AD82" s="919"/>
      <c r="AE82" s="919"/>
      <c r="AF82" s="919"/>
      <c r="AG82" s="919"/>
      <c r="AH82" s="919"/>
      <c r="AI82" s="919"/>
      <c r="AJ82" s="919"/>
      <c r="AK82" s="919"/>
      <c r="AL82" s="919"/>
      <c r="AM82" s="919"/>
      <c r="AN82" s="919"/>
      <c r="AO82" s="919"/>
      <c r="BC82" s="888"/>
      <c r="BD82" s="888"/>
    </row>
    <row r="83" spans="1:56" ht="15" customHeight="1">
      <c r="A83" s="800">
        <v>17</v>
      </c>
      <c r="B83" s="1140" t="s">
        <v>1415</v>
      </c>
      <c r="C83" s="1140"/>
      <c r="D83" s="1140"/>
      <c r="E83" s="1140"/>
      <c r="F83" s="818"/>
      <c r="G83" s="1175"/>
      <c r="H83" s="1175"/>
      <c r="I83" s="1175"/>
      <c r="J83" s="1175"/>
      <c r="K83" s="1176"/>
      <c r="L83" s="706">
        <v>1</v>
      </c>
      <c r="M83" s="567"/>
      <c r="N83" s="567"/>
      <c r="O83" s="567"/>
      <c r="P83" s="567"/>
      <c r="Q83" s="567"/>
      <c r="R83" s="567"/>
      <c r="S83" s="567"/>
      <c r="T83" s="567"/>
      <c r="U83" s="567"/>
      <c r="V83" s="567"/>
      <c r="W83" s="567"/>
      <c r="X83" s="567"/>
      <c r="Y83" s="567"/>
      <c r="Z83" s="567"/>
      <c r="AA83" s="567"/>
      <c r="AB83" s="567"/>
      <c r="AC83" s="567"/>
      <c r="AD83" s="567"/>
      <c r="AE83" s="567"/>
      <c r="AF83" s="567"/>
      <c r="AG83" s="567"/>
      <c r="AH83" s="567"/>
      <c r="AI83" s="567"/>
      <c r="AJ83" s="567"/>
      <c r="AK83" s="567"/>
      <c r="AL83" s="567"/>
      <c r="AM83" s="567"/>
      <c r="AN83" s="567"/>
      <c r="AO83" s="567"/>
      <c r="BC83" s="888"/>
      <c r="BD83" s="888"/>
    </row>
    <row r="84" spans="1:56" ht="15" customHeight="1">
      <c r="A84" s="800"/>
      <c r="B84" s="869" t="s">
        <v>15</v>
      </c>
      <c r="C84" s="870" t="s">
        <v>1490</v>
      </c>
      <c r="D84" s="871" t="s">
        <v>1888</v>
      </c>
      <c r="E84" s="872">
        <f>SUM('Advance Tax'!B3:B5)</f>
        <v>0</v>
      </c>
      <c r="F84" s="873"/>
      <c r="G84" s="814"/>
      <c r="H84" s="874"/>
      <c r="I84" s="822"/>
      <c r="J84" s="822"/>
      <c r="K84" s="838"/>
      <c r="L84" s="704">
        <v>1</v>
      </c>
      <c r="M84" s="920"/>
      <c r="N84" s="920"/>
      <c r="O84" s="920"/>
      <c r="P84" s="920"/>
      <c r="Q84" s="920"/>
      <c r="R84" s="920"/>
      <c r="S84" s="920"/>
      <c r="T84" s="920"/>
      <c r="U84" s="920"/>
      <c r="V84" s="920"/>
      <c r="W84" s="920"/>
      <c r="X84" s="920"/>
      <c r="Y84" s="920"/>
      <c r="Z84" s="920"/>
      <c r="AA84" s="921"/>
      <c r="AB84" s="921"/>
      <c r="AC84" s="921"/>
      <c r="AD84" s="921"/>
      <c r="AE84" s="921"/>
      <c r="AF84" s="921"/>
      <c r="AG84" s="921"/>
      <c r="AH84" s="921"/>
      <c r="AI84" s="921"/>
      <c r="AJ84" s="921"/>
      <c r="AK84" s="921"/>
      <c r="AL84" s="921"/>
      <c r="AM84" s="921"/>
      <c r="AN84" s="921"/>
      <c r="AO84" s="921"/>
      <c r="AZ84" s="888"/>
      <c r="BA84" s="922"/>
      <c r="BB84" s="888"/>
      <c r="BC84" s="888"/>
      <c r="BD84" s="888"/>
    </row>
    <row r="85" spans="1:56" ht="15" customHeight="1">
      <c r="A85" s="800"/>
      <c r="B85" s="869" t="s">
        <v>14</v>
      </c>
      <c r="C85" s="870" t="s">
        <v>1491</v>
      </c>
      <c r="D85" s="871" t="s">
        <v>1889</v>
      </c>
      <c r="E85" s="872">
        <f>SUM('Advance Tax'!B6:B8)</f>
        <v>0</v>
      </c>
      <c r="F85" s="873"/>
      <c r="G85" s="814"/>
      <c r="H85" s="874"/>
      <c r="I85" s="822"/>
      <c r="J85" s="822"/>
      <c r="K85" s="838"/>
      <c r="L85" s="704">
        <v>1</v>
      </c>
      <c r="M85" s="920"/>
      <c r="N85" s="920"/>
      <c r="O85" s="920"/>
      <c r="P85" s="920"/>
      <c r="Q85" s="920"/>
      <c r="R85" s="920"/>
      <c r="S85" s="920"/>
      <c r="T85" s="920"/>
      <c r="U85" s="920"/>
      <c r="V85" s="920"/>
      <c r="W85" s="920"/>
      <c r="X85" s="920"/>
      <c r="Y85" s="920"/>
      <c r="Z85" s="920"/>
      <c r="AA85" s="921"/>
      <c r="AB85" s="921"/>
      <c r="AC85" s="921"/>
      <c r="AD85" s="921"/>
      <c r="AE85" s="921"/>
      <c r="AF85" s="921"/>
      <c r="AG85" s="921"/>
      <c r="AH85" s="921"/>
      <c r="AI85" s="921"/>
      <c r="AJ85" s="921"/>
      <c r="AK85" s="921"/>
      <c r="AL85" s="921"/>
      <c r="AM85" s="921"/>
      <c r="AN85" s="921"/>
      <c r="AO85" s="921"/>
      <c r="AZ85" s="888"/>
      <c r="BA85" s="922"/>
      <c r="BB85" s="888"/>
      <c r="BC85" s="888"/>
      <c r="BD85" s="888"/>
    </row>
    <row r="86" spans="1:56" ht="15" customHeight="1">
      <c r="A86" s="800"/>
      <c r="B86" s="869" t="s">
        <v>13</v>
      </c>
      <c r="C86" s="870" t="s">
        <v>1492</v>
      </c>
      <c r="D86" s="871" t="s">
        <v>1890</v>
      </c>
      <c r="E86" s="872">
        <f>SUM('Advance Tax'!B9:B11)</f>
        <v>0</v>
      </c>
      <c r="F86" s="873"/>
      <c r="G86" s="814"/>
      <c r="H86" s="874"/>
      <c r="I86" s="822"/>
      <c r="J86" s="822"/>
      <c r="K86" s="838"/>
      <c r="L86" s="704">
        <v>1</v>
      </c>
      <c r="M86" s="920"/>
      <c r="N86" s="920"/>
      <c r="O86" s="920"/>
      <c r="P86" s="920"/>
      <c r="Q86" s="920"/>
      <c r="R86" s="920"/>
      <c r="S86" s="920"/>
      <c r="T86" s="920"/>
      <c r="U86" s="920"/>
      <c r="V86" s="920"/>
      <c r="W86" s="920"/>
      <c r="X86" s="920"/>
      <c r="Y86" s="920"/>
      <c r="Z86" s="920"/>
      <c r="AA86" s="921"/>
      <c r="AB86" s="921"/>
      <c r="AC86" s="921"/>
      <c r="AD86" s="921"/>
      <c r="AE86" s="921"/>
      <c r="AF86" s="921"/>
      <c r="AG86" s="921"/>
      <c r="AH86" s="921"/>
      <c r="AI86" s="921"/>
      <c r="AJ86" s="921"/>
      <c r="AK86" s="921"/>
      <c r="AL86" s="921"/>
      <c r="AM86" s="921"/>
      <c r="AN86" s="921"/>
      <c r="AO86" s="921"/>
      <c r="AZ86" s="888"/>
      <c r="BA86" s="922"/>
      <c r="BB86" s="888"/>
      <c r="BC86" s="888"/>
      <c r="BD86" s="888"/>
    </row>
    <row r="87" spans="1:56" ht="15" customHeight="1">
      <c r="A87" s="800"/>
      <c r="B87" s="869" t="s">
        <v>12</v>
      </c>
      <c r="C87" s="870" t="s">
        <v>1493</v>
      </c>
      <c r="D87" s="871" t="s">
        <v>1891</v>
      </c>
      <c r="E87" s="872">
        <f>SUM('Advance Tax'!B12:B13)</f>
        <v>0</v>
      </c>
      <c r="F87" s="818"/>
      <c r="G87" s="820"/>
      <c r="H87" s="818"/>
      <c r="I87" s="820"/>
      <c r="J87" s="820"/>
      <c r="K87" s="875"/>
      <c r="L87" s="702">
        <v>1</v>
      </c>
      <c r="AZ87" s="888"/>
      <c r="BA87" s="911"/>
      <c r="BB87" s="888"/>
      <c r="BC87" s="888"/>
      <c r="BD87" s="888"/>
    </row>
    <row r="88" spans="1:56" ht="15" customHeight="1">
      <c r="A88" s="800"/>
      <c r="B88" s="1169" t="s">
        <v>1494</v>
      </c>
      <c r="C88" s="1169"/>
      <c r="D88" s="1169"/>
      <c r="E88" s="1169"/>
      <c r="F88" s="809" t="s">
        <v>7</v>
      </c>
      <c r="G88" s="876">
        <f>SUM(E84:E87)</f>
        <v>0</v>
      </c>
      <c r="H88" s="813" t="s">
        <v>7</v>
      </c>
      <c r="I88" s="932">
        <f>G88</f>
        <v>0</v>
      </c>
      <c r="J88" s="877"/>
      <c r="K88" s="878"/>
      <c r="L88" s="704">
        <v>1</v>
      </c>
      <c r="M88" s="923"/>
      <c r="N88" s="923"/>
      <c r="O88" s="923"/>
      <c r="P88" s="923"/>
      <c r="Q88" s="923"/>
      <c r="R88" s="923"/>
      <c r="S88" s="923"/>
      <c r="T88" s="923"/>
      <c r="U88" s="923"/>
      <c r="V88" s="923"/>
      <c r="W88" s="923"/>
      <c r="X88" s="923"/>
      <c r="Y88" s="923"/>
      <c r="Z88" s="923"/>
      <c r="AA88" s="924"/>
      <c r="AB88" s="924"/>
      <c r="AC88" s="924"/>
      <c r="AD88" s="924"/>
      <c r="AE88" s="924"/>
      <c r="AF88" s="924"/>
      <c r="AG88" s="924"/>
      <c r="AH88" s="924"/>
      <c r="AI88" s="924"/>
      <c r="AJ88" s="924"/>
      <c r="AK88" s="924"/>
      <c r="AL88" s="924"/>
      <c r="AM88" s="924"/>
      <c r="AN88" s="924"/>
      <c r="AO88" s="924"/>
      <c r="AZ88" s="888"/>
      <c r="BA88" s="888"/>
      <c r="BB88" s="888"/>
      <c r="BC88" s="888"/>
      <c r="BD88" s="888"/>
    </row>
    <row r="89" spans="1:56" ht="13.9" customHeight="1">
      <c r="A89" s="879">
        <v>18</v>
      </c>
      <c r="B89" s="880" t="s">
        <v>1892</v>
      </c>
      <c r="C89" s="880"/>
      <c r="D89" s="880"/>
      <c r="E89" s="880"/>
      <c r="F89" s="881"/>
      <c r="G89" s="882"/>
      <c r="H89" s="883"/>
      <c r="I89" s="883"/>
      <c r="J89" s="884" t="s">
        <v>7</v>
      </c>
      <c r="K89" s="885">
        <f ca="1">IF(I88=0,K82,IF(I78="NIL",-I88,K82-I88))</f>
        <v>57363</v>
      </c>
      <c r="L89" s="707">
        <v>1</v>
      </c>
      <c r="M89" s="925"/>
      <c r="N89" s="925"/>
      <c r="O89" s="925"/>
      <c r="P89" s="925"/>
      <c r="Q89" s="925"/>
      <c r="R89" s="925"/>
      <c r="S89" s="925"/>
      <c r="T89" s="925"/>
      <c r="U89" s="925"/>
      <c r="V89" s="925"/>
      <c r="W89" s="925"/>
      <c r="X89" s="925"/>
      <c r="Y89" s="925"/>
      <c r="Z89" s="925"/>
      <c r="AA89" s="926"/>
      <c r="AB89" s="926"/>
      <c r="AC89" s="926"/>
      <c r="AD89" s="926"/>
      <c r="AE89" s="926"/>
      <c r="AF89" s="926"/>
      <c r="AG89" s="926"/>
      <c r="AH89" s="926"/>
      <c r="AI89" s="926"/>
      <c r="AJ89" s="926"/>
      <c r="AK89" s="926"/>
      <c r="AL89" s="926"/>
      <c r="AM89" s="926"/>
      <c r="AN89" s="926"/>
      <c r="AO89" s="926"/>
    </row>
    <row r="90" spans="1:56" ht="6.75" customHeight="1">
      <c r="A90" s="569"/>
      <c r="B90" s="570"/>
      <c r="C90" s="570"/>
      <c r="D90" s="570"/>
      <c r="E90" s="570"/>
      <c r="F90" s="570"/>
      <c r="G90" s="570"/>
      <c r="H90" s="570"/>
      <c r="I90" s="570"/>
      <c r="J90" s="570"/>
      <c r="K90" s="571"/>
      <c r="L90" s="702">
        <v>1</v>
      </c>
    </row>
    <row r="91" spans="1:56" ht="4.5" customHeight="1">
      <c r="A91" s="1165"/>
      <c r="B91" s="1166"/>
      <c r="C91" s="1166"/>
      <c r="D91" s="1166"/>
      <c r="E91" s="1166"/>
      <c r="F91" s="1166"/>
      <c r="G91" s="1166"/>
      <c r="H91" s="1166"/>
      <c r="I91" s="1166"/>
      <c r="J91" s="699"/>
      <c r="K91" s="575"/>
      <c r="L91" s="702">
        <v>1</v>
      </c>
      <c r="M91" s="911"/>
      <c r="N91" s="911"/>
      <c r="O91" s="911"/>
      <c r="P91" s="911"/>
      <c r="Q91" s="911"/>
      <c r="R91" s="911"/>
      <c r="S91" s="911"/>
      <c r="T91" s="911"/>
      <c r="U91" s="911"/>
      <c r="V91" s="911"/>
      <c r="W91" s="911"/>
      <c r="X91" s="911"/>
      <c r="Y91" s="911"/>
      <c r="Z91" s="911"/>
      <c r="AA91" s="911"/>
      <c r="AB91" s="911"/>
      <c r="AC91" s="911"/>
      <c r="AD91" s="911"/>
      <c r="AE91" s="911"/>
      <c r="AF91" s="911"/>
      <c r="AG91" s="911"/>
      <c r="AH91" s="911"/>
      <c r="AI91" s="911"/>
      <c r="AJ91" s="911"/>
      <c r="AK91" s="911"/>
      <c r="AL91" s="911"/>
      <c r="AM91" s="911"/>
      <c r="AN91" s="911"/>
      <c r="AO91" s="911"/>
    </row>
    <row r="92" spans="1:56" ht="15.6" customHeight="1">
      <c r="A92" s="1172" t="str">
        <f>IF(AND(Main!CA26=1,K22&gt;0),"UNDERTAKING CERTIFICATE","")</f>
        <v>UNDERTAKING CERTIFICATE</v>
      </c>
      <c r="B92" s="1173"/>
      <c r="C92" s="1173"/>
      <c r="D92" s="1173"/>
      <c r="E92" s="1173"/>
      <c r="F92" s="1173"/>
      <c r="G92" s="1173"/>
      <c r="H92" s="1173"/>
      <c r="I92" s="1173"/>
      <c r="J92" s="1173"/>
      <c r="K92" s="1174"/>
      <c r="L92" s="702">
        <v>1</v>
      </c>
      <c r="M92" s="911"/>
      <c r="N92" s="911"/>
      <c r="O92" s="911"/>
      <c r="P92" s="911"/>
      <c r="Q92" s="911"/>
      <c r="R92" s="911"/>
      <c r="S92" s="911"/>
      <c r="T92" s="911"/>
      <c r="U92" s="911"/>
      <c r="V92" s="911"/>
      <c r="W92" s="911"/>
      <c r="X92" s="911"/>
      <c r="Y92" s="911"/>
      <c r="Z92" s="911"/>
      <c r="AA92" s="927"/>
      <c r="AB92" s="927"/>
      <c r="AC92" s="927"/>
      <c r="AD92" s="927"/>
      <c r="AE92" s="927"/>
      <c r="AF92" s="927"/>
      <c r="AG92" s="927"/>
      <c r="AH92" s="927"/>
      <c r="AI92" s="927"/>
      <c r="AJ92" s="927"/>
      <c r="AK92" s="927"/>
      <c r="AL92" s="927"/>
      <c r="AM92" s="927"/>
      <c r="AN92" s="927"/>
      <c r="AO92" s="927"/>
    </row>
    <row r="93" spans="1:56" ht="37.5" customHeight="1">
      <c r="A93" s="1162" t="str">
        <f>IF(A92="","",CONCATENATE("                  This is to Certified that I ( ",Main!C4," ) have paid an amount of Rs: ",F22," /  - (  ",UPPER(Main!T284),"RUPEES  ONLY ) towards House Rent for the year ",Main!CC8," ( @ Rs: ",E22," /- Permonth)"))</f>
        <v xml:space="preserve">                  This is to Certified that I ( ANURADHA KORA ) have paid an amount of Rs: 99600 /  - (  NINTY NINE THOUSAND AND SIX HUNDRED  RUPEES  ONLY ) towards House Rent for the year 2015-2016 ( @ Rs: 8300 /- Permonth)</v>
      </c>
      <c r="B93" s="1163"/>
      <c r="C93" s="1163"/>
      <c r="D93" s="1163"/>
      <c r="E93" s="1163"/>
      <c r="F93" s="1163"/>
      <c r="G93" s="1163"/>
      <c r="H93" s="1163"/>
      <c r="I93" s="1163"/>
      <c r="J93" s="1163"/>
      <c r="K93" s="1164"/>
      <c r="L93" s="708">
        <v>1</v>
      </c>
      <c r="M93" s="928"/>
      <c r="N93" s="928"/>
      <c r="O93" s="928"/>
      <c r="P93" s="928"/>
      <c r="Q93" s="928"/>
      <c r="R93" s="928"/>
      <c r="S93" s="928"/>
      <c r="T93" s="928"/>
      <c r="U93" s="928"/>
      <c r="V93" s="928"/>
      <c r="W93" s="928"/>
      <c r="X93" s="928"/>
      <c r="Y93" s="928"/>
      <c r="Z93" s="928"/>
      <c r="AA93" s="929"/>
      <c r="AB93" s="929"/>
      <c r="AC93" s="929"/>
      <c r="AD93" s="929"/>
      <c r="AE93" s="929"/>
      <c r="AF93" s="929"/>
      <c r="AG93" s="929"/>
      <c r="AH93" s="929"/>
      <c r="AI93" s="929"/>
      <c r="AJ93" s="929"/>
      <c r="AK93" s="929"/>
      <c r="AL93" s="929"/>
      <c r="AM93" s="929"/>
      <c r="AN93" s="929"/>
      <c r="AO93" s="929"/>
    </row>
    <row r="94" spans="1:56" ht="14.25" customHeight="1">
      <c r="A94" s="569"/>
      <c r="B94" s="697"/>
      <c r="C94" s="697"/>
      <c r="D94" s="697"/>
      <c r="E94" s="697"/>
      <c r="F94" s="12"/>
      <c r="G94" s="574"/>
      <c r="H94" s="573"/>
      <c r="I94" s="576"/>
      <c r="J94" s="576"/>
      <c r="K94" s="577"/>
      <c r="L94" s="707">
        <v>1</v>
      </c>
      <c r="M94" s="925"/>
      <c r="N94" s="925"/>
      <c r="O94" s="925"/>
      <c r="P94" s="925"/>
      <c r="Q94" s="925"/>
      <c r="R94" s="925"/>
      <c r="S94" s="925"/>
      <c r="T94" s="925"/>
      <c r="U94" s="925"/>
      <c r="V94" s="925"/>
      <c r="W94" s="925"/>
      <c r="X94" s="925"/>
      <c r="Y94" s="925"/>
      <c r="Z94" s="925"/>
      <c r="AA94" s="926"/>
      <c r="AB94" s="926"/>
      <c r="AC94" s="926"/>
      <c r="AD94" s="926"/>
      <c r="AE94" s="926"/>
      <c r="AF94" s="926"/>
      <c r="AG94" s="926"/>
      <c r="AH94" s="926"/>
      <c r="AI94" s="926"/>
      <c r="AJ94" s="926"/>
      <c r="AK94" s="926"/>
      <c r="AL94" s="926"/>
      <c r="AM94" s="926"/>
      <c r="AN94" s="926"/>
      <c r="AO94" s="926"/>
    </row>
    <row r="95" spans="1:56" ht="10.5" customHeight="1">
      <c r="A95" s="569"/>
      <c r="B95" s="570"/>
      <c r="C95" s="570"/>
      <c r="D95" s="570"/>
      <c r="E95" s="570"/>
      <c r="F95" s="570"/>
      <c r="G95" s="1167" t="s">
        <v>1572</v>
      </c>
      <c r="H95" s="1167"/>
      <c r="I95" s="1167"/>
      <c r="J95" s="700"/>
      <c r="K95" s="578"/>
      <c r="L95" s="709">
        <v>1</v>
      </c>
      <c r="M95" s="922"/>
      <c r="N95" s="922"/>
      <c r="O95" s="922"/>
      <c r="P95" s="922"/>
      <c r="Q95" s="922"/>
      <c r="R95" s="922"/>
      <c r="S95" s="922"/>
      <c r="T95" s="922"/>
      <c r="U95" s="922"/>
      <c r="V95" s="922"/>
      <c r="W95" s="922"/>
      <c r="X95" s="922"/>
      <c r="Y95" s="922"/>
      <c r="Z95" s="922"/>
      <c r="AA95" s="930"/>
      <c r="AB95" s="930"/>
      <c r="AC95" s="930"/>
      <c r="AD95" s="930"/>
      <c r="AE95" s="930"/>
      <c r="AF95" s="930"/>
      <c r="AG95" s="930"/>
      <c r="AH95" s="930"/>
      <c r="AI95" s="930"/>
      <c r="AJ95" s="930"/>
      <c r="AK95" s="930"/>
      <c r="AL95" s="930"/>
      <c r="AM95" s="930"/>
      <c r="AN95" s="930"/>
      <c r="AO95" s="930"/>
    </row>
    <row r="96" spans="1:56" ht="15">
      <c r="A96" s="569"/>
      <c r="B96" s="572"/>
      <c r="C96" s="570"/>
      <c r="D96" s="570"/>
      <c r="E96" s="570"/>
      <c r="F96" s="579"/>
      <c r="G96" s="570"/>
      <c r="H96" s="570"/>
      <c r="I96" s="580"/>
      <c r="J96" s="580"/>
      <c r="K96" s="581"/>
      <c r="L96" s="702">
        <v>1</v>
      </c>
      <c r="M96" s="889"/>
      <c r="N96" s="889"/>
      <c r="O96" s="889"/>
      <c r="P96" s="889"/>
      <c r="Q96" s="889"/>
      <c r="R96" s="889"/>
      <c r="S96" s="889"/>
      <c r="T96" s="889"/>
      <c r="U96" s="889"/>
      <c r="V96" s="889"/>
      <c r="W96" s="889"/>
      <c r="X96" s="889"/>
      <c r="Y96" s="889"/>
      <c r="Z96" s="889"/>
      <c r="AA96" s="889"/>
      <c r="AB96" s="889"/>
      <c r="AC96" s="889"/>
      <c r="AD96" s="889"/>
      <c r="AE96" s="889"/>
      <c r="AF96" s="889"/>
      <c r="AG96" s="889"/>
      <c r="AH96" s="889"/>
      <c r="AI96" s="889"/>
      <c r="AJ96" s="889"/>
      <c r="AK96" s="889"/>
      <c r="AL96" s="889"/>
      <c r="AM96" s="889"/>
      <c r="AN96" s="889"/>
      <c r="AO96" s="889"/>
    </row>
    <row r="97" spans="1:121" ht="1.5" customHeight="1" thickBot="1">
      <c r="A97" s="582"/>
      <c r="B97" s="583"/>
      <c r="C97" s="1161"/>
      <c r="D97" s="1161"/>
      <c r="E97" s="701"/>
      <c r="F97" s="584"/>
      <c r="G97" s="585"/>
      <c r="H97" s="585"/>
      <c r="I97" s="586"/>
      <c r="J97" s="586"/>
      <c r="K97" s="587"/>
      <c r="L97" s="702">
        <v>1</v>
      </c>
      <c r="M97" s="889"/>
      <c r="N97" s="889"/>
      <c r="O97" s="889"/>
      <c r="P97" s="889"/>
      <c r="Q97" s="889"/>
      <c r="R97" s="889"/>
      <c r="S97" s="889"/>
      <c r="T97" s="889"/>
      <c r="U97" s="889"/>
      <c r="V97" s="889"/>
      <c r="W97" s="889"/>
      <c r="X97" s="889"/>
      <c r="Y97" s="889"/>
      <c r="Z97" s="889"/>
      <c r="AA97" s="889"/>
      <c r="AB97" s="889"/>
      <c r="AC97" s="889"/>
      <c r="AD97" s="889"/>
      <c r="AE97" s="889"/>
      <c r="AF97" s="889"/>
      <c r="AG97" s="889"/>
      <c r="AH97" s="889"/>
      <c r="AI97" s="889"/>
      <c r="AJ97" s="889"/>
      <c r="AK97" s="889"/>
      <c r="AL97" s="889"/>
      <c r="AM97" s="889"/>
      <c r="AN97" s="889"/>
      <c r="AO97" s="889"/>
    </row>
    <row r="98" spans="1:121" s="487" customFormat="1" ht="10.5" customHeight="1" thickTop="1">
      <c r="A98" s="588"/>
      <c r="B98" s="589"/>
      <c r="C98" s="1160"/>
      <c r="D98" s="1160"/>
      <c r="E98" s="698"/>
      <c r="F98" s="590"/>
      <c r="G98" s="588"/>
      <c r="H98" s="588"/>
      <c r="I98" s="591"/>
      <c r="J98" s="591"/>
      <c r="K98" s="591"/>
      <c r="L98" s="702"/>
      <c r="M98" s="889"/>
      <c r="N98" s="889"/>
      <c r="O98" s="889"/>
      <c r="P98" s="889"/>
      <c r="Q98" s="889"/>
      <c r="R98" s="889"/>
      <c r="S98" s="889"/>
      <c r="T98" s="889"/>
      <c r="U98" s="889"/>
      <c r="V98" s="889"/>
      <c r="W98" s="889"/>
      <c r="X98" s="889"/>
      <c r="Y98" s="889"/>
      <c r="Z98" s="889"/>
      <c r="AA98" s="889"/>
      <c r="AB98" s="889"/>
      <c r="AC98" s="889"/>
      <c r="AD98" s="889"/>
      <c r="AE98" s="889"/>
      <c r="AF98" s="889"/>
      <c r="AG98" s="889"/>
      <c r="AH98" s="889"/>
      <c r="AI98" s="889"/>
      <c r="AJ98" s="889"/>
      <c r="AK98" s="889"/>
      <c r="AL98" s="889"/>
      <c r="AM98" s="889"/>
      <c r="AN98" s="889"/>
      <c r="AO98" s="889"/>
      <c r="AP98" s="888"/>
      <c r="AQ98" s="888"/>
      <c r="AR98" s="888"/>
      <c r="AS98" s="888"/>
      <c r="AT98" s="888"/>
      <c r="AU98" s="888"/>
      <c r="AV98" s="888"/>
      <c r="AW98" s="888"/>
      <c r="AX98" s="888"/>
      <c r="AY98" s="888"/>
      <c r="AZ98" s="567"/>
      <c r="BA98" s="567"/>
      <c r="BB98" s="567"/>
      <c r="BC98" s="567"/>
      <c r="BD98" s="567"/>
      <c r="BE98" s="567"/>
      <c r="BF98" s="567"/>
      <c r="BG98" s="567"/>
      <c r="BH98" s="567"/>
      <c r="BI98" s="567"/>
      <c r="BJ98" s="567"/>
      <c r="BK98" s="567"/>
      <c r="BL98" s="567"/>
      <c r="BM98" s="567"/>
      <c r="BN98" s="567"/>
      <c r="BO98" s="567"/>
      <c r="BP98" s="567"/>
      <c r="BQ98" s="567"/>
      <c r="BR98" s="567"/>
      <c r="BS98" s="567"/>
      <c r="BT98" s="567"/>
      <c r="BU98" s="567"/>
      <c r="BV98" s="567"/>
      <c r="BW98" s="567"/>
      <c r="BX98" s="567"/>
      <c r="BY98" s="567"/>
      <c r="BZ98" s="567"/>
      <c r="CA98" s="567"/>
      <c r="CB98" s="567"/>
      <c r="CC98" s="567"/>
      <c r="CD98" s="567"/>
      <c r="CE98" s="567"/>
      <c r="CF98" s="567"/>
      <c r="CG98" s="567"/>
      <c r="CH98" s="567"/>
      <c r="CI98" s="567"/>
      <c r="CJ98" s="567"/>
      <c r="CK98" s="567"/>
      <c r="CL98" s="567"/>
      <c r="CM98" s="567"/>
      <c r="CN98" s="567"/>
      <c r="CO98" s="567"/>
      <c r="CP98" s="567"/>
      <c r="CQ98" s="567"/>
      <c r="CR98" s="567"/>
      <c r="CS98" s="567"/>
      <c r="CT98" s="567"/>
      <c r="CU98" s="567"/>
      <c r="CV98" s="567"/>
      <c r="CW98" s="567"/>
      <c r="CX98" s="567"/>
      <c r="CY98" s="567"/>
      <c r="CZ98" s="567"/>
      <c r="DA98" s="567"/>
      <c r="DB98" s="567"/>
      <c r="DC98" s="567"/>
      <c r="DD98" s="567"/>
      <c r="DE98" s="567"/>
      <c r="DF98" s="567"/>
      <c r="DG98" s="567"/>
      <c r="DH98" s="567"/>
      <c r="DI98" s="567"/>
      <c r="DJ98" s="567"/>
      <c r="DK98" s="567"/>
      <c r="DL98" s="567"/>
      <c r="DM98" s="567"/>
      <c r="DN98" s="567"/>
      <c r="DO98" s="567"/>
      <c r="DP98" s="567"/>
      <c r="DQ98" s="567"/>
    </row>
    <row r="99" spans="1:121" s="487" customFormat="1" ht="10.5" customHeight="1">
      <c r="A99" s="588"/>
      <c r="B99" s="589"/>
      <c r="C99" s="1160"/>
      <c r="D99" s="1160"/>
      <c r="E99" s="698"/>
      <c r="F99" s="590"/>
      <c r="G99" s="588"/>
      <c r="H99" s="588"/>
      <c r="I99" s="591"/>
      <c r="J99" s="591"/>
      <c r="K99" s="591"/>
      <c r="L99" s="702"/>
      <c r="M99" s="889"/>
      <c r="N99" s="889"/>
      <c r="O99" s="889"/>
      <c r="P99" s="889"/>
      <c r="Q99" s="889"/>
      <c r="R99" s="889"/>
      <c r="S99" s="889"/>
      <c r="T99" s="889"/>
      <c r="U99" s="889"/>
      <c r="V99" s="889"/>
      <c r="W99" s="889"/>
      <c r="X99" s="889"/>
      <c r="Y99" s="889"/>
      <c r="Z99" s="889"/>
      <c r="AA99" s="889"/>
      <c r="AB99" s="889"/>
      <c r="AC99" s="889"/>
      <c r="AD99" s="889"/>
      <c r="AE99" s="889"/>
      <c r="AF99" s="889"/>
      <c r="AG99" s="889"/>
      <c r="AH99" s="889"/>
      <c r="AI99" s="889"/>
      <c r="AJ99" s="889"/>
      <c r="AK99" s="889"/>
      <c r="AL99" s="889"/>
      <c r="AM99" s="889"/>
      <c r="AN99" s="889"/>
      <c r="AO99" s="889"/>
      <c r="AP99" s="888"/>
      <c r="AQ99" s="888"/>
      <c r="AR99" s="888"/>
      <c r="AS99" s="888"/>
      <c r="AT99" s="888"/>
      <c r="AU99" s="888"/>
      <c r="AV99" s="888"/>
      <c r="AW99" s="888"/>
      <c r="AX99" s="888"/>
      <c r="AY99" s="888"/>
      <c r="AZ99" s="567"/>
      <c r="BA99" s="567"/>
      <c r="BB99" s="567"/>
      <c r="BC99" s="567"/>
      <c r="BD99" s="567"/>
      <c r="BE99" s="567"/>
      <c r="BF99" s="567"/>
      <c r="BG99" s="567"/>
      <c r="BH99" s="567"/>
      <c r="BI99" s="567"/>
      <c r="BJ99" s="567"/>
      <c r="BK99" s="567"/>
      <c r="BL99" s="567"/>
      <c r="BM99" s="567"/>
      <c r="BN99" s="567"/>
      <c r="BO99" s="567"/>
      <c r="BP99" s="567"/>
      <c r="BQ99" s="567"/>
      <c r="BR99" s="567"/>
      <c r="BS99" s="567"/>
      <c r="BT99" s="567"/>
      <c r="BU99" s="567"/>
      <c r="BV99" s="567"/>
      <c r="BW99" s="567"/>
      <c r="BX99" s="567"/>
      <c r="BY99" s="567"/>
      <c r="BZ99" s="567"/>
      <c r="CA99" s="567"/>
      <c r="CB99" s="567"/>
      <c r="CC99" s="567"/>
      <c r="CD99" s="567"/>
      <c r="CE99" s="567"/>
      <c r="CF99" s="567"/>
      <c r="CG99" s="567"/>
      <c r="CH99" s="567"/>
      <c r="CI99" s="567"/>
      <c r="CJ99" s="567"/>
      <c r="CK99" s="567"/>
      <c r="CL99" s="567"/>
      <c r="CM99" s="567"/>
      <c r="CN99" s="567"/>
      <c r="CO99" s="567"/>
      <c r="CP99" s="567"/>
      <c r="CQ99" s="567"/>
      <c r="CR99" s="567"/>
      <c r="CS99" s="567"/>
      <c r="CT99" s="567"/>
      <c r="CU99" s="567"/>
      <c r="CV99" s="567"/>
      <c r="CW99" s="567"/>
      <c r="CX99" s="567"/>
      <c r="CY99" s="567"/>
      <c r="CZ99" s="567"/>
      <c r="DA99" s="567"/>
      <c r="DB99" s="567"/>
      <c r="DC99" s="567"/>
      <c r="DD99" s="567"/>
      <c r="DE99" s="567"/>
      <c r="DF99" s="567"/>
      <c r="DG99" s="567"/>
      <c r="DH99" s="567"/>
      <c r="DI99" s="567"/>
      <c r="DJ99" s="567"/>
      <c r="DK99" s="567"/>
      <c r="DL99" s="567"/>
      <c r="DM99" s="567"/>
      <c r="DN99" s="567"/>
      <c r="DO99" s="567"/>
      <c r="DP99" s="567"/>
      <c r="DQ99" s="567"/>
    </row>
    <row r="100" spans="1:121" s="487" customFormat="1" ht="12" customHeight="1">
      <c r="A100" s="588"/>
      <c r="B100" s="589"/>
      <c r="C100" s="1160"/>
      <c r="D100" s="1160"/>
      <c r="E100" s="698"/>
      <c r="F100" s="590"/>
      <c r="G100" s="588"/>
      <c r="H100" s="588"/>
      <c r="I100" s="591"/>
      <c r="J100" s="591"/>
      <c r="K100" s="591"/>
      <c r="L100" s="702"/>
      <c r="M100" s="889"/>
      <c r="N100" s="889"/>
      <c r="O100" s="889"/>
      <c r="P100" s="889"/>
      <c r="Q100" s="889"/>
      <c r="R100" s="889"/>
      <c r="S100" s="889"/>
      <c r="T100" s="889"/>
      <c r="U100" s="889"/>
      <c r="V100" s="889"/>
      <c r="W100" s="889"/>
      <c r="X100" s="889"/>
      <c r="Y100" s="889"/>
      <c r="Z100" s="889"/>
      <c r="AA100" s="889"/>
      <c r="AB100" s="889"/>
      <c r="AC100" s="889"/>
      <c r="AD100" s="889"/>
      <c r="AE100" s="889"/>
      <c r="AF100" s="889"/>
      <c r="AG100" s="889"/>
      <c r="AH100" s="889"/>
      <c r="AI100" s="889"/>
      <c r="AJ100" s="889"/>
      <c r="AK100" s="889"/>
      <c r="AL100" s="889"/>
      <c r="AM100" s="889"/>
      <c r="AN100" s="889"/>
      <c r="AO100" s="889"/>
      <c r="AP100" s="888"/>
      <c r="AQ100" s="888"/>
      <c r="AR100" s="888"/>
      <c r="AS100" s="888"/>
      <c r="AT100" s="888"/>
      <c r="AU100" s="888"/>
      <c r="AV100" s="888"/>
      <c r="AW100" s="888"/>
      <c r="AX100" s="888"/>
      <c r="AY100" s="888"/>
      <c r="AZ100" s="567"/>
      <c r="BA100" s="567"/>
      <c r="BB100" s="567"/>
      <c r="BC100" s="567"/>
      <c r="BD100" s="567"/>
      <c r="BE100" s="567"/>
      <c r="BF100" s="567"/>
      <c r="BG100" s="567"/>
      <c r="BH100" s="567"/>
      <c r="BI100" s="567"/>
      <c r="BJ100" s="567"/>
      <c r="BK100" s="567"/>
      <c r="BL100" s="567"/>
      <c r="BM100" s="567"/>
      <c r="BN100" s="567"/>
      <c r="BO100" s="567"/>
      <c r="BP100" s="567"/>
      <c r="BQ100" s="567"/>
      <c r="BR100" s="567"/>
      <c r="BS100" s="567"/>
      <c r="BT100" s="567"/>
      <c r="BU100" s="567"/>
      <c r="BV100" s="567"/>
      <c r="BW100" s="567"/>
      <c r="BX100" s="567"/>
      <c r="BY100" s="567"/>
      <c r="BZ100" s="567"/>
      <c r="CA100" s="567"/>
      <c r="CB100" s="567"/>
      <c r="CC100" s="567"/>
      <c r="CD100" s="567"/>
      <c r="CE100" s="567"/>
      <c r="CF100" s="567"/>
      <c r="CG100" s="567"/>
      <c r="CH100" s="567"/>
      <c r="CI100" s="567"/>
      <c r="CJ100" s="567"/>
      <c r="CK100" s="567"/>
      <c r="CL100" s="567"/>
      <c r="CM100" s="567"/>
      <c r="CN100" s="567"/>
      <c r="CO100" s="567"/>
      <c r="CP100" s="567"/>
      <c r="CQ100" s="567"/>
      <c r="CR100" s="567"/>
      <c r="CS100" s="567"/>
      <c r="CT100" s="567"/>
      <c r="CU100" s="567"/>
      <c r="CV100" s="567"/>
      <c r="CW100" s="567"/>
      <c r="CX100" s="567"/>
      <c r="CY100" s="567"/>
      <c r="CZ100" s="567"/>
      <c r="DA100" s="567"/>
      <c r="DB100" s="567"/>
      <c r="DC100" s="567"/>
      <c r="DD100" s="567"/>
      <c r="DE100" s="567"/>
      <c r="DF100" s="567"/>
      <c r="DG100" s="567"/>
      <c r="DH100" s="567"/>
      <c r="DI100" s="567"/>
      <c r="DJ100" s="567"/>
      <c r="DK100" s="567"/>
      <c r="DL100" s="567"/>
      <c r="DM100" s="567"/>
      <c r="DN100" s="567"/>
      <c r="DO100" s="567"/>
      <c r="DP100" s="567"/>
      <c r="DQ100" s="567"/>
    </row>
    <row r="101" spans="1:121" s="487" customFormat="1" ht="28.5" customHeight="1">
      <c r="A101" s="588"/>
      <c r="B101" s="589"/>
      <c r="C101" s="1160"/>
      <c r="D101" s="1160"/>
      <c r="E101" s="698"/>
      <c r="F101" s="590"/>
      <c r="G101" s="588"/>
      <c r="H101" s="588"/>
      <c r="I101" s="591"/>
      <c r="J101" s="591"/>
      <c r="K101" s="591"/>
      <c r="L101" s="702"/>
      <c r="M101" s="889"/>
      <c r="N101" s="889"/>
      <c r="O101" s="889"/>
      <c r="P101" s="889"/>
      <c r="Q101" s="889"/>
      <c r="R101" s="889"/>
      <c r="S101" s="889"/>
      <c r="T101" s="889"/>
      <c r="U101" s="889"/>
      <c r="V101" s="889"/>
      <c r="W101" s="889"/>
      <c r="X101" s="889"/>
      <c r="Y101" s="889"/>
      <c r="Z101" s="889"/>
      <c r="AA101" s="889"/>
      <c r="AB101" s="889"/>
      <c r="AC101" s="889"/>
      <c r="AD101" s="889"/>
      <c r="AE101" s="889"/>
      <c r="AF101" s="889"/>
      <c r="AG101" s="889"/>
      <c r="AH101" s="889"/>
      <c r="AI101" s="889"/>
      <c r="AJ101" s="889"/>
      <c r="AK101" s="889"/>
      <c r="AL101" s="889"/>
      <c r="AM101" s="889"/>
      <c r="AN101" s="889"/>
      <c r="AO101" s="889"/>
      <c r="AP101" s="888"/>
      <c r="AQ101" s="888"/>
      <c r="AR101" s="888"/>
      <c r="AS101" s="888"/>
      <c r="AT101" s="888"/>
      <c r="AU101" s="888"/>
      <c r="AV101" s="888"/>
      <c r="AW101" s="888"/>
      <c r="AX101" s="888"/>
      <c r="AY101" s="888"/>
      <c r="AZ101" s="567"/>
      <c r="BA101" s="567"/>
      <c r="BB101" s="567"/>
      <c r="BC101" s="567"/>
      <c r="BD101" s="567"/>
      <c r="BE101" s="567"/>
      <c r="BF101" s="567"/>
      <c r="BG101" s="567"/>
      <c r="BH101" s="567"/>
      <c r="BI101" s="567"/>
      <c r="BJ101" s="567"/>
      <c r="BK101" s="567"/>
      <c r="BL101" s="567"/>
      <c r="BM101" s="567"/>
      <c r="BN101" s="567"/>
      <c r="BO101" s="567"/>
      <c r="BP101" s="567"/>
      <c r="BQ101" s="567"/>
      <c r="BR101" s="567"/>
      <c r="BS101" s="567"/>
      <c r="BT101" s="567"/>
      <c r="BU101" s="567"/>
      <c r="BV101" s="567"/>
      <c r="BW101" s="567"/>
      <c r="BX101" s="567"/>
      <c r="BY101" s="567"/>
      <c r="BZ101" s="567"/>
      <c r="CA101" s="567"/>
      <c r="CB101" s="567"/>
      <c r="CC101" s="567"/>
      <c r="CD101" s="567"/>
      <c r="CE101" s="567"/>
      <c r="CF101" s="567"/>
      <c r="CG101" s="567"/>
      <c r="CH101" s="567"/>
      <c r="CI101" s="567"/>
      <c r="CJ101" s="567"/>
      <c r="CK101" s="567"/>
      <c r="CL101" s="567"/>
      <c r="CM101" s="567"/>
      <c r="CN101" s="567"/>
      <c r="CO101" s="567"/>
      <c r="CP101" s="567"/>
      <c r="CQ101" s="567"/>
      <c r="CR101" s="567"/>
      <c r="CS101" s="567"/>
      <c r="CT101" s="567"/>
      <c r="CU101" s="567"/>
      <c r="CV101" s="567"/>
      <c r="CW101" s="567"/>
      <c r="CX101" s="567"/>
      <c r="CY101" s="567"/>
      <c r="CZ101" s="567"/>
      <c r="DA101" s="567"/>
      <c r="DB101" s="567"/>
      <c r="DC101" s="567"/>
      <c r="DD101" s="567"/>
      <c r="DE101" s="567"/>
      <c r="DF101" s="567"/>
      <c r="DG101" s="567"/>
      <c r="DH101" s="567"/>
      <c r="DI101" s="567"/>
      <c r="DJ101" s="567"/>
      <c r="DK101" s="567"/>
      <c r="DL101" s="567"/>
      <c r="DM101" s="567"/>
      <c r="DN101" s="567"/>
      <c r="DO101" s="567"/>
      <c r="DP101" s="567"/>
      <c r="DQ101" s="567"/>
    </row>
    <row r="102" spans="1:121" s="487" customFormat="1" ht="28.9" customHeight="1">
      <c r="A102" s="588"/>
      <c r="B102" s="589"/>
      <c r="C102" s="1160"/>
      <c r="D102" s="1160"/>
      <c r="E102" s="698"/>
      <c r="F102" s="698"/>
      <c r="G102" s="589"/>
      <c r="H102" s="588"/>
      <c r="I102" s="588"/>
      <c r="J102" s="588"/>
      <c r="K102" s="588"/>
      <c r="L102" s="702"/>
      <c r="M102" s="888"/>
      <c r="N102" s="888"/>
      <c r="O102" s="888"/>
      <c r="P102" s="888"/>
      <c r="Q102" s="888"/>
      <c r="R102" s="888"/>
      <c r="S102" s="888"/>
      <c r="T102" s="888"/>
      <c r="U102" s="888"/>
      <c r="V102" s="888"/>
      <c r="W102" s="888"/>
      <c r="X102" s="888"/>
      <c r="Y102" s="888"/>
      <c r="Z102" s="888"/>
      <c r="AA102" s="888"/>
      <c r="AB102" s="888"/>
      <c r="AC102" s="888"/>
      <c r="AD102" s="888"/>
      <c r="AE102" s="888"/>
      <c r="AF102" s="888"/>
      <c r="AG102" s="888"/>
      <c r="AH102" s="888"/>
      <c r="AI102" s="888"/>
      <c r="AJ102" s="888"/>
      <c r="AK102" s="888"/>
      <c r="AL102" s="888"/>
      <c r="AM102" s="888"/>
      <c r="AN102" s="888"/>
      <c r="AO102" s="888"/>
      <c r="AP102" s="888"/>
      <c r="AQ102" s="888"/>
      <c r="AR102" s="888"/>
      <c r="AS102" s="888"/>
      <c r="AT102" s="888"/>
      <c r="AU102" s="888"/>
      <c r="AV102" s="888"/>
      <c r="AW102" s="888"/>
      <c r="AX102" s="888"/>
      <c r="AY102" s="888"/>
      <c r="AZ102" s="567"/>
      <c r="BA102" s="567"/>
      <c r="BB102" s="567"/>
      <c r="BC102" s="567"/>
      <c r="BD102" s="567"/>
      <c r="BE102" s="567"/>
      <c r="BF102" s="567"/>
      <c r="BG102" s="567"/>
      <c r="BH102" s="567"/>
      <c r="BI102" s="567"/>
      <c r="BJ102" s="567"/>
      <c r="BK102" s="567"/>
      <c r="BL102" s="567"/>
      <c r="BM102" s="567"/>
      <c r="BN102" s="567"/>
      <c r="BO102" s="567"/>
      <c r="BP102" s="567"/>
      <c r="BQ102" s="567"/>
      <c r="BR102" s="567"/>
      <c r="BS102" s="567"/>
      <c r="BT102" s="567"/>
      <c r="BU102" s="567"/>
      <c r="BV102" s="567"/>
      <c r="BW102" s="567"/>
      <c r="BX102" s="567"/>
      <c r="BY102" s="567"/>
      <c r="BZ102" s="567"/>
      <c r="CA102" s="567"/>
      <c r="CB102" s="567"/>
      <c r="CC102" s="567"/>
      <c r="CD102" s="567"/>
      <c r="CE102" s="567"/>
      <c r="CF102" s="567"/>
      <c r="CG102" s="567"/>
      <c r="CH102" s="567"/>
      <c r="CI102" s="567"/>
      <c r="CJ102" s="567"/>
      <c r="CK102" s="567"/>
      <c r="CL102" s="567"/>
      <c r="CM102" s="567"/>
      <c r="CN102" s="567"/>
      <c r="CO102" s="567"/>
      <c r="CP102" s="567"/>
      <c r="CQ102" s="567"/>
      <c r="CR102" s="567"/>
      <c r="CS102" s="567"/>
      <c r="CT102" s="567"/>
      <c r="CU102" s="567"/>
      <c r="CV102" s="567"/>
      <c r="CW102" s="567"/>
      <c r="CX102" s="567"/>
      <c r="CY102" s="567"/>
      <c r="CZ102" s="567"/>
      <c r="DA102" s="567"/>
      <c r="DB102" s="567"/>
      <c r="DC102" s="567"/>
      <c r="DD102" s="567"/>
      <c r="DE102" s="567"/>
      <c r="DF102" s="567"/>
      <c r="DG102" s="567"/>
      <c r="DH102" s="567"/>
      <c r="DI102" s="567"/>
      <c r="DJ102" s="567"/>
      <c r="DK102" s="567"/>
      <c r="DL102" s="567"/>
      <c r="DM102" s="567"/>
      <c r="DN102" s="567"/>
      <c r="DO102" s="567"/>
      <c r="DP102" s="567"/>
      <c r="DQ102" s="567"/>
    </row>
    <row r="103" spans="1:121" s="487" customFormat="1" ht="24.6" customHeight="1">
      <c r="A103" s="588"/>
      <c r="B103" s="589"/>
      <c r="C103" s="1160"/>
      <c r="D103" s="1160"/>
      <c r="E103" s="698"/>
      <c r="F103" s="781"/>
      <c r="G103" s="589"/>
      <c r="H103" s="588"/>
      <c r="I103" s="588"/>
      <c r="J103" s="588"/>
      <c r="K103" s="588"/>
      <c r="L103" s="702"/>
      <c r="M103" s="888"/>
      <c r="N103" s="888"/>
      <c r="O103" s="888"/>
      <c r="P103" s="888"/>
      <c r="Q103" s="888"/>
      <c r="R103" s="888"/>
      <c r="S103" s="888"/>
      <c r="T103" s="888"/>
      <c r="U103" s="888"/>
      <c r="V103" s="888"/>
      <c r="W103" s="888"/>
      <c r="X103" s="888"/>
      <c r="Y103" s="888"/>
      <c r="Z103" s="888"/>
      <c r="AA103" s="888"/>
      <c r="AB103" s="888"/>
      <c r="AC103" s="888"/>
      <c r="AD103" s="888"/>
      <c r="AE103" s="888"/>
      <c r="AF103" s="888"/>
      <c r="AG103" s="888"/>
      <c r="AH103" s="888"/>
      <c r="AI103" s="888"/>
      <c r="AJ103" s="888"/>
      <c r="AK103" s="888"/>
      <c r="AL103" s="888"/>
      <c r="AM103" s="888"/>
      <c r="AN103" s="888"/>
      <c r="AO103" s="888"/>
      <c r="AP103" s="888"/>
      <c r="AQ103" s="888"/>
      <c r="AR103" s="888"/>
      <c r="AS103" s="888"/>
      <c r="AT103" s="888"/>
      <c r="AU103" s="888"/>
      <c r="AV103" s="888"/>
      <c r="AW103" s="888"/>
      <c r="AX103" s="888"/>
      <c r="AY103" s="888"/>
      <c r="AZ103" s="567"/>
      <c r="BA103" s="567"/>
      <c r="BB103" s="567"/>
      <c r="BC103" s="567"/>
      <c r="BD103" s="567"/>
      <c r="BE103" s="567"/>
      <c r="BF103" s="567"/>
      <c r="BG103" s="567"/>
      <c r="BH103" s="567"/>
      <c r="BI103" s="567"/>
      <c r="BJ103" s="567"/>
      <c r="BK103" s="567"/>
      <c r="BL103" s="567"/>
      <c r="BM103" s="567"/>
      <c r="BN103" s="567"/>
      <c r="BO103" s="567"/>
      <c r="BP103" s="567"/>
      <c r="BQ103" s="567"/>
      <c r="BR103" s="567"/>
      <c r="BS103" s="567"/>
      <c r="BT103" s="567"/>
      <c r="BU103" s="567"/>
      <c r="BV103" s="567"/>
      <c r="BW103" s="567"/>
      <c r="BX103" s="567"/>
      <c r="BY103" s="567"/>
      <c r="BZ103" s="567"/>
      <c r="CA103" s="567"/>
      <c r="CB103" s="567"/>
      <c r="CC103" s="567"/>
      <c r="CD103" s="567"/>
      <c r="CE103" s="567"/>
      <c r="CF103" s="567"/>
      <c r="CG103" s="567"/>
      <c r="CH103" s="567"/>
      <c r="CI103" s="567"/>
      <c r="CJ103" s="567"/>
      <c r="CK103" s="567"/>
      <c r="CL103" s="567"/>
      <c r="CM103" s="567"/>
      <c r="CN103" s="567"/>
      <c r="CO103" s="567"/>
      <c r="CP103" s="567"/>
      <c r="CQ103" s="567"/>
      <c r="CR103" s="567"/>
      <c r="CS103" s="567"/>
      <c r="CT103" s="567"/>
      <c r="CU103" s="567"/>
      <c r="CV103" s="567"/>
      <c r="CW103" s="567"/>
      <c r="CX103" s="567"/>
      <c r="CY103" s="567"/>
      <c r="CZ103" s="567"/>
      <c r="DA103" s="567"/>
      <c r="DB103" s="567"/>
      <c r="DC103" s="567"/>
      <c r="DD103" s="567"/>
      <c r="DE103" s="567"/>
      <c r="DF103" s="567"/>
      <c r="DG103" s="567"/>
      <c r="DH103" s="567"/>
      <c r="DI103" s="567"/>
      <c r="DJ103" s="567"/>
      <c r="DK103" s="567"/>
      <c r="DL103" s="567"/>
      <c r="DM103" s="567"/>
      <c r="DN103" s="567"/>
      <c r="DO103" s="567"/>
      <c r="DP103" s="567"/>
      <c r="DQ103" s="567"/>
    </row>
    <row r="104" spans="1:121" s="487" customFormat="1" ht="24" customHeight="1">
      <c r="A104" s="588"/>
      <c r="B104" s="588"/>
      <c r="C104" s="588"/>
      <c r="D104" s="588"/>
      <c r="E104" s="588"/>
      <c r="F104" s="588"/>
      <c r="G104" s="588"/>
      <c r="H104" s="588"/>
      <c r="I104" s="588"/>
      <c r="J104" s="588"/>
      <c r="K104" s="588"/>
      <c r="L104" s="702"/>
      <c r="M104" s="888"/>
      <c r="N104" s="888"/>
      <c r="O104" s="888"/>
      <c r="P104" s="888"/>
      <c r="Q104" s="888"/>
      <c r="R104" s="888"/>
      <c r="S104" s="888"/>
      <c r="T104" s="888"/>
      <c r="U104" s="888"/>
      <c r="V104" s="888"/>
      <c r="W104" s="888"/>
      <c r="X104" s="888"/>
      <c r="Y104" s="888"/>
      <c r="Z104" s="888"/>
      <c r="AA104" s="888"/>
      <c r="AB104" s="888"/>
      <c r="AC104" s="888"/>
      <c r="AD104" s="888"/>
      <c r="AE104" s="888"/>
      <c r="AF104" s="888"/>
      <c r="AG104" s="888"/>
      <c r="AH104" s="888"/>
      <c r="AI104" s="888"/>
      <c r="AJ104" s="888"/>
      <c r="AK104" s="888"/>
      <c r="AL104" s="888"/>
      <c r="AM104" s="888"/>
      <c r="AN104" s="888"/>
      <c r="AO104" s="888"/>
      <c r="AP104" s="888"/>
      <c r="AQ104" s="888"/>
      <c r="AR104" s="888"/>
      <c r="AS104" s="888"/>
      <c r="AT104" s="888"/>
      <c r="AU104" s="888"/>
      <c r="AV104" s="888"/>
      <c r="AW104" s="888"/>
      <c r="AX104" s="888"/>
      <c r="AY104" s="888"/>
      <c r="AZ104" s="567"/>
      <c r="BA104" s="567"/>
      <c r="BB104" s="567"/>
      <c r="BC104" s="567"/>
      <c r="BD104" s="567"/>
      <c r="BE104" s="567"/>
      <c r="BF104" s="567"/>
      <c r="BG104" s="567"/>
      <c r="BH104" s="567"/>
      <c r="BI104" s="567"/>
      <c r="BJ104" s="567"/>
      <c r="BK104" s="567"/>
      <c r="BL104" s="567"/>
      <c r="BM104" s="567"/>
      <c r="BN104" s="567"/>
      <c r="BO104" s="567"/>
      <c r="BP104" s="567"/>
      <c r="BQ104" s="567"/>
      <c r="BR104" s="567"/>
      <c r="BS104" s="567"/>
      <c r="BT104" s="567"/>
      <c r="BU104" s="567"/>
      <c r="BV104" s="567"/>
      <c r="BW104" s="567"/>
      <c r="BX104" s="567"/>
      <c r="BY104" s="567"/>
      <c r="BZ104" s="567"/>
      <c r="CA104" s="567"/>
      <c r="CB104" s="567"/>
      <c r="CC104" s="567"/>
      <c r="CD104" s="567"/>
      <c r="CE104" s="567"/>
      <c r="CF104" s="567"/>
      <c r="CG104" s="567"/>
      <c r="CH104" s="567"/>
      <c r="CI104" s="567"/>
      <c r="CJ104" s="567"/>
      <c r="CK104" s="567"/>
      <c r="CL104" s="567"/>
      <c r="CM104" s="567"/>
      <c r="CN104" s="567"/>
      <c r="CO104" s="567"/>
      <c r="CP104" s="567"/>
      <c r="CQ104" s="567"/>
      <c r="CR104" s="567"/>
      <c r="CS104" s="567"/>
      <c r="CT104" s="567"/>
      <c r="CU104" s="567"/>
      <c r="CV104" s="567"/>
      <c r="CW104" s="567"/>
      <c r="CX104" s="567"/>
      <c r="CY104" s="567"/>
      <c r="CZ104" s="567"/>
      <c r="DA104" s="567"/>
      <c r="DB104" s="567"/>
      <c r="DC104" s="567"/>
      <c r="DD104" s="567"/>
      <c r="DE104" s="567"/>
      <c r="DF104" s="567"/>
      <c r="DG104" s="567"/>
      <c r="DH104" s="567"/>
      <c r="DI104" s="567"/>
      <c r="DJ104" s="567"/>
      <c r="DK104" s="567"/>
      <c r="DL104" s="567"/>
      <c r="DM104" s="567"/>
      <c r="DN104" s="567"/>
      <c r="DO104" s="567"/>
      <c r="DP104" s="567"/>
      <c r="DQ104" s="567"/>
    </row>
    <row r="105" spans="1:121" s="487" customFormat="1">
      <c r="A105" s="588"/>
      <c r="B105" s="588"/>
      <c r="C105" s="588"/>
      <c r="D105" s="588"/>
      <c r="E105" s="588"/>
      <c r="F105" s="588"/>
      <c r="G105" s="588"/>
      <c r="H105" s="588"/>
      <c r="I105" s="588"/>
      <c r="J105" s="588"/>
      <c r="K105" s="588"/>
      <c r="L105" s="702"/>
      <c r="M105" s="888"/>
      <c r="N105" s="888"/>
      <c r="O105" s="888"/>
      <c r="P105" s="888"/>
      <c r="Q105" s="888"/>
      <c r="R105" s="888"/>
      <c r="S105" s="888"/>
      <c r="T105" s="888"/>
      <c r="U105" s="888"/>
      <c r="V105" s="888"/>
      <c r="W105" s="888"/>
      <c r="X105" s="888"/>
      <c r="Y105" s="888"/>
      <c r="Z105" s="888"/>
      <c r="AA105" s="888"/>
      <c r="AB105" s="888"/>
      <c r="AC105" s="888"/>
      <c r="AD105" s="888"/>
      <c r="AE105" s="888"/>
      <c r="AF105" s="888"/>
      <c r="AG105" s="888"/>
      <c r="AH105" s="888"/>
      <c r="AI105" s="888"/>
      <c r="AJ105" s="888"/>
      <c r="AK105" s="888"/>
      <c r="AL105" s="888"/>
      <c r="AM105" s="888"/>
      <c r="AN105" s="888"/>
      <c r="AO105" s="888"/>
      <c r="AP105" s="888"/>
      <c r="AQ105" s="888"/>
      <c r="AR105" s="888"/>
      <c r="AS105" s="888"/>
      <c r="AT105" s="888"/>
      <c r="AU105" s="888"/>
      <c r="AV105" s="888"/>
      <c r="AW105" s="888"/>
      <c r="AX105" s="888"/>
      <c r="AY105" s="888"/>
      <c r="AZ105" s="567"/>
      <c r="BA105" s="567"/>
      <c r="BB105" s="567"/>
      <c r="BC105" s="567"/>
      <c r="BD105" s="567"/>
      <c r="BE105" s="567"/>
      <c r="BF105" s="567"/>
      <c r="BG105" s="567"/>
      <c r="BH105" s="567"/>
      <c r="BI105" s="567"/>
      <c r="BJ105" s="567"/>
      <c r="BK105" s="567"/>
      <c r="BL105" s="567"/>
      <c r="BM105" s="567"/>
      <c r="BN105" s="567"/>
      <c r="BO105" s="567"/>
      <c r="BP105" s="567"/>
      <c r="BQ105" s="567"/>
      <c r="BR105" s="567"/>
      <c r="BS105" s="567"/>
      <c r="BT105" s="567"/>
      <c r="BU105" s="567"/>
      <c r="BV105" s="567"/>
      <c r="BW105" s="567"/>
      <c r="BX105" s="567"/>
      <c r="BY105" s="567"/>
      <c r="BZ105" s="567"/>
      <c r="CA105" s="567"/>
      <c r="CB105" s="567"/>
      <c r="CC105" s="567"/>
      <c r="CD105" s="567"/>
      <c r="CE105" s="567"/>
      <c r="CF105" s="567"/>
      <c r="CG105" s="567"/>
      <c r="CH105" s="567"/>
      <c r="CI105" s="567"/>
      <c r="CJ105" s="567"/>
      <c r="CK105" s="567"/>
      <c r="CL105" s="567"/>
      <c r="CM105" s="567"/>
      <c r="CN105" s="567"/>
      <c r="CO105" s="567"/>
      <c r="CP105" s="567"/>
      <c r="CQ105" s="567"/>
      <c r="CR105" s="567"/>
      <c r="CS105" s="567"/>
      <c r="CT105" s="567"/>
      <c r="CU105" s="567"/>
      <c r="CV105" s="567"/>
      <c r="CW105" s="567"/>
      <c r="CX105" s="567"/>
      <c r="CY105" s="567"/>
      <c r="CZ105" s="567"/>
      <c r="DA105" s="567"/>
      <c r="DB105" s="567"/>
      <c r="DC105" s="567"/>
      <c r="DD105" s="567"/>
      <c r="DE105" s="567"/>
      <c r="DF105" s="567"/>
      <c r="DG105" s="567"/>
      <c r="DH105" s="567"/>
      <c r="DI105" s="567"/>
      <c r="DJ105" s="567"/>
      <c r="DK105" s="567"/>
      <c r="DL105" s="567"/>
      <c r="DM105" s="567"/>
      <c r="DN105" s="567"/>
      <c r="DO105" s="567"/>
      <c r="DP105" s="567"/>
      <c r="DQ105" s="567"/>
    </row>
    <row r="106" spans="1:121" s="487" customFormat="1">
      <c r="A106" s="588"/>
      <c r="B106" s="588"/>
      <c r="C106" s="588"/>
      <c r="D106" s="588"/>
      <c r="E106" s="588"/>
      <c r="F106" s="588"/>
      <c r="G106" s="588"/>
      <c r="H106" s="588"/>
      <c r="I106" s="588"/>
      <c r="J106" s="588"/>
      <c r="K106" s="588"/>
      <c r="L106" s="702"/>
      <c r="M106" s="888"/>
      <c r="N106" s="888"/>
      <c r="O106" s="888"/>
      <c r="P106" s="888"/>
      <c r="Q106" s="888"/>
      <c r="R106" s="888"/>
      <c r="S106" s="888"/>
      <c r="T106" s="888"/>
      <c r="U106" s="888"/>
      <c r="V106" s="888"/>
      <c r="W106" s="888"/>
      <c r="X106" s="888"/>
      <c r="Y106" s="888"/>
      <c r="Z106" s="888"/>
      <c r="AA106" s="888"/>
      <c r="AB106" s="888"/>
      <c r="AC106" s="888"/>
      <c r="AD106" s="888"/>
      <c r="AE106" s="888"/>
      <c r="AF106" s="888"/>
      <c r="AG106" s="888"/>
      <c r="AH106" s="888"/>
      <c r="AI106" s="888"/>
      <c r="AJ106" s="888"/>
      <c r="AK106" s="888"/>
      <c r="AL106" s="888"/>
      <c r="AM106" s="888"/>
      <c r="AN106" s="888"/>
      <c r="AO106" s="888"/>
      <c r="AP106" s="888"/>
      <c r="AQ106" s="888"/>
      <c r="AR106" s="888"/>
      <c r="AS106" s="888"/>
      <c r="AT106" s="888"/>
      <c r="AU106" s="888"/>
      <c r="AV106" s="888"/>
      <c r="AW106" s="888"/>
      <c r="AX106" s="888"/>
      <c r="AY106" s="888"/>
      <c r="AZ106" s="567"/>
      <c r="BA106" s="567"/>
      <c r="BB106" s="567"/>
      <c r="BC106" s="567"/>
      <c r="BD106" s="567"/>
      <c r="BE106" s="567"/>
      <c r="BF106" s="567"/>
      <c r="BG106" s="567"/>
      <c r="BH106" s="567"/>
      <c r="BI106" s="567"/>
      <c r="BJ106" s="567"/>
      <c r="BK106" s="567"/>
      <c r="BL106" s="567"/>
      <c r="BM106" s="567"/>
      <c r="BN106" s="567"/>
      <c r="BO106" s="567"/>
      <c r="BP106" s="567"/>
      <c r="BQ106" s="567"/>
      <c r="BR106" s="567"/>
      <c r="BS106" s="567"/>
      <c r="BT106" s="567"/>
      <c r="BU106" s="567"/>
      <c r="BV106" s="567"/>
      <c r="BW106" s="567"/>
      <c r="BX106" s="567"/>
      <c r="BY106" s="567"/>
      <c r="BZ106" s="567"/>
      <c r="CA106" s="567"/>
      <c r="CB106" s="567"/>
      <c r="CC106" s="567"/>
      <c r="CD106" s="567"/>
      <c r="CE106" s="567"/>
      <c r="CF106" s="567"/>
      <c r="CG106" s="567"/>
      <c r="CH106" s="567"/>
      <c r="CI106" s="567"/>
      <c r="CJ106" s="567"/>
      <c r="CK106" s="567"/>
      <c r="CL106" s="567"/>
      <c r="CM106" s="567"/>
      <c r="CN106" s="567"/>
      <c r="CO106" s="567"/>
      <c r="CP106" s="567"/>
      <c r="CQ106" s="567"/>
      <c r="CR106" s="567"/>
      <c r="CS106" s="567"/>
      <c r="CT106" s="567"/>
      <c r="CU106" s="567"/>
      <c r="CV106" s="567"/>
      <c r="CW106" s="567"/>
      <c r="CX106" s="567"/>
      <c r="CY106" s="567"/>
      <c r="CZ106" s="567"/>
      <c r="DA106" s="567"/>
      <c r="DB106" s="567"/>
      <c r="DC106" s="567"/>
      <c r="DD106" s="567"/>
      <c r="DE106" s="567"/>
      <c r="DF106" s="567"/>
      <c r="DG106" s="567"/>
      <c r="DH106" s="567"/>
      <c r="DI106" s="567"/>
      <c r="DJ106" s="567"/>
      <c r="DK106" s="567"/>
      <c r="DL106" s="567"/>
      <c r="DM106" s="567"/>
      <c r="DN106" s="567"/>
      <c r="DO106" s="567"/>
      <c r="DP106" s="567"/>
      <c r="DQ106" s="567"/>
    </row>
    <row r="107" spans="1:121" s="487" customFormat="1">
      <c r="A107" s="588"/>
      <c r="B107" s="588"/>
      <c r="C107" s="588"/>
      <c r="D107" s="588"/>
      <c r="E107" s="588"/>
      <c r="F107" s="588"/>
      <c r="G107" s="588"/>
      <c r="H107" s="588"/>
      <c r="I107" s="588"/>
      <c r="J107" s="588"/>
      <c r="K107" s="588"/>
      <c r="L107" s="702"/>
      <c r="M107" s="888"/>
      <c r="N107" s="888"/>
      <c r="O107" s="888"/>
      <c r="P107" s="888"/>
      <c r="Q107" s="888"/>
      <c r="R107" s="888"/>
      <c r="S107" s="888"/>
      <c r="T107" s="888"/>
      <c r="U107" s="888"/>
      <c r="V107" s="888"/>
      <c r="W107" s="888"/>
      <c r="X107" s="888"/>
      <c r="Y107" s="888"/>
      <c r="Z107" s="888"/>
      <c r="AA107" s="888"/>
      <c r="AB107" s="888"/>
      <c r="AC107" s="888"/>
      <c r="AD107" s="888"/>
      <c r="AE107" s="888"/>
      <c r="AF107" s="888"/>
      <c r="AG107" s="888"/>
      <c r="AH107" s="888"/>
      <c r="AI107" s="888"/>
      <c r="AJ107" s="888"/>
      <c r="AK107" s="888"/>
      <c r="AL107" s="888"/>
      <c r="AM107" s="888"/>
      <c r="AN107" s="888"/>
      <c r="AO107" s="888"/>
      <c r="AP107" s="888"/>
      <c r="AQ107" s="888"/>
      <c r="AR107" s="888"/>
      <c r="AS107" s="888"/>
      <c r="AT107" s="888"/>
      <c r="AU107" s="888"/>
      <c r="AV107" s="888"/>
      <c r="AW107" s="888"/>
      <c r="AX107" s="888"/>
      <c r="AY107" s="888"/>
      <c r="AZ107" s="567"/>
      <c r="BA107" s="567"/>
      <c r="BB107" s="567"/>
      <c r="BC107" s="567"/>
      <c r="BD107" s="567"/>
      <c r="BE107" s="567"/>
      <c r="BF107" s="567"/>
      <c r="BG107" s="567"/>
      <c r="BH107" s="567"/>
      <c r="BI107" s="567"/>
      <c r="BJ107" s="567"/>
      <c r="BK107" s="567"/>
      <c r="BL107" s="567"/>
      <c r="BM107" s="567"/>
      <c r="BN107" s="567"/>
      <c r="BO107" s="567"/>
      <c r="BP107" s="567"/>
      <c r="BQ107" s="567"/>
      <c r="BR107" s="567"/>
      <c r="BS107" s="567"/>
      <c r="BT107" s="567"/>
      <c r="BU107" s="567"/>
      <c r="BV107" s="567"/>
      <c r="BW107" s="567"/>
      <c r="BX107" s="567"/>
      <c r="BY107" s="567"/>
      <c r="BZ107" s="567"/>
      <c r="CA107" s="567"/>
      <c r="CB107" s="567"/>
      <c r="CC107" s="567"/>
      <c r="CD107" s="567"/>
      <c r="CE107" s="567"/>
      <c r="CF107" s="567"/>
      <c r="CG107" s="567"/>
      <c r="CH107" s="567"/>
      <c r="CI107" s="567"/>
      <c r="CJ107" s="567"/>
      <c r="CK107" s="567"/>
      <c r="CL107" s="567"/>
      <c r="CM107" s="567"/>
      <c r="CN107" s="567"/>
      <c r="CO107" s="567"/>
      <c r="CP107" s="567"/>
      <c r="CQ107" s="567"/>
      <c r="CR107" s="567"/>
      <c r="CS107" s="567"/>
      <c r="CT107" s="567"/>
      <c r="CU107" s="567"/>
      <c r="CV107" s="567"/>
      <c r="CW107" s="567"/>
      <c r="CX107" s="567"/>
      <c r="CY107" s="567"/>
      <c r="CZ107" s="567"/>
      <c r="DA107" s="567"/>
      <c r="DB107" s="567"/>
      <c r="DC107" s="567"/>
      <c r="DD107" s="567"/>
      <c r="DE107" s="567"/>
      <c r="DF107" s="567"/>
      <c r="DG107" s="567"/>
      <c r="DH107" s="567"/>
      <c r="DI107" s="567"/>
      <c r="DJ107" s="567"/>
      <c r="DK107" s="567"/>
      <c r="DL107" s="567"/>
      <c r="DM107" s="567"/>
      <c r="DN107" s="567"/>
      <c r="DO107" s="567"/>
      <c r="DP107" s="567"/>
      <c r="DQ107" s="567"/>
    </row>
    <row r="108" spans="1:121" s="487" customFormat="1">
      <c r="A108" s="588"/>
      <c r="B108" s="588"/>
      <c r="C108" s="588"/>
      <c r="D108" s="592"/>
      <c r="E108" s="592"/>
      <c r="F108" s="588"/>
      <c r="G108" s="588"/>
      <c r="H108" s="588"/>
      <c r="I108" s="588"/>
      <c r="J108" s="588"/>
      <c r="K108" s="588"/>
      <c r="L108" s="702"/>
      <c r="M108" s="888"/>
      <c r="N108" s="888"/>
      <c r="O108" s="888"/>
      <c r="P108" s="888"/>
      <c r="Q108" s="888"/>
      <c r="R108" s="888"/>
      <c r="S108" s="888"/>
      <c r="T108" s="888"/>
      <c r="U108" s="888"/>
      <c r="V108" s="888"/>
      <c r="W108" s="888"/>
      <c r="X108" s="888"/>
      <c r="Y108" s="888"/>
      <c r="Z108" s="888"/>
      <c r="AA108" s="888"/>
      <c r="AB108" s="888"/>
      <c r="AC108" s="888"/>
      <c r="AD108" s="888"/>
      <c r="AE108" s="888"/>
      <c r="AF108" s="888"/>
      <c r="AG108" s="888"/>
      <c r="AH108" s="888"/>
      <c r="AI108" s="888"/>
      <c r="AJ108" s="888"/>
      <c r="AK108" s="888"/>
      <c r="AL108" s="888"/>
      <c r="AM108" s="888"/>
      <c r="AN108" s="888"/>
      <c r="AO108" s="888"/>
      <c r="AP108" s="888"/>
      <c r="AQ108" s="888"/>
      <c r="AR108" s="888"/>
      <c r="AS108" s="888"/>
      <c r="AT108" s="888"/>
      <c r="AU108" s="888"/>
      <c r="AV108" s="888"/>
      <c r="AW108" s="888"/>
      <c r="AX108" s="888"/>
      <c r="AY108" s="888"/>
      <c r="AZ108" s="567"/>
      <c r="BA108" s="567"/>
      <c r="BB108" s="567"/>
      <c r="BC108" s="567"/>
      <c r="BD108" s="567"/>
      <c r="BE108" s="567"/>
      <c r="BF108" s="567"/>
      <c r="BG108" s="567"/>
      <c r="BH108" s="567"/>
      <c r="BI108" s="567"/>
      <c r="BJ108" s="567"/>
      <c r="BK108" s="567"/>
      <c r="BL108" s="567"/>
      <c r="BM108" s="567"/>
      <c r="BN108" s="567"/>
      <c r="BO108" s="567"/>
      <c r="BP108" s="567"/>
      <c r="BQ108" s="567"/>
      <c r="BR108" s="567"/>
      <c r="BS108" s="567"/>
      <c r="BT108" s="567"/>
      <c r="BU108" s="567"/>
      <c r="BV108" s="567"/>
      <c r="BW108" s="567"/>
      <c r="BX108" s="567"/>
      <c r="BY108" s="567"/>
      <c r="BZ108" s="567"/>
      <c r="CA108" s="567"/>
      <c r="CB108" s="567"/>
      <c r="CC108" s="567"/>
      <c r="CD108" s="567"/>
      <c r="CE108" s="567"/>
      <c r="CF108" s="567"/>
      <c r="CG108" s="567"/>
      <c r="CH108" s="567"/>
      <c r="CI108" s="567"/>
      <c r="CJ108" s="567"/>
      <c r="CK108" s="567"/>
      <c r="CL108" s="567"/>
      <c r="CM108" s="567"/>
      <c r="CN108" s="567"/>
      <c r="CO108" s="567"/>
      <c r="CP108" s="567"/>
      <c r="CQ108" s="567"/>
      <c r="CR108" s="567"/>
      <c r="CS108" s="567"/>
      <c r="CT108" s="567"/>
      <c r="CU108" s="567"/>
      <c r="CV108" s="567"/>
      <c r="CW108" s="567"/>
      <c r="CX108" s="567"/>
      <c r="CY108" s="567"/>
      <c r="CZ108" s="567"/>
      <c r="DA108" s="567"/>
      <c r="DB108" s="567"/>
      <c r="DC108" s="567"/>
      <c r="DD108" s="567"/>
      <c r="DE108" s="567"/>
      <c r="DF108" s="567"/>
      <c r="DG108" s="567"/>
      <c r="DH108" s="567"/>
      <c r="DI108" s="567"/>
      <c r="DJ108" s="567"/>
      <c r="DK108" s="567"/>
      <c r="DL108" s="567"/>
      <c r="DM108" s="567"/>
      <c r="DN108" s="567"/>
      <c r="DO108" s="567"/>
      <c r="DP108" s="567"/>
      <c r="DQ108" s="567"/>
    </row>
    <row r="109" spans="1:121" s="487" customFormat="1">
      <c r="A109" s="588"/>
      <c r="B109" s="588"/>
      <c r="C109" s="588"/>
      <c r="D109" s="588"/>
      <c r="E109" s="588"/>
      <c r="F109" s="588"/>
      <c r="G109" s="588"/>
      <c r="H109" s="588"/>
      <c r="I109" s="588"/>
      <c r="J109" s="588"/>
      <c r="K109" s="588"/>
      <c r="L109" s="702"/>
      <c r="M109" s="888"/>
      <c r="N109" s="888"/>
      <c r="O109" s="888"/>
      <c r="P109" s="888"/>
      <c r="Q109" s="888"/>
      <c r="R109" s="888"/>
      <c r="S109" s="888"/>
      <c r="T109" s="888"/>
      <c r="U109" s="888"/>
      <c r="V109" s="888"/>
      <c r="W109" s="888"/>
      <c r="X109" s="888"/>
      <c r="Y109" s="888"/>
      <c r="Z109" s="888"/>
      <c r="AA109" s="888"/>
      <c r="AB109" s="888"/>
      <c r="AC109" s="888"/>
      <c r="AD109" s="888"/>
      <c r="AE109" s="888"/>
      <c r="AF109" s="888"/>
      <c r="AG109" s="888"/>
      <c r="AH109" s="888"/>
      <c r="AI109" s="888"/>
      <c r="AJ109" s="888"/>
      <c r="AK109" s="888"/>
      <c r="AL109" s="888"/>
      <c r="AM109" s="888"/>
      <c r="AN109" s="888"/>
      <c r="AO109" s="888"/>
      <c r="AP109" s="888"/>
      <c r="AQ109" s="888"/>
      <c r="AR109" s="888"/>
      <c r="AS109" s="888"/>
      <c r="AT109" s="888"/>
      <c r="AU109" s="888"/>
      <c r="AV109" s="888"/>
      <c r="AW109" s="888"/>
      <c r="AX109" s="888"/>
      <c r="AY109" s="888"/>
      <c r="AZ109" s="567"/>
      <c r="BA109" s="567"/>
      <c r="BB109" s="567"/>
      <c r="BC109" s="567"/>
      <c r="BD109" s="567"/>
      <c r="BE109" s="567"/>
      <c r="BF109" s="567"/>
      <c r="BG109" s="567"/>
      <c r="BH109" s="567"/>
      <c r="BI109" s="567"/>
      <c r="BJ109" s="567"/>
      <c r="BK109" s="567"/>
      <c r="BL109" s="567"/>
      <c r="BM109" s="567"/>
      <c r="BN109" s="567"/>
      <c r="BO109" s="567"/>
      <c r="BP109" s="567"/>
      <c r="BQ109" s="567"/>
      <c r="BR109" s="567"/>
      <c r="BS109" s="567"/>
      <c r="BT109" s="567"/>
      <c r="BU109" s="567"/>
      <c r="BV109" s="567"/>
      <c r="BW109" s="567"/>
      <c r="BX109" s="567"/>
      <c r="BY109" s="567"/>
      <c r="BZ109" s="567"/>
      <c r="CA109" s="567"/>
      <c r="CB109" s="567"/>
      <c r="CC109" s="567"/>
      <c r="CD109" s="567"/>
      <c r="CE109" s="567"/>
      <c r="CF109" s="567"/>
      <c r="CG109" s="567"/>
      <c r="CH109" s="567"/>
      <c r="CI109" s="567"/>
      <c r="CJ109" s="567"/>
      <c r="CK109" s="567"/>
      <c r="CL109" s="567"/>
      <c r="CM109" s="567"/>
      <c r="CN109" s="567"/>
      <c r="CO109" s="567"/>
      <c r="CP109" s="567"/>
      <c r="CQ109" s="567"/>
      <c r="CR109" s="567"/>
      <c r="CS109" s="567"/>
      <c r="CT109" s="567"/>
      <c r="CU109" s="567"/>
      <c r="CV109" s="567"/>
      <c r="CW109" s="567"/>
      <c r="CX109" s="567"/>
      <c r="CY109" s="567"/>
      <c r="CZ109" s="567"/>
      <c r="DA109" s="567"/>
      <c r="DB109" s="567"/>
      <c r="DC109" s="567"/>
      <c r="DD109" s="567"/>
      <c r="DE109" s="567"/>
      <c r="DF109" s="567"/>
      <c r="DG109" s="567"/>
      <c r="DH109" s="567"/>
      <c r="DI109" s="567"/>
      <c r="DJ109" s="567"/>
      <c r="DK109" s="567"/>
      <c r="DL109" s="567"/>
      <c r="DM109" s="567"/>
      <c r="DN109" s="567"/>
      <c r="DO109" s="567"/>
      <c r="DP109" s="567"/>
      <c r="DQ109" s="567"/>
    </row>
    <row r="110" spans="1:121" s="487" customFormat="1">
      <c r="A110" s="588"/>
      <c r="B110" s="588"/>
      <c r="C110" s="588"/>
      <c r="D110" s="588"/>
      <c r="E110" s="588"/>
      <c r="F110" s="588"/>
      <c r="G110" s="588"/>
      <c r="H110" s="588"/>
      <c r="I110" s="588"/>
      <c r="J110" s="588"/>
      <c r="K110" s="588"/>
      <c r="L110" s="702"/>
      <c r="M110" s="888"/>
      <c r="N110" s="888"/>
      <c r="O110" s="888"/>
      <c r="P110" s="888"/>
      <c r="Q110" s="888"/>
      <c r="R110" s="888"/>
      <c r="S110" s="888"/>
      <c r="T110" s="888"/>
      <c r="U110" s="888"/>
      <c r="V110" s="888"/>
      <c r="W110" s="888"/>
      <c r="X110" s="888"/>
      <c r="Y110" s="888"/>
      <c r="Z110" s="888"/>
      <c r="AA110" s="888"/>
      <c r="AB110" s="888"/>
      <c r="AC110" s="888"/>
      <c r="AD110" s="888"/>
      <c r="AE110" s="888"/>
      <c r="AF110" s="888"/>
      <c r="AG110" s="888"/>
      <c r="AH110" s="888"/>
      <c r="AI110" s="888"/>
      <c r="AJ110" s="888"/>
      <c r="AK110" s="888"/>
      <c r="AL110" s="888"/>
      <c r="AM110" s="888"/>
      <c r="AN110" s="888"/>
      <c r="AO110" s="888"/>
      <c r="AP110" s="888"/>
      <c r="AQ110" s="888"/>
      <c r="AR110" s="888"/>
      <c r="AS110" s="888"/>
      <c r="AT110" s="888"/>
      <c r="AU110" s="888"/>
      <c r="AV110" s="888"/>
      <c r="AW110" s="888"/>
      <c r="AX110" s="888"/>
      <c r="AY110" s="888"/>
      <c r="AZ110" s="567"/>
      <c r="BA110" s="567"/>
      <c r="BB110" s="567"/>
      <c r="BC110" s="567"/>
      <c r="BD110" s="567"/>
      <c r="BE110" s="567"/>
      <c r="BF110" s="567"/>
      <c r="BG110" s="567"/>
      <c r="BH110" s="567"/>
      <c r="BI110" s="567"/>
      <c r="BJ110" s="567"/>
      <c r="BK110" s="567"/>
      <c r="BL110" s="567"/>
      <c r="BM110" s="567"/>
      <c r="BN110" s="567"/>
      <c r="BO110" s="567"/>
      <c r="BP110" s="567"/>
      <c r="BQ110" s="567"/>
      <c r="BR110" s="567"/>
      <c r="BS110" s="567"/>
      <c r="BT110" s="567"/>
      <c r="BU110" s="567"/>
      <c r="BV110" s="567"/>
      <c r="BW110" s="567"/>
      <c r="BX110" s="567"/>
      <c r="BY110" s="567"/>
      <c r="BZ110" s="567"/>
      <c r="CA110" s="567"/>
      <c r="CB110" s="567"/>
      <c r="CC110" s="567"/>
      <c r="CD110" s="567"/>
      <c r="CE110" s="567"/>
      <c r="CF110" s="567"/>
      <c r="CG110" s="567"/>
      <c r="CH110" s="567"/>
      <c r="CI110" s="567"/>
      <c r="CJ110" s="567"/>
      <c r="CK110" s="567"/>
      <c r="CL110" s="567"/>
      <c r="CM110" s="567"/>
      <c r="CN110" s="567"/>
      <c r="CO110" s="567"/>
      <c r="CP110" s="567"/>
      <c r="CQ110" s="567"/>
      <c r="CR110" s="567"/>
      <c r="CS110" s="567"/>
      <c r="CT110" s="567"/>
      <c r="CU110" s="567"/>
      <c r="CV110" s="567"/>
      <c r="CW110" s="567"/>
      <c r="CX110" s="567"/>
      <c r="CY110" s="567"/>
      <c r="CZ110" s="567"/>
      <c r="DA110" s="567"/>
      <c r="DB110" s="567"/>
      <c r="DC110" s="567"/>
      <c r="DD110" s="567"/>
      <c r="DE110" s="567"/>
      <c r="DF110" s="567"/>
      <c r="DG110" s="567"/>
      <c r="DH110" s="567"/>
      <c r="DI110" s="567"/>
      <c r="DJ110" s="567"/>
      <c r="DK110" s="567"/>
      <c r="DL110" s="567"/>
      <c r="DM110" s="567"/>
      <c r="DN110" s="567"/>
      <c r="DO110" s="567"/>
      <c r="DP110" s="567"/>
      <c r="DQ110" s="567"/>
    </row>
    <row r="111" spans="1:121" s="487" customFormat="1">
      <c r="A111" s="588"/>
      <c r="B111" s="588"/>
      <c r="C111" s="588"/>
      <c r="D111" s="588"/>
      <c r="E111" s="588"/>
      <c r="F111" s="588"/>
      <c r="G111" s="588"/>
      <c r="H111" s="588"/>
      <c r="I111" s="588"/>
      <c r="J111" s="588"/>
      <c r="K111" s="588"/>
      <c r="L111" s="702"/>
      <c r="M111" s="888"/>
      <c r="N111" s="888"/>
      <c r="O111" s="888"/>
      <c r="P111" s="888"/>
      <c r="Q111" s="888"/>
      <c r="R111" s="888"/>
      <c r="S111" s="888"/>
      <c r="T111" s="888"/>
      <c r="U111" s="888"/>
      <c r="V111" s="888"/>
      <c r="W111" s="888"/>
      <c r="X111" s="888"/>
      <c r="Y111" s="888"/>
      <c r="Z111" s="888"/>
      <c r="AA111" s="888"/>
      <c r="AB111" s="888"/>
      <c r="AC111" s="888"/>
      <c r="AD111" s="888"/>
      <c r="AE111" s="888"/>
      <c r="AF111" s="888"/>
      <c r="AG111" s="888"/>
      <c r="AH111" s="888"/>
      <c r="AI111" s="888"/>
      <c r="AJ111" s="888"/>
      <c r="AK111" s="888"/>
      <c r="AL111" s="888"/>
      <c r="AM111" s="888"/>
      <c r="AN111" s="888"/>
      <c r="AO111" s="888"/>
      <c r="AP111" s="888"/>
      <c r="AQ111" s="888"/>
      <c r="AR111" s="888"/>
      <c r="AS111" s="888"/>
      <c r="AT111" s="888"/>
      <c r="AU111" s="888"/>
      <c r="AV111" s="888"/>
      <c r="AW111" s="888"/>
      <c r="AX111" s="888"/>
      <c r="AY111" s="888"/>
      <c r="AZ111" s="567"/>
      <c r="BA111" s="567"/>
      <c r="BB111" s="567"/>
      <c r="BC111" s="567"/>
      <c r="BD111" s="567"/>
      <c r="BE111" s="567"/>
      <c r="BF111" s="567"/>
      <c r="BG111" s="567"/>
      <c r="BH111" s="567"/>
      <c r="BI111" s="567"/>
      <c r="BJ111" s="567"/>
      <c r="BK111" s="567"/>
      <c r="BL111" s="567"/>
      <c r="BM111" s="567"/>
      <c r="BN111" s="567"/>
      <c r="BO111" s="567"/>
      <c r="BP111" s="567"/>
      <c r="BQ111" s="567"/>
      <c r="BR111" s="567"/>
      <c r="BS111" s="567"/>
      <c r="BT111" s="567"/>
      <c r="BU111" s="567"/>
      <c r="BV111" s="567"/>
      <c r="BW111" s="567"/>
      <c r="BX111" s="567"/>
      <c r="BY111" s="567"/>
      <c r="BZ111" s="567"/>
      <c r="CA111" s="567"/>
      <c r="CB111" s="567"/>
      <c r="CC111" s="567"/>
      <c r="CD111" s="567"/>
      <c r="CE111" s="567"/>
      <c r="CF111" s="567"/>
      <c r="CG111" s="567"/>
      <c r="CH111" s="567"/>
      <c r="CI111" s="567"/>
      <c r="CJ111" s="567"/>
      <c r="CK111" s="567"/>
      <c r="CL111" s="567"/>
      <c r="CM111" s="567"/>
      <c r="CN111" s="567"/>
      <c r="CO111" s="567"/>
      <c r="CP111" s="567"/>
      <c r="CQ111" s="567"/>
      <c r="CR111" s="567"/>
      <c r="CS111" s="567"/>
      <c r="CT111" s="567"/>
      <c r="CU111" s="567"/>
      <c r="CV111" s="567"/>
      <c r="CW111" s="567"/>
      <c r="CX111" s="567"/>
      <c r="CY111" s="567"/>
      <c r="CZ111" s="567"/>
      <c r="DA111" s="567"/>
      <c r="DB111" s="567"/>
      <c r="DC111" s="567"/>
      <c r="DD111" s="567"/>
      <c r="DE111" s="567"/>
      <c r="DF111" s="567"/>
      <c r="DG111" s="567"/>
      <c r="DH111" s="567"/>
      <c r="DI111" s="567"/>
      <c r="DJ111" s="567"/>
      <c r="DK111" s="567"/>
      <c r="DL111" s="567"/>
      <c r="DM111" s="567"/>
      <c r="DN111" s="567"/>
      <c r="DO111" s="567"/>
      <c r="DP111" s="567"/>
      <c r="DQ111" s="567"/>
    </row>
    <row r="112" spans="1:121" s="487" customFormat="1">
      <c r="A112" s="588"/>
      <c r="B112" s="588"/>
      <c r="C112" s="588"/>
      <c r="D112" s="588"/>
      <c r="E112" s="588"/>
      <c r="F112" s="588"/>
      <c r="G112" s="588"/>
      <c r="H112" s="588"/>
      <c r="I112" s="588"/>
      <c r="J112" s="588"/>
      <c r="K112" s="588"/>
      <c r="L112" s="702"/>
      <c r="M112" s="888"/>
      <c r="N112" s="888"/>
      <c r="O112" s="888"/>
      <c r="P112" s="888"/>
      <c r="Q112" s="888"/>
      <c r="R112" s="888"/>
      <c r="S112" s="888"/>
      <c r="T112" s="888"/>
      <c r="U112" s="888"/>
      <c r="V112" s="888"/>
      <c r="W112" s="888"/>
      <c r="X112" s="888"/>
      <c r="Y112" s="888"/>
      <c r="Z112" s="888"/>
      <c r="AA112" s="888"/>
      <c r="AB112" s="888"/>
      <c r="AC112" s="888"/>
      <c r="AD112" s="888"/>
      <c r="AE112" s="888"/>
      <c r="AF112" s="888"/>
      <c r="AG112" s="888"/>
      <c r="AH112" s="888"/>
      <c r="AI112" s="888"/>
      <c r="AJ112" s="888"/>
      <c r="AK112" s="888"/>
      <c r="AL112" s="888"/>
      <c r="AM112" s="888"/>
      <c r="AN112" s="888"/>
      <c r="AO112" s="888"/>
      <c r="AP112" s="888"/>
      <c r="AQ112" s="888"/>
      <c r="AR112" s="888"/>
      <c r="AS112" s="888"/>
      <c r="AT112" s="888"/>
      <c r="AU112" s="888"/>
      <c r="AV112" s="888"/>
      <c r="AW112" s="888"/>
      <c r="AX112" s="888"/>
      <c r="AY112" s="888"/>
      <c r="AZ112" s="567"/>
      <c r="BA112" s="567"/>
      <c r="BB112" s="567"/>
      <c r="BC112" s="567"/>
      <c r="BD112" s="567"/>
      <c r="BE112" s="567"/>
      <c r="BF112" s="567"/>
      <c r="BG112" s="567"/>
      <c r="BH112" s="567"/>
      <c r="BI112" s="567"/>
      <c r="BJ112" s="567"/>
      <c r="BK112" s="567"/>
      <c r="BL112" s="567"/>
      <c r="BM112" s="567"/>
      <c r="BN112" s="567"/>
      <c r="BO112" s="567"/>
      <c r="BP112" s="567"/>
      <c r="BQ112" s="567"/>
      <c r="BR112" s="567"/>
      <c r="BS112" s="567"/>
      <c r="BT112" s="567"/>
      <c r="BU112" s="567"/>
      <c r="BV112" s="567"/>
      <c r="BW112" s="567"/>
      <c r="BX112" s="567"/>
      <c r="BY112" s="567"/>
      <c r="BZ112" s="567"/>
      <c r="CA112" s="567"/>
      <c r="CB112" s="567"/>
      <c r="CC112" s="567"/>
      <c r="CD112" s="567"/>
      <c r="CE112" s="567"/>
      <c r="CF112" s="567"/>
      <c r="CG112" s="567"/>
      <c r="CH112" s="567"/>
      <c r="CI112" s="567"/>
      <c r="CJ112" s="567"/>
      <c r="CK112" s="567"/>
      <c r="CL112" s="567"/>
      <c r="CM112" s="567"/>
      <c r="CN112" s="567"/>
      <c r="CO112" s="567"/>
      <c r="CP112" s="567"/>
      <c r="CQ112" s="567"/>
      <c r="CR112" s="567"/>
      <c r="CS112" s="567"/>
      <c r="CT112" s="567"/>
      <c r="CU112" s="567"/>
      <c r="CV112" s="567"/>
      <c r="CW112" s="567"/>
      <c r="CX112" s="567"/>
      <c r="CY112" s="567"/>
      <c r="CZ112" s="567"/>
      <c r="DA112" s="567"/>
      <c r="DB112" s="567"/>
      <c r="DC112" s="567"/>
      <c r="DD112" s="567"/>
      <c r="DE112" s="567"/>
      <c r="DF112" s="567"/>
      <c r="DG112" s="567"/>
      <c r="DH112" s="567"/>
      <c r="DI112" s="567"/>
      <c r="DJ112" s="567"/>
      <c r="DK112" s="567"/>
      <c r="DL112" s="567"/>
      <c r="DM112" s="567"/>
      <c r="DN112" s="567"/>
      <c r="DO112" s="567"/>
      <c r="DP112" s="567"/>
      <c r="DQ112" s="567"/>
    </row>
    <row r="113" spans="1:121" s="487" customFormat="1">
      <c r="A113" s="588"/>
      <c r="B113" s="588"/>
      <c r="C113" s="588"/>
      <c r="D113" s="588"/>
      <c r="E113" s="588"/>
      <c r="F113" s="588"/>
      <c r="G113" s="588"/>
      <c r="H113" s="588"/>
      <c r="I113" s="588"/>
      <c r="J113" s="588"/>
      <c r="K113" s="588"/>
      <c r="L113" s="702"/>
      <c r="M113" s="888"/>
      <c r="N113" s="888"/>
      <c r="O113" s="888"/>
      <c r="P113" s="888"/>
      <c r="Q113" s="888"/>
      <c r="R113" s="888"/>
      <c r="S113" s="888"/>
      <c r="T113" s="888"/>
      <c r="U113" s="888"/>
      <c r="V113" s="888"/>
      <c r="W113" s="888"/>
      <c r="X113" s="888"/>
      <c r="Y113" s="888"/>
      <c r="Z113" s="888"/>
      <c r="AA113" s="888"/>
      <c r="AB113" s="888"/>
      <c r="AC113" s="888"/>
      <c r="AD113" s="888"/>
      <c r="AE113" s="888"/>
      <c r="AF113" s="888"/>
      <c r="AG113" s="888"/>
      <c r="AH113" s="888"/>
      <c r="AI113" s="888"/>
      <c r="AJ113" s="888"/>
      <c r="AK113" s="888"/>
      <c r="AL113" s="888"/>
      <c r="AM113" s="888"/>
      <c r="AN113" s="888"/>
      <c r="AO113" s="888"/>
      <c r="AP113" s="888"/>
      <c r="AQ113" s="888"/>
      <c r="AR113" s="888"/>
      <c r="AS113" s="888"/>
      <c r="AT113" s="888"/>
      <c r="AU113" s="888"/>
      <c r="AV113" s="888"/>
      <c r="AW113" s="888"/>
      <c r="AX113" s="888"/>
      <c r="AY113" s="888"/>
      <c r="AZ113" s="567"/>
      <c r="BA113" s="567"/>
      <c r="BB113" s="567"/>
      <c r="BC113" s="567"/>
      <c r="BD113" s="567"/>
      <c r="BE113" s="567"/>
      <c r="BF113" s="567"/>
      <c r="BG113" s="567"/>
      <c r="BH113" s="567"/>
      <c r="BI113" s="567"/>
      <c r="BJ113" s="567"/>
      <c r="BK113" s="567"/>
      <c r="BL113" s="567"/>
      <c r="BM113" s="567"/>
      <c r="BN113" s="567"/>
      <c r="BO113" s="567"/>
      <c r="BP113" s="567"/>
      <c r="BQ113" s="567"/>
      <c r="BR113" s="567"/>
      <c r="BS113" s="567"/>
      <c r="BT113" s="567"/>
      <c r="BU113" s="567"/>
      <c r="BV113" s="567"/>
      <c r="BW113" s="567"/>
      <c r="BX113" s="567"/>
      <c r="BY113" s="567"/>
      <c r="BZ113" s="567"/>
      <c r="CA113" s="567"/>
      <c r="CB113" s="567"/>
      <c r="CC113" s="567"/>
      <c r="CD113" s="567"/>
      <c r="CE113" s="567"/>
      <c r="CF113" s="567"/>
      <c r="CG113" s="567"/>
      <c r="CH113" s="567"/>
      <c r="CI113" s="567"/>
      <c r="CJ113" s="567"/>
      <c r="CK113" s="567"/>
      <c r="CL113" s="567"/>
      <c r="CM113" s="567"/>
      <c r="CN113" s="567"/>
      <c r="CO113" s="567"/>
      <c r="CP113" s="567"/>
      <c r="CQ113" s="567"/>
      <c r="CR113" s="567"/>
      <c r="CS113" s="567"/>
      <c r="CT113" s="567"/>
      <c r="CU113" s="567"/>
      <c r="CV113" s="567"/>
      <c r="CW113" s="567"/>
      <c r="CX113" s="567"/>
      <c r="CY113" s="567"/>
      <c r="CZ113" s="567"/>
      <c r="DA113" s="567"/>
      <c r="DB113" s="567"/>
      <c r="DC113" s="567"/>
      <c r="DD113" s="567"/>
      <c r="DE113" s="567"/>
      <c r="DF113" s="567"/>
      <c r="DG113" s="567"/>
      <c r="DH113" s="567"/>
      <c r="DI113" s="567"/>
      <c r="DJ113" s="567"/>
      <c r="DK113" s="567"/>
      <c r="DL113" s="567"/>
      <c r="DM113" s="567"/>
      <c r="DN113" s="567"/>
      <c r="DO113" s="567"/>
      <c r="DP113" s="567"/>
      <c r="DQ113" s="567"/>
    </row>
    <row r="114" spans="1:121" s="487" customFormat="1">
      <c r="A114" s="588"/>
      <c r="B114" s="588"/>
      <c r="C114" s="588"/>
      <c r="D114" s="588"/>
      <c r="E114" s="588"/>
      <c r="F114" s="588"/>
      <c r="G114" s="588"/>
      <c r="H114" s="588"/>
      <c r="I114" s="588"/>
      <c r="J114" s="588"/>
      <c r="K114" s="588"/>
      <c r="L114" s="702"/>
      <c r="M114" s="888"/>
      <c r="N114" s="888"/>
      <c r="O114" s="888"/>
      <c r="P114" s="888"/>
      <c r="Q114" s="888"/>
      <c r="R114" s="888"/>
      <c r="S114" s="888"/>
      <c r="T114" s="888"/>
      <c r="U114" s="888"/>
      <c r="V114" s="888"/>
      <c r="W114" s="888"/>
      <c r="X114" s="888"/>
      <c r="Y114" s="888"/>
      <c r="Z114" s="888"/>
      <c r="AA114" s="888"/>
      <c r="AB114" s="888"/>
      <c r="AC114" s="888"/>
      <c r="AD114" s="888"/>
      <c r="AE114" s="888"/>
      <c r="AF114" s="888"/>
      <c r="AG114" s="888"/>
      <c r="AH114" s="888"/>
      <c r="AI114" s="888"/>
      <c r="AJ114" s="888"/>
      <c r="AK114" s="888"/>
      <c r="AL114" s="888"/>
      <c r="AM114" s="888"/>
      <c r="AN114" s="888"/>
      <c r="AO114" s="888"/>
      <c r="AP114" s="888"/>
      <c r="AQ114" s="888"/>
      <c r="AR114" s="888"/>
      <c r="AS114" s="888"/>
      <c r="AT114" s="888"/>
      <c r="AU114" s="888"/>
      <c r="AV114" s="888"/>
      <c r="AW114" s="888"/>
      <c r="AX114" s="888"/>
      <c r="AY114" s="888"/>
      <c r="AZ114" s="567"/>
      <c r="BA114" s="567"/>
      <c r="BB114" s="567"/>
      <c r="BC114" s="567"/>
      <c r="BD114" s="567"/>
      <c r="BE114" s="567"/>
      <c r="BF114" s="567"/>
      <c r="BG114" s="567"/>
      <c r="BH114" s="567"/>
      <c r="BI114" s="567"/>
      <c r="BJ114" s="567"/>
      <c r="BK114" s="567"/>
      <c r="BL114" s="567"/>
      <c r="BM114" s="567"/>
      <c r="BN114" s="567"/>
      <c r="BO114" s="567"/>
      <c r="BP114" s="567"/>
      <c r="BQ114" s="567"/>
      <c r="BR114" s="567"/>
      <c r="BS114" s="567"/>
      <c r="BT114" s="567"/>
      <c r="BU114" s="567"/>
      <c r="BV114" s="567"/>
      <c r="BW114" s="567"/>
      <c r="BX114" s="567"/>
      <c r="BY114" s="567"/>
      <c r="BZ114" s="567"/>
      <c r="CA114" s="567"/>
      <c r="CB114" s="567"/>
      <c r="CC114" s="567"/>
      <c r="CD114" s="567"/>
      <c r="CE114" s="567"/>
      <c r="CF114" s="567"/>
      <c r="CG114" s="567"/>
      <c r="CH114" s="567"/>
      <c r="CI114" s="567"/>
      <c r="CJ114" s="567"/>
      <c r="CK114" s="567"/>
      <c r="CL114" s="567"/>
      <c r="CM114" s="567"/>
      <c r="CN114" s="567"/>
      <c r="CO114" s="567"/>
      <c r="CP114" s="567"/>
      <c r="CQ114" s="567"/>
      <c r="CR114" s="567"/>
      <c r="CS114" s="567"/>
      <c r="CT114" s="567"/>
      <c r="CU114" s="567"/>
      <c r="CV114" s="567"/>
      <c r="CW114" s="567"/>
      <c r="CX114" s="567"/>
      <c r="CY114" s="567"/>
      <c r="CZ114" s="567"/>
      <c r="DA114" s="567"/>
      <c r="DB114" s="567"/>
      <c r="DC114" s="567"/>
      <c r="DD114" s="567"/>
      <c r="DE114" s="567"/>
      <c r="DF114" s="567"/>
      <c r="DG114" s="567"/>
      <c r="DH114" s="567"/>
      <c r="DI114" s="567"/>
      <c r="DJ114" s="567"/>
      <c r="DK114" s="567"/>
      <c r="DL114" s="567"/>
      <c r="DM114" s="567"/>
      <c r="DN114" s="567"/>
      <c r="DO114" s="567"/>
      <c r="DP114" s="567"/>
      <c r="DQ114" s="567"/>
    </row>
    <row r="115" spans="1:121" s="487" customFormat="1">
      <c r="A115" s="588"/>
      <c r="B115" s="588"/>
      <c r="C115" s="588"/>
      <c r="D115" s="588"/>
      <c r="E115" s="588"/>
      <c r="F115" s="588"/>
      <c r="G115" s="588"/>
      <c r="H115" s="588"/>
      <c r="I115" s="588"/>
      <c r="J115" s="588"/>
      <c r="K115" s="588"/>
      <c r="L115" s="702"/>
      <c r="M115" s="888"/>
      <c r="N115" s="888"/>
      <c r="O115" s="888"/>
      <c r="P115" s="888"/>
      <c r="Q115" s="888"/>
      <c r="R115" s="888"/>
      <c r="S115" s="888"/>
      <c r="T115" s="888"/>
      <c r="U115" s="888"/>
      <c r="V115" s="888"/>
      <c r="W115" s="888"/>
      <c r="X115" s="888"/>
      <c r="Y115" s="888"/>
      <c r="Z115" s="888"/>
      <c r="AA115" s="888"/>
      <c r="AB115" s="888"/>
      <c r="AC115" s="888"/>
      <c r="AD115" s="888"/>
      <c r="AE115" s="888"/>
      <c r="AF115" s="888"/>
      <c r="AG115" s="888"/>
      <c r="AH115" s="888"/>
      <c r="AI115" s="888"/>
      <c r="AJ115" s="888"/>
      <c r="AK115" s="888"/>
      <c r="AL115" s="888"/>
      <c r="AM115" s="888"/>
      <c r="AN115" s="888"/>
      <c r="AO115" s="888"/>
      <c r="AP115" s="888"/>
      <c r="AQ115" s="888"/>
      <c r="AR115" s="888"/>
      <c r="AS115" s="888"/>
      <c r="AT115" s="888"/>
      <c r="AU115" s="888"/>
      <c r="AV115" s="888"/>
      <c r="AW115" s="888"/>
      <c r="AX115" s="888"/>
      <c r="AY115" s="888"/>
      <c r="AZ115" s="567"/>
      <c r="BA115" s="567"/>
      <c r="BB115" s="567"/>
      <c r="BC115" s="567"/>
      <c r="BD115" s="567"/>
      <c r="BE115" s="567"/>
      <c r="BF115" s="567"/>
      <c r="BG115" s="567"/>
      <c r="BH115" s="567"/>
      <c r="BI115" s="567"/>
      <c r="BJ115" s="567"/>
      <c r="BK115" s="567"/>
      <c r="BL115" s="567"/>
      <c r="BM115" s="567"/>
      <c r="BN115" s="567"/>
      <c r="BO115" s="567"/>
      <c r="BP115" s="567"/>
      <c r="BQ115" s="567"/>
      <c r="BR115" s="567"/>
      <c r="BS115" s="567"/>
      <c r="BT115" s="567"/>
      <c r="BU115" s="567"/>
      <c r="BV115" s="567"/>
      <c r="BW115" s="567"/>
      <c r="BX115" s="567"/>
      <c r="BY115" s="567"/>
      <c r="BZ115" s="567"/>
      <c r="CA115" s="567"/>
      <c r="CB115" s="567"/>
      <c r="CC115" s="567"/>
      <c r="CD115" s="567"/>
      <c r="CE115" s="567"/>
      <c r="CF115" s="567"/>
      <c r="CG115" s="567"/>
      <c r="CH115" s="567"/>
      <c r="CI115" s="567"/>
      <c r="CJ115" s="567"/>
      <c r="CK115" s="567"/>
      <c r="CL115" s="567"/>
      <c r="CM115" s="567"/>
      <c r="CN115" s="567"/>
      <c r="CO115" s="567"/>
      <c r="CP115" s="567"/>
      <c r="CQ115" s="567"/>
      <c r="CR115" s="567"/>
      <c r="CS115" s="567"/>
      <c r="CT115" s="567"/>
      <c r="CU115" s="567"/>
      <c r="CV115" s="567"/>
      <c r="CW115" s="567"/>
      <c r="CX115" s="567"/>
      <c r="CY115" s="567"/>
      <c r="CZ115" s="567"/>
      <c r="DA115" s="567"/>
      <c r="DB115" s="567"/>
      <c r="DC115" s="567"/>
      <c r="DD115" s="567"/>
      <c r="DE115" s="567"/>
      <c r="DF115" s="567"/>
      <c r="DG115" s="567"/>
      <c r="DH115" s="567"/>
      <c r="DI115" s="567"/>
      <c r="DJ115" s="567"/>
      <c r="DK115" s="567"/>
      <c r="DL115" s="567"/>
      <c r="DM115" s="567"/>
      <c r="DN115" s="567"/>
      <c r="DO115" s="567"/>
      <c r="DP115" s="567"/>
      <c r="DQ115" s="567"/>
    </row>
    <row r="116" spans="1:121" s="487" customFormat="1">
      <c r="A116" s="588"/>
      <c r="B116" s="588"/>
      <c r="C116" s="588"/>
      <c r="D116" s="588"/>
      <c r="E116" s="588"/>
      <c r="F116" s="588"/>
      <c r="G116" s="588"/>
      <c r="H116" s="588"/>
      <c r="I116" s="588"/>
      <c r="J116" s="588"/>
      <c r="K116" s="588"/>
      <c r="L116" s="702"/>
      <c r="M116" s="888"/>
      <c r="N116" s="888"/>
      <c r="O116" s="888"/>
      <c r="P116" s="888"/>
      <c r="Q116" s="888"/>
      <c r="R116" s="888"/>
      <c r="S116" s="888"/>
      <c r="T116" s="888"/>
      <c r="U116" s="888"/>
      <c r="V116" s="888"/>
      <c r="W116" s="888"/>
      <c r="X116" s="888"/>
      <c r="Y116" s="888"/>
      <c r="Z116" s="888"/>
      <c r="AA116" s="888"/>
      <c r="AB116" s="888"/>
      <c r="AC116" s="888"/>
      <c r="AD116" s="888"/>
      <c r="AE116" s="888"/>
      <c r="AF116" s="888"/>
      <c r="AG116" s="888"/>
      <c r="AH116" s="888"/>
      <c r="AI116" s="888"/>
      <c r="AJ116" s="888"/>
      <c r="AK116" s="888"/>
      <c r="AL116" s="888"/>
      <c r="AM116" s="888"/>
      <c r="AN116" s="888"/>
      <c r="AO116" s="888"/>
      <c r="AP116" s="888"/>
      <c r="AQ116" s="888"/>
      <c r="AR116" s="888"/>
      <c r="AS116" s="888"/>
      <c r="AT116" s="888"/>
      <c r="AU116" s="888"/>
      <c r="AV116" s="888"/>
      <c r="AW116" s="888"/>
      <c r="AX116" s="888"/>
      <c r="AY116" s="888"/>
      <c r="AZ116" s="567"/>
      <c r="BA116" s="567"/>
      <c r="BB116" s="567"/>
      <c r="BC116" s="567"/>
      <c r="BD116" s="567"/>
      <c r="BE116" s="567"/>
      <c r="BF116" s="567"/>
      <c r="BG116" s="567"/>
      <c r="BH116" s="567"/>
      <c r="BI116" s="567"/>
      <c r="BJ116" s="567"/>
      <c r="BK116" s="567"/>
      <c r="BL116" s="567"/>
      <c r="BM116" s="567"/>
      <c r="BN116" s="567"/>
      <c r="BO116" s="567"/>
      <c r="BP116" s="567"/>
      <c r="BQ116" s="567"/>
      <c r="BR116" s="567"/>
      <c r="BS116" s="567"/>
      <c r="BT116" s="567"/>
      <c r="BU116" s="567"/>
      <c r="BV116" s="567"/>
      <c r="BW116" s="567"/>
      <c r="BX116" s="567"/>
      <c r="BY116" s="567"/>
      <c r="BZ116" s="567"/>
      <c r="CA116" s="567"/>
      <c r="CB116" s="567"/>
      <c r="CC116" s="567"/>
      <c r="CD116" s="567"/>
      <c r="CE116" s="567"/>
      <c r="CF116" s="567"/>
      <c r="CG116" s="567"/>
      <c r="CH116" s="567"/>
      <c r="CI116" s="567"/>
      <c r="CJ116" s="567"/>
      <c r="CK116" s="567"/>
      <c r="CL116" s="567"/>
      <c r="CM116" s="567"/>
      <c r="CN116" s="567"/>
      <c r="CO116" s="567"/>
      <c r="CP116" s="567"/>
      <c r="CQ116" s="567"/>
      <c r="CR116" s="567"/>
      <c r="CS116" s="567"/>
      <c r="CT116" s="567"/>
      <c r="CU116" s="567"/>
      <c r="CV116" s="567"/>
      <c r="CW116" s="567"/>
      <c r="CX116" s="567"/>
      <c r="CY116" s="567"/>
      <c r="CZ116" s="567"/>
      <c r="DA116" s="567"/>
      <c r="DB116" s="567"/>
      <c r="DC116" s="567"/>
      <c r="DD116" s="567"/>
      <c r="DE116" s="567"/>
      <c r="DF116" s="567"/>
      <c r="DG116" s="567"/>
      <c r="DH116" s="567"/>
      <c r="DI116" s="567"/>
      <c r="DJ116" s="567"/>
      <c r="DK116" s="567"/>
      <c r="DL116" s="567"/>
      <c r="DM116" s="567"/>
      <c r="DN116" s="567"/>
      <c r="DO116" s="567"/>
      <c r="DP116" s="567"/>
      <c r="DQ116" s="567"/>
    </row>
    <row r="117" spans="1:121" s="487" customFormat="1">
      <c r="A117" s="588"/>
      <c r="B117" s="588"/>
      <c r="C117" s="588"/>
      <c r="D117" s="588"/>
      <c r="E117" s="588"/>
      <c r="F117" s="588"/>
      <c r="G117" s="588"/>
      <c r="H117" s="588"/>
      <c r="I117" s="588"/>
      <c r="J117" s="588"/>
      <c r="K117" s="588"/>
      <c r="L117" s="702"/>
      <c r="M117" s="888"/>
      <c r="N117" s="888"/>
      <c r="O117" s="888"/>
      <c r="P117" s="888"/>
      <c r="Q117" s="888"/>
      <c r="R117" s="888"/>
      <c r="S117" s="888"/>
      <c r="T117" s="888"/>
      <c r="U117" s="888"/>
      <c r="V117" s="888"/>
      <c r="W117" s="888"/>
      <c r="X117" s="888"/>
      <c r="Y117" s="888"/>
      <c r="Z117" s="888"/>
      <c r="AA117" s="888"/>
      <c r="AB117" s="888"/>
      <c r="AC117" s="888"/>
      <c r="AD117" s="888"/>
      <c r="AE117" s="888"/>
      <c r="AF117" s="888"/>
      <c r="AG117" s="888"/>
      <c r="AH117" s="888"/>
      <c r="AI117" s="888"/>
      <c r="AJ117" s="888"/>
      <c r="AK117" s="888"/>
      <c r="AL117" s="888"/>
      <c r="AM117" s="888"/>
      <c r="AN117" s="888"/>
      <c r="AO117" s="888"/>
      <c r="AP117" s="888"/>
      <c r="AQ117" s="888"/>
      <c r="AR117" s="888"/>
      <c r="AS117" s="888"/>
      <c r="AT117" s="888"/>
      <c r="AU117" s="888"/>
      <c r="AV117" s="888"/>
      <c r="AW117" s="888"/>
      <c r="AX117" s="888"/>
      <c r="AY117" s="888"/>
      <c r="AZ117" s="567"/>
      <c r="BA117" s="567"/>
      <c r="BB117" s="567"/>
      <c r="BC117" s="567"/>
      <c r="BD117" s="567"/>
      <c r="BE117" s="567"/>
      <c r="BF117" s="567"/>
      <c r="BG117" s="567"/>
      <c r="BH117" s="567"/>
      <c r="BI117" s="567"/>
      <c r="BJ117" s="567"/>
      <c r="BK117" s="567"/>
      <c r="BL117" s="567"/>
      <c r="BM117" s="567"/>
      <c r="BN117" s="567"/>
      <c r="BO117" s="567"/>
      <c r="BP117" s="567"/>
      <c r="BQ117" s="567"/>
      <c r="BR117" s="567"/>
      <c r="BS117" s="567"/>
      <c r="BT117" s="567"/>
      <c r="BU117" s="567"/>
      <c r="BV117" s="567"/>
      <c r="BW117" s="567"/>
      <c r="BX117" s="567"/>
      <c r="BY117" s="567"/>
      <c r="BZ117" s="567"/>
      <c r="CA117" s="567"/>
      <c r="CB117" s="567"/>
      <c r="CC117" s="567"/>
      <c r="CD117" s="567"/>
      <c r="CE117" s="567"/>
      <c r="CF117" s="567"/>
      <c r="CG117" s="567"/>
      <c r="CH117" s="567"/>
      <c r="CI117" s="567"/>
      <c r="CJ117" s="567"/>
      <c r="CK117" s="567"/>
      <c r="CL117" s="567"/>
      <c r="CM117" s="567"/>
      <c r="CN117" s="567"/>
      <c r="CO117" s="567"/>
      <c r="CP117" s="567"/>
      <c r="CQ117" s="567"/>
      <c r="CR117" s="567"/>
      <c r="CS117" s="567"/>
      <c r="CT117" s="567"/>
      <c r="CU117" s="567"/>
      <c r="CV117" s="567"/>
      <c r="CW117" s="567"/>
      <c r="CX117" s="567"/>
      <c r="CY117" s="567"/>
      <c r="CZ117" s="567"/>
      <c r="DA117" s="567"/>
      <c r="DB117" s="567"/>
      <c r="DC117" s="567"/>
      <c r="DD117" s="567"/>
      <c r="DE117" s="567"/>
      <c r="DF117" s="567"/>
      <c r="DG117" s="567"/>
      <c r="DH117" s="567"/>
      <c r="DI117" s="567"/>
      <c r="DJ117" s="567"/>
      <c r="DK117" s="567"/>
      <c r="DL117" s="567"/>
      <c r="DM117" s="567"/>
      <c r="DN117" s="567"/>
      <c r="DO117" s="567"/>
      <c r="DP117" s="567"/>
      <c r="DQ117" s="567"/>
    </row>
    <row r="118" spans="1:121" s="487" customFormat="1">
      <c r="A118" s="588"/>
      <c r="B118" s="588"/>
      <c r="C118" s="588"/>
      <c r="D118" s="588"/>
      <c r="E118" s="588"/>
      <c r="F118" s="588"/>
      <c r="G118" s="588"/>
      <c r="H118" s="588"/>
      <c r="I118" s="588"/>
      <c r="J118" s="588"/>
      <c r="K118" s="588"/>
      <c r="L118" s="702"/>
      <c r="M118" s="888"/>
      <c r="N118" s="888"/>
      <c r="O118" s="888"/>
      <c r="P118" s="888"/>
      <c r="Q118" s="888"/>
      <c r="R118" s="888"/>
      <c r="S118" s="888"/>
      <c r="T118" s="888"/>
      <c r="U118" s="888"/>
      <c r="V118" s="888"/>
      <c r="W118" s="888"/>
      <c r="X118" s="888"/>
      <c r="Y118" s="888"/>
      <c r="Z118" s="888"/>
      <c r="AA118" s="888"/>
      <c r="AB118" s="888"/>
      <c r="AC118" s="888"/>
      <c r="AD118" s="888"/>
      <c r="AE118" s="888"/>
      <c r="AF118" s="888"/>
      <c r="AG118" s="888"/>
      <c r="AH118" s="888"/>
      <c r="AI118" s="888"/>
      <c r="AJ118" s="888"/>
      <c r="AK118" s="888"/>
      <c r="AL118" s="888"/>
      <c r="AM118" s="888"/>
      <c r="AN118" s="888"/>
      <c r="AO118" s="888"/>
      <c r="AP118" s="888"/>
      <c r="AQ118" s="888"/>
      <c r="AR118" s="888"/>
      <c r="AS118" s="888"/>
      <c r="AT118" s="888"/>
      <c r="AU118" s="888"/>
      <c r="AV118" s="888"/>
      <c r="AW118" s="888"/>
      <c r="AX118" s="888"/>
      <c r="AY118" s="888"/>
      <c r="AZ118" s="567"/>
      <c r="BA118" s="567"/>
      <c r="BB118" s="567"/>
      <c r="BC118" s="567"/>
      <c r="BD118" s="567"/>
      <c r="BE118" s="567"/>
      <c r="BF118" s="567"/>
      <c r="BG118" s="567"/>
      <c r="BH118" s="567"/>
      <c r="BI118" s="567"/>
      <c r="BJ118" s="567"/>
      <c r="BK118" s="567"/>
      <c r="BL118" s="567"/>
      <c r="BM118" s="567"/>
      <c r="BN118" s="567"/>
      <c r="BO118" s="567"/>
      <c r="BP118" s="567"/>
      <c r="BQ118" s="567"/>
      <c r="BR118" s="567"/>
      <c r="BS118" s="567"/>
      <c r="BT118" s="567"/>
      <c r="BU118" s="567"/>
      <c r="BV118" s="567"/>
      <c r="BW118" s="567"/>
      <c r="BX118" s="567"/>
      <c r="BY118" s="567"/>
      <c r="BZ118" s="567"/>
      <c r="CA118" s="567"/>
      <c r="CB118" s="567"/>
      <c r="CC118" s="567"/>
      <c r="CD118" s="567"/>
      <c r="CE118" s="567"/>
      <c r="CF118" s="567"/>
      <c r="CG118" s="567"/>
      <c r="CH118" s="567"/>
      <c r="CI118" s="567"/>
      <c r="CJ118" s="567"/>
      <c r="CK118" s="567"/>
      <c r="CL118" s="567"/>
      <c r="CM118" s="567"/>
      <c r="CN118" s="567"/>
      <c r="CO118" s="567"/>
      <c r="CP118" s="567"/>
      <c r="CQ118" s="567"/>
      <c r="CR118" s="567"/>
      <c r="CS118" s="567"/>
      <c r="CT118" s="567"/>
      <c r="CU118" s="567"/>
      <c r="CV118" s="567"/>
      <c r="CW118" s="567"/>
      <c r="CX118" s="567"/>
      <c r="CY118" s="567"/>
      <c r="CZ118" s="567"/>
      <c r="DA118" s="567"/>
      <c r="DB118" s="567"/>
      <c r="DC118" s="567"/>
      <c r="DD118" s="567"/>
      <c r="DE118" s="567"/>
      <c r="DF118" s="567"/>
      <c r="DG118" s="567"/>
      <c r="DH118" s="567"/>
      <c r="DI118" s="567"/>
      <c r="DJ118" s="567"/>
      <c r="DK118" s="567"/>
      <c r="DL118" s="567"/>
      <c r="DM118" s="567"/>
      <c r="DN118" s="567"/>
      <c r="DO118" s="567"/>
      <c r="DP118" s="567"/>
      <c r="DQ118" s="567"/>
    </row>
    <row r="119" spans="1:121" s="487" customFormat="1">
      <c r="A119" s="588"/>
      <c r="B119" s="588"/>
      <c r="C119" s="588"/>
      <c r="D119" s="588"/>
      <c r="E119" s="588"/>
      <c r="F119" s="588"/>
      <c r="G119" s="588"/>
      <c r="H119" s="588"/>
      <c r="I119" s="588"/>
      <c r="J119" s="588"/>
      <c r="K119" s="588"/>
      <c r="L119" s="702"/>
      <c r="M119" s="888"/>
      <c r="N119" s="888"/>
      <c r="O119" s="888"/>
      <c r="P119" s="888"/>
      <c r="Q119" s="888"/>
      <c r="R119" s="888"/>
      <c r="S119" s="888"/>
      <c r="T119" s="888"/>
      <c r="U119" s="888"/>
      <c r="V119" s="888"/>
      <c r="W119" s="888"/>
      <c r="X119" s="888"/>
      <c r="Y119" s="888"/>
      <c r="Z119" s="888"/>
      <c r="AA119" s="888"/>
      <c r="AB119" s="888"/>
      <c r="AC119" s="888"/>
      <c r="AD119" s="888"/>
      <c r="AE119" s="888"/>
      <c r="AF119" s="888"/>
      <c r="AG119" s="888"/>
      <c r="AH119" s="888"/>
      <c r="AI119" s="888"/>
      <c r="AJ119" s="888"/>
      <c r="AK119" s="888"/>
      <c r="AL119" s="888"/>
      <c r="AM119" s="888"/>
      <c r="AN119" s="888"/>
      <c r="AO119" s="888"/>
      <c r="AP119" s="888"/>
      <c r="AQ119" s="888"/>
      <c r="AR119" s="888"/>
      <c r="AS119" s="888"/>
      <c r="AT119" s="888"/>
      <c r="AU119" s="888"/>
      <c r="AV119" s="888"/>
      <c r="AW119" s="888"/>
      <c r="AX119" s="888"/>
      <c r="AY119" s="888"/>
      <c r="AZ119" s="567"/>
      <c r="BA119" s="567"/>
      <c r="BB119" s="567"/>
      <c r="BC119" s="567"/>
      <c r="BD119" s="567"/>
      <c r="BE119" s="567"/>
      <c r="BF119" s="567"/>
      <c r="BG119" s="567"/>
      <c r="BH119" s="567"/>
      <c r="BI119" s="567"/>
      <c r="BJ119" s="567"/>
      <c r="BK119" s="567"/>
      <c r="BL119" s="567"/>
      <c r="BM119" s="567"/>
      <c r="BN119" s="567"/>
      <c r="BO119" s="567"/>
      <c r="BP119" s="567"/>
      <c r="BQ119" s="567"/>
      <c r="BR119" s="567"/>
      <c r="BS119" s="567"/>
      <c r="BT119" s="567"/>
      <c r="BU119" s="567"/>
      <c r="BV119" s="567"/>
      <c r="BW119" s="567"/>
      <c r="BX119" s="567"/>
      <c r="BY119" s="567"/>
      <c r="BZ119" s="567"/>
      <c r="CA119" s="567"/>
      <c r="CB119" s="567"/>
      <c r="CC119" s="567"/>
      <c r="CD119" s="567"/>
      <c r="CE119" s="567"/>
      <c r="CF119" s="567"/>
      <c r="CG119" s="567"/>
      <c r="CH119" s="567"/>
      <c r="CI119" s="567"/>
      <c r="CJ119" s="567"/>
      <c r="CK119" s="567"/>
      <c r="CL119" s="567"/>
      <c r="CM119" s="567"/>
      <c r="CN119" s="567"/>
      <c r="CO119" s="567"/>
      <c r="CP119" s="567"/>
      <c r="CQ119" s="567"/>
      <c r="CR119" s="567"/>
      <c r="CS119" s="567"/>
      <c r="CT119" s="567"/>
      <c r="CU119" s="567"/>
      <c r="CV119" s="567"/>
      <c r="CW119" s="567"/>
      <c r="CX119" s="567"/>
      <c r="CY119" s="567"/>
      <c r="CZ119" s="567"/>
      <c r="DA119" s="567"/>
      <c r="DB119" s="567"/>
      <c r="DC119" s="567"/>
      <c r="DD119" s="567"/>
      <c r="DE119" s="567"/>
      <c r="DF119" s="567"/>
      <c r="DG119" s="567"/>
      <c r="DH119" s="567"/>
      <c r="DI119" s="567"/>
      <c r="DJ119" s="567"/>
      <c r="DK119" s="567"/>
      <c r="DL119" s="567"/>
      <c r="DM119" s="567"/>
      <c r="DN119" s="567"/>
      <c r="DO119" s="567"/>
      <c r="DP119" s="567"/>
      <c r="DQ119" s="567"/>
    </row>
    <row r="120" spans="1:121" s="487" customFormat="1">
      <c r="A120" s="588"/>
      <c r="B120" s="588"/>
      <c r="C120" s="588"/>
      <c r="D120" s="588"/>
      <c r="E120" s="588"/>
      <c r="F120" s="588"/>
      <c r="G120" s="588"/>
      <c r="H120" s="588"/>
      <c r="I120" s="588"/>
      <c r="J120" s="588"/>
      <c r="K120" s="588"/>
      <c r="L120" s="702"/>
      <c r="M120" s="888"/>
      <c r="N120" s="888"/>
      <c r="O120" s="888"/>
      <c r="P120" s="888"/>
      <c r="Q120" s="888"/>
      <c r="R120" s="888"/>
      <c r="S120" s="888"/>
      <c r="T120" s="888"/>
      <c r="U120" s="888"/>
      <c r="V120" s="888"/>
      <c r="W120" s="888"/>
      <c r="X120" s="888"/>
      <c r="Y120" s="888"/>
      <c r="Z120" s="888"/>
      <c r="AA120" s="888"/>
      <c r="AB120" s="888"/>
      <c r="AC120" s="888"/>
      <c r="AD120" s="888"/>
      <c r="AE120" s="888"/>
      <c r="AF120" s="888"/>
      <c r="AG120" s="888"/>
      <c r="AH120" s="888"/>
      <c r="AI120" s="888"/>
      <c r="AJ120" s="888"/>
      <c r="AK120" s="888"/>
      <c r="AL120" s="888"/>
      <c r="AM120" s="888"/>
      <c r="AN120" s="888"/>
      <c r="AO120" s="888"/>
      <c r="AP120" s="888"/>
      <c r="AQ120" s="888"/>
      <c r="AR120" s="888"/>
      <c r="AS120" s="888"/>
      <c r="AT120" s="888"/>
      <c r="AU120" s="888"/>
      <c r="AV120" s="888"/>
      <c r="AW120" s="888"/>
      <c r="AX120" s="888"/>
      <c r="AY120" s="888"/>
      <c r="AZ120" s="567"/>
      <c r="BA120" s="567"/>
      <c r="BB120" s="567"/>
      <c r="BC120" s="567"/>
      <c r="BD120" s="567"/>
      <c r="BE120" s="567"/>
      <c r="BF120" s="567"/>
      <c r="BG120" s="567"/>
      <c r="BH120" s="567"/>
      <c r="BI120" s="567"/>
      <c r="BJ120" s="567"/>
      <c r="BK120" s="567"/>
      <c r="BL120" s="567"/>
      <c r="BM120" s="567"/>
      <c r="BN120" s="567"/>
      <c r="BO120" s="567"/>
      <c r="BP120" s="567"/>
      <c r="BQ120" s="567"/>
      <c r="BR120" s="567"/>
      <c r="BS120" s="567"/>
      <c r="BT120" s="567"/>
      <c r="BU120" s="567"/>
      <c r="BV120" s="567"/>
      <c r="BW120" s="567"/>
      <c r="BX120" s="567"/>
      <c r="BY120" s="567"/>
      <c r="BZ120" s="567"/>
      <c r="CA120" s="567"/>
      <c r="CB120" s="567"/>
      <c r="CC120" s="567"/>
      <c r="CD120" s="567"/>
      <c r="CE120" s="567"/>
      <c r="CF120" s="567"/>
      <c r="CG120" s="567"/>
      <c r="CH120" s="567"/>
      <c r="CI120" s="567"/>
      <c r="CJ120" s="567"/>
      <c r="CK120" s="567"/>
      <c r="CL120" s="567"/>
      <c r="CM120" s="567"/>
      <c r="CN120" s="567"/>
      <c r="CO120" s="567"/>
      <c r="CP120" s="567"/>
      <c r="CQ120" s="567"/>
      <c r="CR120" s="567"/>
      <c r="CS120" s="567"/>
      <c r="CT120" s="567"/>
      <c r="CU120" s="567"/>
      <c r="CV120" s="567"/>
      <c r="CW120" s="567"/>
      <c r="CX120" s="567"/>
      <c r="CY120" s="567"/>
      <c r="CZ120" s="567"/>
      <c r="DA120" s="567"/>
      <c r="DB120" s="567"/>
      <c r="DC120" s="567"/>
      <c r="DD120" s="567"/>
      <c r="DE120" s="567"/>
      <c r="DF120" s="567"/>
      <c r="DG120" s="567"/>
      <c r="DH120" s="567"/>
      <c r="DI120" s="567"/>
      <c r="DJ120" s="567"/>
      <c r="DK120" s="567"/>
      <c r="DL120" s="567"/>
      <c r="DM120" s="567"/>
      <c r="DN120" s="567"/>
      <c r="DO120" s="567"/>
      <c r="DP120" s="567"/>
      <c r="DQ120" s="567"/>
    </row>
    <row r="121" spans="1:121" s="487" customFormat="1">
      <c r="A121" s="588"/>
      <c r="B121" s="588"/>
      <c r="C121" s="588"/>
      <c r="D121" s="588"/>
      <c r="E121" s="588"/>
      <c r="F121" s="588"/>
      <c r="G121" s="588"/>
      <c r="H121" s="588"/>
      <c r="I121" s="588"/>
      <c r="J121" s="588"/>
      <c r="K121" s="588"/>
      <c r="L121" s="702"/>
      <c r="M121" s="888"/>
      <c r="N121" s="888"/>
      <c r="O121" s="888"/>
      <c r="P121" s="888"/>
      <c r="Q121" s="888"/>
      <c r="R121" s="888"/>
      <c r="S121" s="888"/>
      <c r="T121" s="888"/>
      <c r="U121" s="888"/>
      <c r="V121" s="888"/>
      <c r="W121" s="888"/>
      <c r="X121" s="888"/>
      <c r="Y121" s="888"/>
      <c r="Z121" s="888"/>
      <c r="AA121" s="888"/>
      <c r="AB121" s="888"/>
      <c r="AC121" s="888"/>
      <c r="AD121" s="888"/>
      <c r="AE121" s="888"/>
      <c r="AF121" s="888"/>
      <c r="AG121" s="888"/>
      <c r="AH121" s="888"/>
      <c r="AI121" s="888"/>
      <c r="AJ121" s="888"/>
      <c r="AK121" s="888"/>
      <c r="AL121" s="888"/>
      <c r="AM121" s="888"/>
      <c r="AN121" s="888"/>
      <c r="AO121" s="888"/>
      <c r="AP121" s="888"/>
      <c r="AQ121" s="888"/>
      <c r="AR121" s="888"/>
      <c r="AS121" s="888"/>
      <c r="AT121" s="888"/>
      <c r="AU121" s="888"/>
      <c r="AV121" s="888"/>
      <c r="AW121" s="888"/>
      <c r="AX121" s="888"/>
      <c r="AY121" s="888"/>
      <c r="AZ121" s="567"/>
      <c r="BA121" s="567"/>
      <c r="BB121" s="567"/>
      <c r="BC121" s="567"/>
      <c r="BD121" s="567"/>
      <c r="BE121" s="567"/>
      <c r="BF121" s="567"/>
      <c r="BG121" s="567"/>
      <c r="BH121" s="567"/>
      <c r="BI121" s="567"/>
      <c r="BJ121" s="567"/>
      <c r="BK121" s="567"/>
      <c r="BL121" s="567"/>
      <c r="BM121" s="567"/>
      <c r="BN121" s="567"/>
      <c r="BO121" s="567"/>
      <c r="BP121" s="567"/>
      <c r="BQ121" s="567"/>
      <c r="BR121" s="567"/>
      <c r="BS121" s="567"/>
      <c r="BT121" s="567"/>
      <c r="BU121" s="567"/>
      <c r="BV121" s="567"/>
      <c r="BW121" s="567"/>
      <c r="BX121" s="567"/>
      <c r="BY121" s="567"/>
      <c r="BZ121" s="567"/>
      <c r="CA121" s="567"/>
      <c r="CB121" s="567"/>
      <c r="CC121" s="567"/>
      <c r="CD121" s="567"/>
      <c r="CE121" s="567"/>
      <c r="CF121" s="567"/>
      <c r="CG121" s="567"/>
      <c r="CH121" s="567"/>
      <c r="CI121" s="567"/>
      <c r="CJ121" s="567"/>
      <c r="CK121" s="567"/>
      <c r="CL121" s="567"/>
      <c r="CM121" s="567"/>
      <c r="CN121" s="567"/>
      <c r="CO121" s="567"/>
      <c r="CP121" s="567"/>
      <c r="CQ121" s="567"/>
      <c r="CR121" s="567"/>
      <c r="CS121" s="567"/>
      <c r="CT121" s="567"/>
      <c r="CU121" s="567"/>
      <c r="CV121" s="567"/>
      <c r="CW121" s="567"/>
      <c r="CX121" s="567"/>
      <c r="CY121" s="567"/>
      <c r="CZ121" s="567"/>
      <c r="DA121" s="567"/>
      <c r="DB121" s="567"/>
      <c r="DC121" s="567"/>
      <c r="DD121" s="567"/>
      <c r="DE121" s="567"/>
      <c r="DF121" s="567"/>
      <c r="DG121" s="567"/>
      <c r="DH121" s="567"/>
      <c r="DI121" s="567"/>
      <c r="DJ121" s="567"/>
      <c r="DK121" s="567"/>
      <c r="DL121" s="567"/>
      <c r="DM121" s="567"/>
      <c r="DN121" s="567"/>
      <c r="DO121" s="567"/>
      <c r="DP121" s="567"/>
      <c r="DQ121" s="567"/>
    </row>
    <row r="122" spans="1:121" s="487" customFormat="1">
      <c r="A122" s="588"/>
      <c r="B122" s="588"/>
      <c r="C122" s="588"/>
      <c r="D122" s="588"/>
      <c r="E122" s="588"/>
      <c r="F122" s="588"/>
      <c r="G122" s="588"/>
      <c r="H122" s="588"/>
      <c r="I122" s="588"/>
      <c r="J122" s="588"/>
      <c r="K122" s="588"/>
      <c r="L122" s="702"/>
      <c r="M122" s="888"/>
      <c r="N122" s="888"/>
      <c r="O122" s="888"/>
      <c r="P122" s="888"/>
      <c r="Q122" s="888"/>
      <c r="R122" s="888"/>
      <c r="S122" s="888"/>
      <c r="T122" s="888"/>
      <c r="U122" s="888"/>
      <c r="V122" s="888"/>
      <c r="W122" s="888"/>
      <c r="X122" s="888"/>
      <c r="Y122" s="888"/>
      <c r="Z122" s="888"/>
      <c r="AA122" s="888"/>
      <c r="AB122" s="888"/>
      <c r="AC122" s="888"/>
      <c r="AD122" s="888"/>
      <c r="AE122" s="888"/>
      <c r="AF122" s="888"/>
      <c r="AG122" s="888"/>
      <c r="AH122" s="888"/>
      <c r="AI122" s="888"/>
      <c r="AJ122" s="888"/>
      <c r="AK122" s="888"/>
      <c r="AL122" s="888"/>
      <c r="AM122" s="888"/>
      <c r="AN122" s="888"/>
      <c r="AO122" s="888"/>
      <c r="AP122" s="888"/>
      <c r="AQ122" s="888"/>
      <c r="AR122" s="888"/>
      <c r="AS122" s="888"/>
      <c r="AT122" s="888"/>
      <c r="AU122" s="888"/>
      <c r="AV122" s="888"/>
      <c r="AW122" s="888"/>
      <c r="AX122" s="888"/>
      <c r="AY122" s="888"/>
      <c r="AZ122" s="567"/>
      <c r="BA122" s="567"/>
      <c r="BB122" s="567"/>
      <c r="BC122" s="567"/>
      <c r="BD122" s="567"/>
      <c r="BE122" s="567"/>
      <c r="BF122" s="567"/>
      <c r="BG122" s="567"/>
      <c r="BH122" s="567"/>
      <c r="BI122" s="567"/>
      <c r="BJ122" s="567"/>
      <c r="BK122" s="567"/>
      <c r="BL122" s="567"/>
      <c r="BM122" s="567"/>
      <c r="BN122" s="567"/>
      <c r="BO122" s="567"/>
      <c r="BP122" s="567"/>
      <c r="BQ122" s="567"/>
      <c r="BR122" s="567"/>
      <c r="BS122" s="567"/>
      <c r="BT122" s="567"/>
      <c r="BU122" s="567"/>
      <c r="BV122" s="567"/>
      <c r="BW122" s="567"/>
      <c r="BX122" s="567"/>
      <c r="BY122" s="567"/>
      <c r="BZ122" s="567"/>
      <c r="CA122" s="567"/>
      <c r="CB122" s="567"/>
      <c r="CC122" s="567"/>
      <c r="CD122" s="567"/>
      <c r="CE122" s="567"/>
      <c r="CF122" s="567"/>
      <c r="CG122" s="567"/>
      <c r="CH122" s="567"/>
      <c r="CI122" s="567"/>
      <c r="CJ122" s="567"/>
      <c r="CK122" s="567"/>
      <c r="CL122" s="567"/>
      <c r="CM122" s="567"/>
      <c r="CN122" s="567"/>
      <c r="CO122" s="567"/>
      <c r="CP122" s="567"/>
      <c r="CQ122" s="567"/>
      <c r="CR122" s="567"/>
      <c r="CS122" s="567"/>
      <c r="CT122" s="567"/>
      <c r="CU122" s="567"/>
      <c r="CV122" s="567"/>
      <c r="CW122" s="567"/>
      <c r="CX122" s="567"/>
      <c r="CY122" s="567"/>
      <c r="CZ122" s="567"/>
      <c r="DA122" s="567"/>
      <c r="DB122" s="567"/>
      <c r="DC122" s="567"/>
      <c r="DD122" s="567"/>
      <c r="DE122" s="567"/>
      <c r="DF122" s="567"/>
      <c r="DG122" s="567"/>
      <c r="DH122" s="567"/>
      <c r="DI122" s="567"/>
      <c r="DJ122" s="567"/>
      <c r="DK122" s="567"/>
      <c r="DL122" s="567"/>
      <c r="DM122" s="567"/>
      <c r="DN122" s="567"/>
      <c r="DO122" s="567"/>
      <c r="DP122" s="567"/>
      <c r="DQ122" s="567"/>
    </row>
    <row r="123" spans="1:121" s="487" customFormat="1">
      <c r="A123" s="588"/>
      <c r="B123" s="588"/>
      <c r="C123" s="588"/>
      <c r="D123" s="588"/>
      <c r="E123" s="588"/>
      <c r="F123" s="588"/>
      <c r="G123" s="588"/>
      <c r="H123" s="588"/>
      <c r="I123" s="588"/>
      <c r="J123" s="588"/>
      <c r="K123" s="588"/>
      <c r="L123" s="702"/>
      <c r="M123" s="888"/>
      <c r="N123" s="888"/>
      <c r="O123" s="888"/>
      <c r="P123" s="888"/>
      <c r="Q123" s="888"/>
      <c r="R123" s="888"/>
      <c r="S123" s="888"/>
      <c r="T123" s="888"/>
      <c r="U123" s="888"/>
      <c r="V123" s="888"/>
      <c r="W123" s="888"/>
      <c r="X123" s="888"/>
      <c r="Y123" s="888"/>
      <c r="Z123" s="888"/>
      <c r="AA123" s="888"/>
      <c r="AB123" s="888"/>
      <c r="AC123" s="888"/>
      <c r="AD123" s="888"/>
      <c r="AE123" s="888"/>
      <c r="AF123" s="888"/>
      <c r="AG123" s="888"/>
      <c r="AH123" s="888"/>
      <c r="AI123" s="888"/>
      <c r="AJ123" s="888"/>
      <c r="AK123" s="888"/>
      <c r="AL123" s="888"/>
      <c r="AM123" s="888"/>
      <c r="AN123" s="888"/>
      <c r="AO123" s="888"/>
      <c r="AP123" s="888"/>
      <c r="AQ123" s="888"/>
      <c r="AR123" s="888"/>
      <c r="AS123" s="888"/>
      <c r="AT123" s="888"/>
      <c r="AU123" s="888"/>
      <c r="AV123" s="888"/>
      <c r="AW123" s="888"/>
      <c r="AX123" s="888"/>
      <c r="AY123" s="888"/>
      <c r="AZ123" s="567"/>
      <c r="BA123" s="567"/>
      <c r="BB123" s="567"/>
      <c r="BC123" s="567"/>
      <c r="BD123" s="567"/>
      <c r="BE123" s="567"/>
      <c r="BF123" s="567"/>
      <c r="BG123" s="567"/>
      <c r="BH123" s="567"/>
      <c r="BI123" s="567"/>
      <c r="BJ123" s="567"/>
      <c r="BK123" s="567"/>
      <c r="BL123" s="567"/>
      <c r="BM123" s="567"/>
      <c r="BN123" s="567"/>
      <c r="BO123" s="567"/>
      <c r="BP123" s="567"/>
      <c r="BQ123" s="567"/>
      <c r="BR123" s="567"/>
      <c r="BS123" s="567"/>
      <c r="BT123" s="567"/>
      <c r="BU123" s="567"/>
      <c r="BV123" s="567"/>
      <c r="BW123" s="567"/>
      <c r="BX123" s="567"/>
      <c r="BY123" s="567"/>
      <c r="BZ123" s="567"/>
      <c r="CA123" s="567"/>
      <c r="CB123" s="567"/>
      <c r="CC123" s="567"/>
      <c r="CD123" s="567"/>
      <c r="CE123" s="567"/>
      <c r="CF123" s="567"/>
      <c r="CG123" s="567"/>
      <c r="CH123" s="567"/>
      <c r="CI123" s="567"/>
      <c r="CJ123" s="567"/>
      <c r="CK123" s="567"/>
      <c r="CL123" s="567"/>
      <c r="CM123" s="567"/>
      <c r="CN123" s="567"/>
      <c r="CO123" s="567"/>
      <c r="CP123" s="567"/>
      <c r="CQ123" s="567"/>
      <c r="CR123" s="567"/>
      <c r="CS123" s="567"/>
      <c r="CT123" s="567"/>
      <c r="CU123" s="567"/>
      <c r="CV123" s="567"/>
      <c r="CW123" s="567"/>
      <c r="CX123" s="567"/>
      <c r="CY123" s="567"/>
      <c r="CZ123" s="567"/>
      <c r="DA123" s="567"/>
      <c r="DB123" s="567"/>
      <c r="DC123" s="567"/>
      <c r="DD123" s="567"/>
      <c r="DE123" s="567"/>
      <c r="DF123" s="567"/>
      <c r="DG123" s="567"/>
      <c r="DH123" s="567"/>
      <c r="DI123" s="567"/>
      <c r="DJ123" s="567"/>
      <c r="DK123" s="567"/>
      <c r="DL123" s="567"/>
      <c r="DM123" s="567"/>
      <c r="DN123" s="567"/>
      <c r="DO123" s="567"/>
      <c r="DP123" s="567"/>
      <c r="DQ123" s="567"/>
    </row>
    <row r="124" spans="1:121" s="487" customFormat="1">
      <c r="A124" s="588"/>
      <c r="B124" s="588"/>
      <c r="C124" s="588"/>
      <c r="D124" s="588"/>
      <c r="E124" s="588"/>
      <c r="F124" s="588"/>
      <c r="G124" s="588"/>
      <c r="H124" s="588"/>
      <c r="I124" s="588"/>
      <c r="J124" s="588"/>
      <c r="K124" s="588"/>
      <c r="L124" s="702"/>
      <c r="M124" s="888"/>
      <c r="N124" s="888"/>
      <c r="O124" s="888"/>
      <c r="P124" s="888"/>
      <c r="Q124" s="888"/>
      <c r="R124" s="888"/>
      <c r="S124" s="888"/>
      <c r="T124" s="888"/>
      <c r="U124" s="888"/>
      <c r="V124" s="888"/>
      <c r="W124" s="888"/>
      <c r="X124" s="888"/>
      <c r="Y124" s="888"/>
      <c r="Z124" s="888"/>
      <c r="AA124" s="888"/>
      <c r="AB124" s="888"/>
      <c r="AC124" s="888"/>
      <c r="AD124" s="888"/>
      <c r="AE124" s="888"/>
      <c r="AF124" s="888"/>
      <c r="AG124" s="888"/>
      <c r="AH124" s="888"/>
      <c r="AI124" s="888"/>
      <c r="AJ124" s="888"/>
      <c r="AK124" s="888"/>
      <c r="AL124" s="888"/>
      <c r="AM124" s="888"/>
      <c r="AN124" s="888"/>
      <c r="AO124" s="888"/>
      <c r="AP124" s="888"/>
      <c r="AQ124" s="888"/>
      <c r="AR124" s="888"/>
      <c r="AS124" s="888"/>
      <c r="AT124" s="888"/>
      <c r="AU124" s="888"/>
      <c r="AV124" s="888"/>
      <c r="AW124" s="888"/>
      <c r="AX124" s="888"/>
      <c r="AY124" s="888"/>
      <c r="AZ124" s="567"/>
      <c r="BA124" s="567"/>
      <c r="BB124" s="567"/>
      <c r="BC124" s="567"/>
      <c r="BD124" s="567"/>
      <c r="BE124" s="567"/>
      <c r="BF124" s="567"/>
      <c r="BG124" s="567"/>
      <c r="BH124" s="567"/>
      <c r="BI124" s="567"/>
      <c r="BJ124" s="567"/>
      <c r="BK124" s="567"/>
      <c r="BL124" s="567"/>
      <c r="BM124" s="567"/>
      <c r="BN124" s="567"/>
      <c r="BO124" s="567"/>
      <c r="BP124" s="567"/>
      <c r="BQ124" s="567"/>
      <c r="BR124" s="567"/>
      <c r="BS124" s="567"/>
      <c r="BT124" s="567"/>
      <c r="BU124" s="567"/>
      <c r="BV124" s="567"/>
      <c r="BW124" s="567"/>
      <c r="BX124" s="567"/>
      <c r="BY124" s="567"/>
      <c r="BZ124" s="567"/>
      <c r="CA124" s="567"/>
      <c r="CB124" s="567"/>
      <c r="CC124" s="567"/>
      <c r="CD124" s="567"/>
      <c r="CE124" s="567"/>
      <c r="CF124" s="567"/>
      <c r="CG124" s="567"/>
      <c r="CH124" s="567"/>
      <c r="CI124" s="567"/>
      <c r="CJ124" s="567"/>
      <c r="CK124" s="567"/>
      <c r="CL124" s="567"/>
      <c r="CM124" s="567"/>
      <c r="CN124" s="567"/>
      <c r="CO124" s="567"/>
      <c r="CP124" s="567"/>
      <c r="CQ124" s="567"/>
      <c r="CR124" s="567"/>
      <c r="CS124" s="567"/>
      <c r="CT124" s="567"/>
      <c r="CU124" s="567"/>
      <c r="CV124" s="567"/>
      <c r="CW124" s="567"/>
      <c r="CX124" s="567"/>
      <c r="CY124" s="567"/>
      <c r="CZ124" s="567"/>
      <c r="DA124" s="567"/>
      <c r="DB124" s="567"/>
      <c r="DC124" s="567"/>
      <c r="DD124" s="567"/>
      <c r="DE124" s="567"/>
      <c r="DF124" s="567"/>
      <c r="DG124" s="567"/>
      <c r="DH124" s="567"/>
      <c r="DI124" s="567"/>
      <c r="DJ124" s="567"/>
      <c r="DK124" s="567"/>
      <c r="DL124" s="567"/>
      <c r="DM124" s="567"/>
      <c r="DN124" s="567"/>
      <c r="DO124" s="567"/>
      <c r="DP124" s="567"/>
      <c r="DQ124" s="567"/>
    </row>
    <row r="125" spans="1:121" s="487" customFormat="1">
      <c r="A125" s="588"/>
      <c r="B125" s="588"/>
      <c r="C125" s="588"/>
      <c r="D125" s="588"/>
      <c r="E125" s="588"/>
      <c r="F125" s="588"/>
      <c r="G125" s="588"/>
      <c r="H125" s="588"/>
      <c r="I125" s="588"/>
      <c r="J125" s="588"/>
      <c r="K125" s="588"/>
      <c r="L125" s="702"/>
      <c r="M125" s="888"/>
      <c r="N125" s="888"/>
      <c r="O125" s="888"/>
      <c r="P125" s="888"/>
      <c r="Q125" s="888"/>
      <c r="R125" s="888"/>
      <c r="S125" s="888"/>
      <c r="T125" s="888"/>
      <c r="U125" s="888"/>
      <c r="V125" s="888"/>
      <c r="W125" s="888"/>
      <c r="X125" s="888"/>
      <c r="Y125" s="888"/>
      <c r="Z125" s="888"/>
      <c r="AA125" s="888"/>
      <c r="AB125" s="888"/>
      <c r="AC125" s="888"/>
      <c r="AD125" s="888"/>
      <c r="AE125" s="888"/>
      <c r="AF125" s="888"/>
      <c r="AG125" s="888"/>
      <c r="AH125" s="888"/>
      <c r="AI125" s="888"/>
      <c r="AJ125" s="888"/>
      <c r="AK125" s="888"/>
      <c r="AL125" s="888"/>
      <c r="AM125" s="888"/>
      <c r="AN125" s="888"/>
      <c r="AO125" s="888"/>
      <c r="AP125" s="888"/>
      <c r="AQ125" s="888"/>
      <c r="AR125" s="888"/>
      <c r="AS125" s="888"/>
      <c r="AT125" s="888"/>
      <c r="AU125" s="888"/>
      <c r="AV125" s="888"/>
      <c r="AW125" s="888"/>
      <c r="AX125" s="888"/>
      <c r="AY125" s="888"/>
      <c r="AZ125" s="567"/>
      <c r="BA125" s="567"/>
      <c r="BB125" s="567"/>
      <c r="BC125" s="567"/>
      <c r="BD125" s="567"/>
      <c r="BE125" s="567"/>
      <c r="BF125" s="567"/>
      <c r="BG125" s="567"/>
      <c r="BH125" s="567"/>
      <c r="BI125" s="567"/>
      <c r="BJ125" s="567"/>
      <c r="BK125" s="567"/>
      <c r="BL125" s="567"/>
      <c r="BM125" s="567"/>
      <c r="BN125" s="567"/>
      <c r="BO125" s="567"/>
      <c r="BP125" s="567"/>
      <c r="BQ125" s="567"/>
      <c r="BR125" s="567"/>
      <c r="BS125" s="567"/>
      <c r="BT125" s="567"/>
      <c r="BU125" s="567"/>
      <c r="BV125" s="567"/>
      <c r="BW125" s="567"/>
      <c r="BX125" s="567"/>
      <c r="BY125" s="567"/>
      <c r="BZ125" s="567"/>
      <c r="CA125" s="567"/>
      <c r="CB125" s="567"/>
      <c r="CC125" s="567"/>
      <c r="CD125" s="567"/>
      <c r="CE125" s="567"/>
      <c r="CF125" s="567"/>
      <c r="CG125" s="567"/>
      <c r="CH125" s="567"/>
      <c r="CI125" s="567"/>
      <c r="CJ125" s="567"/>
      <c r="CK125" s="567"/>
      <c r="CL125" s="567"/>
      <c r="CM125" s="567"/>
      <c r="CN125" s="567"/>
      <c r="CO125" s="567"/>
      <c r="CP125" s="567"/>
      <c r="CQ125" s="567"/>
      <c r="CR125" s="567"/>
      <c r="CS125" s="567"/>
      <c r="CT125" s="567"/>
      <c r="CU125" s="567"/>
      <c r="CV125" s="567"/>
      <c r="CW125" s="567"/>
      <c r="CX125" s="567"/>
      <c r="CY125" s="567"/>
      <c r="CZ125" s="567"/>
      <c r="DA125" s="567"/>
      <c r="DB125" s="567"/>
      <c r="DC125" s="567"/>
      <c r="DD125" s="567"/>
      <c r="DE125" s="567"/>
      <c r="DF125" s="567"/>
      <c r="DG125" s="567"/>
      <c r="DH125" s="567"/>
      <c r="DI125" s="567"/>
      <c r="DJ125" s="567"/>
      <c r="DK125" s="567"/>
      <c r="DL125" s="567"/>
      <c r="DM125" s="567"/>
      <c r="DN125" s="567"/>
      <c r="DO125" s="567"/>
      <c r="DP125" s="567"/>
      <c r="DQ125" s="567"/>
    </row>
    <row r="126" spans="1:121" s="487" customFormat="1">
      <c r="A126" s="588"/>
      <c r="B126" s="588"/>
      <c r="C126" s="588"/>
      <c r="D126" s="588"/>
      <c r="E126" s="588"/>
      <c r="F126" s="588"/>
      <c r="G126" s="588"/>
      <c r="H126" s="588"/>
      <c r="I126" s="588"/>
      <c r="J126" s="588"/>
      <c r="K126" s="588"/>
      <c r="L126" s="702"/>
      <c r="M126" s="888"/>
      <c r="N126" s="888"/>
      <c r="O126" s="888"/>
      <c r="P126" s="888"/>
      <c r="Q126" s="888"/>
      <c r="R126" s="888"/>
      <c r="S126" s="888"/>
      <c r="T126" s="888"/>
      <c r="U126" s="888"/>
      <c r="V126" s="888"/>
      <c r="W126" s="888"/>
      <c r="X126" s="888"/>
      <c r="Y126" s="888"/>
      <c r="Z126" s="888"/>
      <c r="AA126" s="888"/>
      <c r="AB126" s="888"/>
      <c r="AC126" s="888"/>
      <c r="AD126" s="888"/>
      <c r="AE126" s="888"/>
      <c r="AF126" s="888"/>
      <c r="AG126" s="888"/>
      <c r="AH126" s="888"/>
      <c r="AI126" s="888"/>
      <c r="AJ126" s="888"/>
      <c r="AK126" s="888"/>
      <c r="AL126" s="888"/>
      <c r="AM126" s="888"/>
      <c r="AN126" s="888"/>
      <c r="AO126" s="888"/>
      <c r="AP126" s="888"/>
      <c r="AQ126" s="888"/>
      <c r="AR126" s="888"/>
      <c r="AS126" s="888"/>
      <c r="AT126" s="888"/>
      <c r="AU126" s="888"/>
      <c r="AV126" s="888"/>
      <c r="AW126" s="888"/>
      <c r="AX126" s="888"/>
      <c r="AY126" s="888"/>
      <c r="AZ126" s="567"/>
      <c r="BA126" s="567"/>
      <c r="BB126" s="567"/>
      <c r="BC126" s="567"/>
      <c r="BD126" s="567"/>
      <c r="BE126" s="567"/>
      <c r="BF126" s="567"/>
      <c r="BG126" s="567"/>
      <c r="BH126" s="567"/>
      <c r="BI126" s="567"/>
      <c r="BJ126" s="567"/>
      <c r="BK126" s="567"/>
      <c r="BL126" s="567"/>
      <c r="BM126" s="567"/>
      <c r="BN126" s="567"/>
      <c r="BO126" s="567"/>
      <c r="BP126" s="567"/>
      <c r="BQ126" s="567"/>
      <c r="BR126" s="567"/>
      <c r="BS126" s="567"/>
      <c r="BT126" s="567"/>
      <c r="BU126" s="567"/>
      <c r="BV126" s="567"/>
      <c r="BW126" s="567"/>
      <c r="BX126" s="567"/>
      <c r="BY126" s="567"/>
      <c r="BZ126" s="567"/>
      <c r="CA126" s="567"/>
      <c r="CB126" s="567"/>
      <c r="CC126" s="567"/>
      <c r="CD126" s="567"/>
      <c r="CE126" s="567"/>
      <c r="CF126" s="567"/>
      <c r="CG126" s="567"/>
      <c r="CH126" s="567"/>
      <c r="CI126" s="567"/>
      <c r="CJ126" s="567"/>
      <c r="CK126" s="567"/>
      <c r="CL126" s="567"/>
      <c r="CM126" s="567"/>
      <c r="CN126" s="567"/>
      <c r="CO126" s="567"/>
      <c r="CP126" s="567"/>
      <c r="CQ126" s="567"/>
      <c r="CR126" s="567"/>
      <c r="CS126" s="567"/>
      <c r="CT126" s="567"/>
      <c r="CU126" s="567"/>
      <c r="CV126" s="567"/>
      <c r="CW126" s="567"/>
      <c r="CX126" s="567"/>
      <c r="CY126" s="567"/>
      <c r="CZ126" s="567"/>
      <c r="DA126" s="567"/>
      <c r="DB126" s="567"/>
      <c r="DC126" s="567"/>
      <c r="DD126" s="567"/>
      <c r="DE126" s="567"/>
      <c r="DF126" s="567"/>
      <c r="DG126" s="567"/>
      <c r="DH126" s="567"/>
      <c r="DI126" s="567"/>
      <c r="DJ126" s="567"/>
      <c r="DK126" s="567"/>
      <c r="DL126" s="567"/>
      <c r="DM126" s="567"/>
      <c r="DN126" s="567"/>
      <c r="DO126" s="567"/>
      <c r="DP126" s="567"/>
      <c r="DQ126" s="567"/>
    </row>
    <row r="127" spans="1:121" s="487" customFormat="1">
      <c r="A127" s="588"/>
      <c r="B127" s="588"/>
      <c r="C127" s="588"/>
      <c r="D127" s="588"/>
      <c r="E127" s="588"/>
      <c r="F127" s="588"/>
      <c r="G127" s="588"/>
      <c r="H127" s="588"/>
      <c r="I127" s="588"/>
      <c r="J127" s="588"/>
      <c r="K127" s="588"/>
      <c r="L127" s="702"/>
      <c r="M127" s="888"/>
      <c r="N127" s="888"/>
      <c r="O127" s="888"/>
      <c r="P127" s="888"/>
      <c r="Q127" s="888"/>
      <c r="R127" s="888"/>
      <c r="S127" s="888"/>
      <c r="T127" s="888"/>
      <c r="U127" s="888"/>
      <c r="V127" s="888"/>
      <c r="W127" s="888"/>
      <c r="X127" s="888"/>
      <c r="Y127" s="888"/>
      <c r="Z127" s="888"/>
      <c r="AA127" s="888"/>
      <c r="AB127" s="888"/>
      <c r="AC127" s="888"/>
      <c r="AD127" s="888"/>
      <c r="AE127" s="888"/>
      <c r="AF127" s="888"/>
      <c r="AG127" s="888"/>
      <c r="AH127" s="888"/>
      <c r="AI127" s="888"/>
      <c r="AJ127" s="888"/>
      <c r="AK127" s="888"/>
      <c r="AL127" s="888"/>
      <c r="AM127" s="888"/>
      <c r="AN127" s="888"/>
      <c r="AO127" s="888"/>
      <c r="AP127" s="888"/>
      <c r="AQ127" s="888"/>
      <c r="AR127" s="888"/>
      <c r="AS127" s="888"/>
      <c r="AT127" s="888"/>
      <c r="AU127" s="888"/>
      <c r="AV127" s="888"/>
      <c r="AW127" s="888"/>
      <c r="AX127" s="888"/>
      <c r="AY127" s="888"/>
      <c r="AZ127" s="567"/>
      <c r="BA127" s="567"/>
      <c r="BB127" s="567"/>
      <c r="BC127" s="567"/>
      <c r="BD127" s="567"/>
      <c r="BE127" s="567"/>
      <c r="BF127" s="567"/>
      <c r="BG127" s="567"/>
      <c r="BH127" s="567"/>
      <c r="BI127" s="567"/>
      <c r="BJ127" s="567"/>
      <c r="BK127" s="567"/>
      <c r="BL127" s="567"/>
      <c r="BM127" s="567"/>
      <c r="BN127" s="567"/>
      <c r="BO127" s="567"/>
      <c r="BP127" s="567"/>
      <c r="BQ127" s="567"/>
      <c r="BR127" s="567"/>
      <c r="BS127" s="567"/>
      <c r="BT127" s="567"/>
      <c r="BU127" s="567"/>
      <c r="BV127" s="567"/>
      <c r="BW127" s="567"/>
      <c r="BX127" s="567"/>
      <c r="BY127" s="567"/>
      <c r="BZ127" s="567"/>
      <c r="CA127" s="567"/>
      <c r="CB127" s="567"/>
      <c r="CC127" s="567"/>
      <c r="CD127" s="567"/>
      <c r="CE127" s="567"/>
      <c r="CF127" s="567"/>
      <c r="CG127" s="567"/>
      <c r="CH127" s="567"/>
      <c r="CI127" s="567"/>
      <c r="CJ127" s="567"/>
      <c r="CK127" s="567"/>
      <c r="CL127" s="567"/>
      <c r="CM127" s="567"/>
      <c r="CN127" s="567"/>
      <c r="CO127" s="567"/>
      <c r="CP127" s="567"/>
      <c r="CQ127" s="567"/>
      <c r="CR127" s="567"/>
      <c r="CS127" s="567"/>
      <c r="CT127" s="567"/>
      <c r="CU127" s="567"/>
      <c r="CV127" s="567"/>
      <c r="CW127" s="567"/>
      <c r="CX127" s="567"/>
      <c r="CY127" s="567"/>
      <c r="CZ127" s="567"/>
      <c r="DA127" s="567"/>
      <c r="DB127" s="567"/>
      <c r="DC127" s="567"/>
      <c r="DD127" s="567"/>
      <c r="DE127" s="567"/>
      <c r="DF127" s="567"/>
      <c r="DG127" s="567"/>
      <c r="DH127" s="567"/>
      <c r="DI127" s="567"/>
      <c r="DJ127" s="567"/>
      <c r="DK127" s="567"/>
      <c r="DL127" s="567"/>
      <c r="DM127" s="567"/>
      <c r="DN127" s="567"/>
      <c r="DO127" s="567"/>
      <c r="DP127" s="567"/>
      <c r="DQ127" s="567"/>
    </row>
    <row r="128" spans="1:121" s="487" customFormat="1">
      <c r="A128" s="588"/>
      <c r="B128" s="588"/>
      <c r="C128" s="588"/>
      <c r="D128" s="588"/>
      <c r="E128" s="588"/>
      <c r="F128" s="588"/>
      <c r="G128" s="588"/>
      <c r="H128" s="588"/>
      <c r="I128" s="588"/>
      <c r="J128" s="588"/>
      <c r="K128" s="588"/>
      <c r="L128" s="702"/>
      <c r="M128" s="888"/>
      <c r="N128" s="888"/>
      <c r="O128" s="888"/>
      <c r="P128" s="888"/>
      <c r="Q128" s="888"/>
      <c r="R128" s="888"/>
      <c r="S128" s="888"/>
      <c r="T128" s="888"/>
      <c r="U128" s="888"/>
      <c r="V128" s="888"/>
      <c r="W128" s="888"/>
      <c r="X128" s="888"/>
      <c r="Y128" s="888"/>
      <c r="Z128" s="888"/>
      <c r="AA128" s="888"/>
      <c r="AB128" s="888"/>
      <c r="AC128" s="888"/>
      <c r="AD128" s="888"/>
      <c r="AE128" s="888"/>
      <c r="AF128" s="888"/>
      <c r="AG128" s="888"/>
      <c r="AH128" s="888"/>
      <c r="AI128" s="888"/>
      <c r="AJ128" s="888"/>
      <c r="AK128" s="888"/>
      <c r="AL128" s="888"/>
      <c r="AM128" s="888"/>
      <c r="AN128" s="888"/>
      <c r="AO128" s="888"/>
      <c r="AP128" s="888"/>
      <c r="AQ128" s="888"/>
      <c r="AR128" s="888"/>
      <c r="AS128" s="888"/>
      <c r="AT128" s="888"/>
      <c r="AU128" s="888"/>
      <c r="AV128" s="888"/>
      <c r="AW128" s="888"/>
      <c r="AX128" s="888"/>
      <c r="AY128" s="888"/>
      <c r="AZ128" s="567"/>
      <c r="BA128" s="567"/>
      <c r="BB128" s="567"/>
      <c r="BC128" s="567"/>
      <c r="BD128" s="567"/>
      <c r="BE128" s="567"/>
      <c r="BF128" s="567"/>
      <c r="BG128" s="567"/>
      <c r="BH128" s="567"/>
      <c r="BI128" s="567"/>
      <c r="BJ128" s="567"/>
      <c r="BK128" s="567"/>
      <c r="BL128" s="567"/>
      <c r="BM128" s="567"/>
      <c r="BN128" s="567"/>
      <c r="BO128" s="567"/>
      <c r="BP128" s="567"/>
      <c r="BQ128" s="567"/>
      <c r="BR128" s="567"/>
      <c r="BS128" s="567"/>
      <c r="BT128" s="567"/>
      <c r="BU128" s="567"/>
      <c r="BV128" s="567"/>
      <c r="BW128" s="567"/>
      <c r="BX128" s="567"/>
      <c r="BY128" s="567"/>
      <c r="BZ128" s="567"/>
      <c r="CA128" s="567"/>
      <c r="CB128" s="567"/>
      <c r="CC128" s="567"/>
      <c r="CD128" s="567"/>
      <c r="CE128" s="567"/>
      <c r="CF128" s="567"/>
      <c r="CG128" s="567"/>
      <c r="CH128" s="567"/>
      <c r="CI128" s="567"/>
      <c r="CJ128" s="567"/>
      <c r="CK128" s="567"/>
      <c r="CL128" s="567"/>
      <c r="CM128" s="567"/>
      <c r="CN128" s="567"/>
      <c r="CO128" s="567"/>
      <c r="CP128" s="567"/>
      <c r="CQ128" s="567"/>
      <c r="CR128" s="567"/>
      <c r="CS128" s="567"/>
      <c r="CT128" s="567"/>
      <c r="CU128" s="567"/>
      <c r="CV128" s="567"/>
      <c r="CW128" s="567"/>
      <c r="CX128" s="567"/>
      <c r="CY128" s="567"/>
      <c r="CZ128" s="567"/>
      <c r="DA128" s="567"/>
      <c r="DB128" s="567"/>
      <c r="DC128" s="567"/>
      <c r="DD128" s="567"/>
      <c r="DE128" s="567"/>
      <c r="DF128" s="567"/>
      <c r="DG128" s="567"/>
      <c r="DH128" s="567"/>
      <c r="DI128" s="567"/>
      <c r="DJ128" s="567"/>
      <c r="DK128" s="567"/>
      <c r="DL128" s="567"/>
      <c r="DM128" s="567"/>
      <c r="DN128" s="567"/>
      <c r="DO128" s="567"/>
      <c r="DP128" s="567"/>
      <c r="DQ128" s="567"/>
    </row>
    <row r="129" spans="1:121" s="487" customFormat="1">
      <c r="A129" s="588"/>
      <c r="B129" s="588"/>
      <c r="C129" s="588"/>
      <c r="D129" s="588"/>
      <c r="E129" s="588"/>
      <c r="F129" s="588"/>
      <c r="G129" s="588"/>
      <c r="H129" s="588"/>
      <c r="I129" s="588"/>
      <c r="J129" s="588"/>
      <c r="K129" s="588"/>
      <c r="L129" s="702"/>
      <c r="M129" s="888"/>
      <c r="N129" s="888"/>
      <c r="O129" s="888"/>
      <c r="P129" s="888"/>
      <c r="Q129" s="888"/>
      <c r="R129" s="888"/>
      <c r="S129" s="888"/>
      <c r="T129" s="888"/>
      <c r="U129" s="888"/>
      <c r="V129" s="888"/>
      <c r="W129" s="888"/>
      <c r="X129" s="888"/>
      <c r="Y129" s="888"/>
      <c r="Z129" s="888"/>
      <c r="AA129" s="888"/>
      <c r="AB129" s="888"/>
      <c r="AC129" s="888"/>
      <c r="AD129" s="888"/>
      <c r="AE129" s="888"/>
      <c r="AF129" s="888"/>
      <c r="AG129" s="888"/>
      <c r="AH129" s="888"/>
      <c r="AI129" s="888"/>
      <c r="AJ129" s="888"/>
      <c r="AK129" s="888"/>
      <c r="AL129" s="888"/>
      <c r="AM129" s="888"/>
      <c r="AN129" s="888"/>
      <c r="AO129" s="888"/>
      <c r="AP129" s="888"/>
      <c r="AQ129" s="888"/>
      <c r="AR129" s="888"/>
      <c r="AS129" s="888"/>
      <c r="AT129" s="888"/>
      <c r="AU129" s="888"/>
      <c r="AV129" s="888"/>
      <c r="AW129" s="888"/>
      <c r="AX129" s="888"/>
      <c r="AY129" s="888"/>
      <c r="AZ129" s="567"/>
      <c r="BA129" s="567"/>
      <c r="BB129" s="567"/>
      <c r="BC129" s="567"/>
      <c r="BD129" s="567"/>
      <c r="BE129" s="567"/>
      <c r="BF129" s="567"/>
      <c r="BG129" s="567"/>
      <c r="BH129" s="567"/>
      <c r="BI129" s="567"/>
      <c r="BJ129" s="567"/>
      <c r="BK129" s="567"/>
      <c r="BL129" s="567"/>
      <c r="BM129" s="567"/>
      <c r="BN129" s="567"/>
      <c r="BO129" s="567"/>
      <c r="BP129" s="567"/>
      <c r="BQ129" s="567"/>
      <c r="BR129" s="567"/>
      <c r="BS129" s="567"/>
      <c r="BT129" s="567"/>
      <c r="BU129" s="567"/>
      <c r="BV129" s="567"/>
      <c r="BW129" s="567"/>
      <c r="BX129" s="567"/>
      <c r="BY129" s="567"/>
      <c r="BZ129" s="567"/>
      <c r="CA129" s="567"/>
      <c r="CB129" s="567"/>
      <c r="CC129" s="567"/>
      <c r="CD129" s="567"/>
      <c r="CE129" s="567"/>
      <c r="CF129" s="567"/>
      <c r="CG129" s="567"/>
      <c r="CH129" s="567"/>
      <c r="CI129" s="567"/>
      <c r="CJ129" s="567"/>
      <c r="CK129" s="567"/>
      <c r="CL129" s="567"/>
      <c r="CM129" s="567"/>
      <c r="CN129" s="567"/>
      <c r="CO129" s="567"/>
      <c r="CP129" s="567"/>
      <c r="CQ129" s="567"/>
      <c r="CR129" s="567"/>
      <c r="CS129" s="567"/>
      <c r="CT129" s="567"/>
      <c r="CU129" s="567"/>
      <c r="CV129" s="567"/>
      <c r="CW129" s="567"/>
      <c r="CX129" s="567"/>
      <c r="CY129" s="567"/>
      <c r="CZ129" s="567"/>
      <c r="DA129" s="567"/>
      <c r="DB129" s="567"/>
      <c r="DC129" s="567"/>
      <c r="DD129" s="567"/>
      <c r="DE129" s="567"/>
      <c r="DF129" s="567"/>
      <c r="DG129" s="567"/>
      <c r="DH129" s="567"/>
      <c r="DI129" s="567"/>
      <c r="DJ129" s="567"/>
      <c r="DK129" s="567"/>
      <c r="DL129" s="567"/>
      <c r="DM129" s="567"/>
      <c r="DN129" s="567"/>
      <c r="DO129" s="567"/>
      <c r="DP129" s="567"/>
      <c r="DQ129" s="567"/>
    </row>
    <row r="130" spans="1:121" s="487" customFormat="1">
      <c r="A130" s="588"/>
      <c r="B130" s="588"/>
      <c r="C130" s="588"/>
      <c r="D130" s="588"/>
      <c r="E130" s="588"/>
      <c r="F130" s="588"/>
      <c r="G130" s="588"/>
      <c r="H130" s="588"/>
      <c r="I130" s="588"/>
      <c r="J130" s="588"/>
      <c r="K130" s="588"/>
      <c r="L130" s="702"/>
      <c r="M130" s="888"/>
      <c r="N130" s="888"/>
      <c r="O130" s="888"/>
      <c r="P130" s="888"/>
      <c r="Q130" s="888"/>
      <c r="R130" s="888"/>
      <c r="S130" s="888"/>
      <c r="T130" s="888"/>
      <c r="U130" s="888"/>
      <c r="V130" s="888"/>
      <c r="W130" s="888"/>
      <c r="X130" s="888"/>
      <c r="Y130" s="888"/>
      <c r="Z130" s="888"/>
      <c r="AA130" s="888"/>
      <c r="AB130" s="888"/>
      <c r="AC130" s="888"/>
      <c r="AD130" s="888"/>
      <c r="AE130" s="888"/>
      <c r="AF130" s="888"/>
      <c r="AG130" s="888"/>
      <c r="AH130" s="888"/>
      <c r="AI130" s="888"/>
      <c r="AJ130" s="888"/>
      <c r="AK130" s="888"/>
      <c r="AL130" s="888"/>
      <c r="AM130" s="888"/>
      <c r="AN130" s="888"/>
      <c r="AO130" s="888"/>
      <c r="AP130" s="888"/>
      <c r="AQ130" s="888"/>
      <c r="AR130" s="888"/>
      <c r="AS130" s="888"/>
      <c r="AT130" s="888"/>
      <c r="AU130" s="888"/>
      <c r="AV130" s="888"/>
      <c r="AW130" s="888"/>
      <c r="AX130" s="888"/>
      <c r="AY130" s="888"/>
      <c r="AZ130" s="567"/>
      <c r="BA130" s="567"/>
      <c r="BB130" s="567"/>
      <c r="BC130" s="567"/>
      <c r="BD130" s="567"/>
      <c r="BE130" s="567"/>
      <c r="BF130" s="567"/>
      <c r="BG130" s="567"/>
      <c r="BH130" s="567"/>
      <c r="BI130" s="567"/>
      <c r="BJ130" s="567"/>
      <c r="BK130" s="567"/>
      <c r="BL130" s="567"/>
      <c r="BM130" s="567"/>
      <c r="BN130" s="567"/>
      <c r="BO130" s="567"/>
      <c r="BP130" s="567"/>
      <c r="BQ130" s="567"/>
      <c r="BR130" s="567"/>
      <c r="BS130" s="567"/>
      <c r="BT130" s="567"/>
      <c r="BU130" s="567"/>
      <c r="BV130" s="567"/>
      <c r="BW130" s="567"/>
      <c r="BX130" s="567"/>
      <c r="BY130" s="567"/>
      <c r="BZ130" s="567"/>
      <c r="CA130" s="567"/>
      <c r="CB130" s="567"/>
      <c r="CC130" s="567"/>
      <c r="CD130" s="567"/>
      <c r="CE130" s="567"/>
      <c r="CF130" s="567"/>
      <c r="CG130" s="567"/>
      <c r="CH130" s="567"/>
      <c r="CI130" s="567"/>
      <c r="CJ130" s="567"/>
      <c r="CK130" s="567"/>
      <c r="CL130" s="567"/>
      <c r="CM130" s="567"/>
      <c r="CN130" s="567"/>
      <c r="CO130" s="567"/>
      <c r="CP130" s="567"/>
      <c r="CQ130" s="567"/>
      <c r="CR130" s="567"/>
      <c r="CS130" s="567"/>
      <c r="CT130" s="567"/>
      <c r="CU130" s="567"/>
      <c r="CV130" s="567"/>
      <c r="CW130" s="567"/>
      <c r="CX130" s="567"/>
      <c r="CY130" s="567"/>
      <c r="CZ130" s="567"/>
      <c r="DA130" s="567"/>
      <c r="DB130" s="567"/>
      <c r="DC130" s="567"/>
      <c r="DD130" s="567"/>
      <c r="DE130" s="567"/>
      <c r="DF130" s="567"/>
      <c r="DG130" s="567"/>
      <c r="DH130" s="567"/>
      <c r="DI130" s="567"/>
      <c r="DJ130" s="567"/>
      <c r="DK130" s="567"/>
      <c r="DL130" s="567"/>
      <c r="DM130" s="567"/>
      <c r="DN130" s="567"/>
      <c r="DO130" s="567"/>
      <c r="DP130" s="567"/>
      <c r="DQ130" s="567"/>
    </row>
    <row r="131" spans="1:121" s="487" customFormat="1">
      <c r="A131" s="588"/>
      <c r="B131" s="588"/>
      <c r="C131" s="588"/>
      <c r="D131" s="588"/>
      <c r="E131" s="588"/>
      <c r="F131" s="588"/>
      <c r="G131" s="588"/>
      <c r="H131" s="588"/>
      <c r="I131" s="588"/>
      <c r="J131" s="588"/>
      <c r="K131" s="588"/>
      <c r="L131" s="702"/>
      <c r="M131" s="888"/>
      <c r="N131" s="888"/>
      <c r="O131" s="888"/>
      <c r="P131" s="888"/>
      <c r="Q131" s="888"/>
      <c r="R131" s="888"/>
      <c r="S131" s="888"/>
      <c r="T131" s="888"/>
      <c r="U131" s="888"/>
      <c r="V131" s="888"/>
      <c r="W131" s="888"/>
      <c r="X131" s="888"/>
      <c r="Y131" s="888"/>
      <c r="Z131" s="888"/>
      <c r="AA131" s="888"/>
      <c r="AB131" s="888"/>
      <c r="AC131" s="888"/>
      <c r="AD131" s="888"/>
      <c r="AE131" s="888"/>
      <c r="AF131" s="888"/>
      <c r="AG131" s="888"/>
      <c r="AH131" s="888"/>
      <c r="AI131" s="888"/>
      <c r="AJ131" s="888"/>
      <c r="AK131" s="888"/>
      <c r="AL131" s="888"/>
      <c r="AM131" s="888"/>
      <c r="AN131" s="888"/>
      <c r="AO131" s="888"/>
      <c r="AP131" s="888"/>
      <c r="AQ131" s="888"/>
      <c r="AR131" s="888"/>
      <c r="AS131" s="888"/>
      <c r="AT131" s="888"/>
      <c r="AU131" s="888"/>
      <c r="AV131" s="888"/>
      <c r="AW131" s="888"/>
      <c r="AX131" s="888"/>
      <c r="AY131" s="888"/>
      <c r="AZ131" s="567"/>
      <c r="BA131" s="567"/>
      <c r="BB131" s="567"/>
      <c r="BC131" s="567"/>
      <c r="BD131" s="567"/>
      <c r="BE131" s="567"/>
      <c r="BF131" s="567"/>
      <c r="BG131" s="567"/>
      <c r="BH131" s="567"/>
      <c r="BI131" s="567"/>
      <c r="BJ131" s="567"/>
      <c r="BK131" s="567"/>
      <c r="BL131" s="567"/>
      <c r="BM131" s="567"/>
      <c r="BN131" s="567"/>
      <c r="BO131" s="567"/>
      <c r="BP131" s="567"/>
      <c r="BQ131" s="567"/>
      <c r="BR131" s="567"/>
      <c r="BS131" s="567"/>
      <c r="BT131" s="567"/>
      <c r="BU131" s="567"/>
      <c r="BV131" s="567"/>
      <c r="BW131" s="567"/>
      <c r="BX131" s="567"/>
      <c r="BY131" s="567"/>
      <c r="BZ131" s="567"/>
      <c r="CA131" s="567"/>
      <c r="CB131" s="567"/>
      <c r="CC131" s="567"/>
      <c r="CD131" s="567"/>
      <c r="CE131" s="567"/>
      <c r="CF131" s="567"/>
      <c r="CG131" s="567"/>
      <c r="CH131" s="567"/>
      <c r="CI131" s="567"/>
      <c r="CJ131" s="567"/>
      <c r="CK131" s="567"/>
      <c r="CL131" s="567"/>
      <c r="CM131" s="567"/>
      <c r="CN131" s="567"/>
      <c r="CO131" s="567"/>
      <c r="CP131" s="567"/>
      <c r="CQ131" s="567"/>
      <c r="CR131" s="567"/>
      <c r="CS131" s="567"/>
      <c r="CT131" s="567"/>
      <c r="CU131" s="567"/>
      <c r="CV131" s="567"/>
      <c r="CW131" s="567"/>
      <c r="CX131" s="567"/>
      <c r="CY131" s="567"/>
      <c r="CZ131" s="567"/>
      <c r="DA131" s="567"/>
      <c r="DB131" s="567"/>
      <c r="DC131" s="567"/>
      <c r="DD131" s="567"/>
      <c r="DE131" s="567"/>
      <c r="DF131" s="567"/>
      <c r="DG131" s="567"/>
      <c r="DH131" s="567"/>
      <c r="DI131" s="567"/>
      <c r="DJ131" s="567"/>
      <c r="DK131" s="567"/>
      <c r="DL131" s="567"/>
      <c r="DM131" s="567"/>
      <c r="DN131" s="567"/>
      <c r="DO131" s="567"/>
      <c r="DP131" s="567"/>
      <c r="DQ131" s="567"/>
    </row>
    <row r="132" spans="1:121" s="487" customFormat="1">
      <c r="A132" s="588"/>
      <c r="B132" s="588"/>
      <c r="C132" s="588"/>
      <c r="D132" s="588"/>
      <c r="E132" s="588"/>
      <c r="F132" s="588"/>
      <c r="G132" s="588"/>
      <c r="H132" s="588"/>
      <c r="I132" s="588"/>
      <c r="J132" s="588"/>
      <c r="K132" s="588"/>
      <c r="L132" s="702"/>
      <c r="M132" s="888"/>
      <c r="N132" s="888"/>
      <c r="O132" s="888"/>
      <c r="P132" s="888"/>
      <c r="Q132" s="888"/>
      <c r="R132" s="888"/>
      <c r="S132" s="888"/>
      <c r="T132" s="888"/>
      <c r="U132" s="888"/>
      <c r="V132" s="888"/>
      <c r="W132" s="888"/>
      <c r="X132" s="888"/>
      <c r="Y132" s="888"/>
      <c r="Z132" s="888"/>
      <c r="AA132" s="888"/>
      <c r="AB132" s="888"/>
      <c r="AC132" s="888"/>
      <c r="AD132" s="888"/>
      <c r="AE132" s="888"/>
      <c r="AF132" s="888"/>
      <c r="AG132" s="888"/>
      <c r="AH132" s="888"/>
      <c r="AI132" s="888"/>
      <c r="AJ132" s="888"/>
      <c r="AK132" s="888"/>
      <c r="AL132" s="888"/>
      <c r="AM132" s="888"/>
      <c r="AN132" s="888"/>
      <c r="AO132" s="888"/>
      <c r="AP132" s="888"/>
      <c r="AQ132" s="888"/>
      <c r="AR132" s="888"/>
      <c r="AS132" s="888"/>
      <c r="AT132" s="888"/>
      <c r="AU132" s="888"/>
      <c r="AV132" s="888"/>
      <c r="AW132" s="888"/>
      <c r="AX132" s="888"/>
      <c r="AY132" s="888"/>
      <c r="AZ132" s="567"/>
      <c r="BA132" s="567"/>
      <c r="BB132" s="567"/>
      <c r="BC132" s="567"/>
      <c r="BD132" s="567"/>
      <c r="BE132" s="567"/>
      <c r="BF132" s="567"/>
      <c r="BG132" s="567"/>
      <c r="BH132" s="567"/>
      <c r="BI132" s="567"/>
      <c r="BJ132" s="567"/>
      <c r="BK132" s="567"/>
      <c r="BL132" s="567"/>
      <c r="BM132" s="567"/>
      <c r="BN132" s="567"/>
      <c r="BO132" s="567"/>
      <c r="BP132" s="567"/>
      <c r="BQ132" s="567"/>
      <c r="BR132" s="567"/>
      <c r="BS132" s="567"/>
      <c r="BT132" s="567"/>
      <c r="BU132" s="567"/>
      <c r="BV132" s="567"/>
      <c r="BW132" s="567"/>
      <c r="BX132" s="567"/>
      <c r="BY132" s="567"/>
      <c r="BZ132" s="567"/>
      <c r="CA132" s="567"/>
      <c r="CB132" s="567"/>
      <c r="CC132" s="567"/>
      <c r="CD132" s="567"/>
      <c r="CE132" s="567"/>
      <c r="CF132" s="567"/>
      <c r="CG132" s="567"/>
      <c r="CH132" s="567"/>
      <c r="CI132" s="567"/>
      <c r="CJ132" s="567"/>
      <c r="CK132" s="567"/>
      <c r="CL132" s="567"/>
      <c r="CM132" s="567"/>
      <c r="CN132" s="567"/>
      <c r="CO132" s="567"/>
      <c r="CP132" s="567"/>
      <c r="CQ132" s="567"/>
      <c r="CR132" s="567"/>
      <c r="CS132" s="567"/>
      <c r="CT132" s="567"/>
      <c r="CU132" s="567"/>
      <c r="CV132" s="567"/>
      <c r="CW132" s="567"/>
      <c r="CX132" s="567"/>
      <c r="CY132" s="567"/>
      <c r="CZ132" s="567"/>
      <c r="DA132" s="567"/>
      <c r="DB132" s="567"/>
      <c r="DC132" s="567"/>
      <c r="DD132" s="567"/>
      <c r="DE132" s="567"/>
      <c r="DF132" s="567"/>
      <c r="DG132" s="567"/>
      <c r="DH132" s="567"/>
      <c r="DI132" s="567"/>
      <c r="DJ132" s="567"/>
      <c r="DK132" s="567"/>
      <c r="DL132" s="567"/>
      <c r="DM132" s="567"/>
      <c r="DN132" s="567"/>
      <c r="DO132" s="567"/>
      <c r="DP132" s="567"/>
      <c r="DQ132" s="567"/>
    </row>
    <row r="133" spans="1:121" s="487" customFormat="1">
      <c r="A133" s="588"/>
      <c r="B133" s="588"/>
      <c r="C133" s="588"/>
      <c r="D133" s="588"/>
      <c r="E133" s="588"/>
      <c r="F133" s="588"/>
      <c r="G133" s="588"/>
      <c r="H133" s="588"/>
      <c r="I133" s="588"/>
      <c r="J133" s="588"/>
      <c r="K133" s="588"/>
      <c r="L133" s="702"/>
      <c r="M133" s="888"/>
      <c r="N133" s="888"/>
      <c r="O133" s="888"/>
      <c r="P133" s="888"/>
      <c r="Q133" s="888"/>
      <c r="R133" s="888"/>
      <c r="S133" s="888"/>
      <c r="T133" s="888"/>
      <c r="U133" s="888"/>
      <c r="V133" s="888"/>
      <c r="W133" s="888"/>
      <c r="X133" s="888"/>
      <c r="Y133" s="888"/>
      <c r="Z133" s="888"/>
      <c r="AA133" s="888"/>
      <c r="AB133" s="888"/>
      <c r="AC133" s="888"/>
      <c r="AD133" s="888"/>
      <c r="AE133" s="888"/>
      <c r="AF133" s="888"/>
      <c r="AG133" s="888"/>
      <c r="AH133" s="888"/>
      <c r="AI133" s="888"/>
      <c r="AJ133" s="888"/>
      <c r="AK133" s="888"/>
      <c r="AL133" s="888"/>
      <c r="AM133" s="888"/>
      <c r="AN133" s="888"/>
      <c r="AO133" s="888"/>
      <c r="AP133" s="888"/>
      <c r="AQ133" s="888"/>
      <c r="AR133" s="888"/>
      <c r="AS133" s="888"/>
      <c r="AT133" s="888"/>
      <c r="AU133" s="888"/>
      <c r="AV133" s="888"/>
      <c r="AW133" s="888"/>
      <c r="AX133" s="888"/>
      <c r="AY133" s="888"/>
      <c r="AZ133" s="567"/>
      <c r="BA133" s="567"/>
      <c r="BB133" s="567"/>
      <c r="BC133" s="567"/>
      <c r="BD133" s="567"/>
      <c r="BE133" s="567"/>
      <c r="BF133" s="567"/>
      <c r="BG133" s="567"/>
      <c r="BH133" s="567"/>
      <c r="BI133" s="567"/>
      <c r="BJ133" s="567"/>
      <c r="BK133" s="567"/>
      <c r="BL133" s="567"/>
      <c r="BM133" s="567"/>
      <c r="BN133" s="567"/>
      <c r="BO133" s="567"/>
      <c r="BP133" s="567"/>
      <c r="BQ133" s="567"/>
      <c r="BR133" s="567"/>
      <c r="BS133" s="567"/>
      <c r="BT133" s="567"/>
      <c r="BU133" s="567"/>
      <c r="BV133" s="567"/>
      <c r="BW133" s="567"/>
      <c r="BX133" s="567"/>
      <c r="BY133" s="567"/>
      <c r="BZ133" s="567"/>
      <c r="CA133" s="567"/>
      <c r="CB133" s="567"/>
      <c r="CC133" s="567"/>
      <c r="CD133" s="567"/>
      <c r="CE133" s="567"/>
      <c r="CF133" s="567"/>
      <c r="CG133" s="567"/>
      <c r="CH133" s="567"/>
      <c r="CI133" s="567"/>
      <c r="CJ133" s="567"/>
      <c r="CK133" s="567"/>
      <c r="CL133" s="567"/>
      <c r="CM133" s="567"/>
      <c r="CN133" s="567"/>
      <c r="CO133" s="567"/>
      <c r="CP133" s="567"/>
      <c r="CQ133" s="567"/>
      <c r="CR133" s="567"/>
      <c r="CS133" s="567"/>
      <c r="CT133" s="567"/>
      <c r="CU133" s="567"/>
      <c r="CV133" s="567"/>
      <c r="CW133" s="567"/>
      <c r="CX133" s="567"/>
      <c r="CY133" s="567"/>
      <c r="CZ133" s="567"/>
      <c r="DA133" s="567"/>
      <c r="DB133" s="567"/>
      <c r="DC133" s="567"/>
      <c r="DD133" s="567"/>
      <c r="DE133" s="567"/>
      <c r="DF133" s="567"/>
      <c r="DG133" s="567"/>
      <c r="DH133" s="567"/>
      <c r="DI133" s="567"/>
      <c r="DJ133" s="567"/>
      <c r="DK133" s="567"/>
      <c r="DL133" s="567"/>
      <c r="DM133" s="567"/>
      <c r="DN133" s="567"/>
      <c r="DO133" s="567"/>
      <c r="DP133" s="567"/>
      <c r="DQ133" s="567"/>
    </row>
    <row r="134" spans="1:121" s="487" customFormat="1">
      <c r="A134" s="588"/>
      <c r="B134" s="588"/>
      <c r="C134" s="588"/>
      <c r="D134" s="588"/>
      <c r="E134" s="588"/>
      <c r="F134" s="588"/>
      <c r="G134" s="588"/>
      <c r="H134" s="588"/>
      <c r="I134" s="588"/>
      <c r="J134" s="588"/>
      <c r="K134" s="588"/>
      <c r="L134" s="702"/>
      <c r="M134" s="888"/>
      <c r="N134" s="888"/>
      <c r="O134" s="888"/>
      <c r="P134" s="888"/>
      <c r="Q134" s="888"/>
      <c r="R134" s="888"/>
      <c r="S134" s="888"/>
      <c r="T134" s="888"/>
      <c r="U134" s="888"/>
      <c r="V134" s="888"/>
      <c r="W134" s="888"/>
      <c r="X134" s="888"/>
      <c r="Y134" s="888"/>
      <c r="Z134" s="888"/>
      <c r="AA134" s="888"/>
      <c r="AB134" s="888"/>
      <c r="AC134" s="888"/>
      <c r="AD134" s="888"/>
      <c r="AE134" s="888"/>
      <c r="AF134" s="888"/>
      <c r="AG134" s="888"/>
      <c r="AH134" s="888"/>
      <c r="AI134" s="888"/>
      <c r="AJ134" s="888"/>
      <c r="AK134" s="888"/>
      <c r="AL134" s="888"/>
      <c r="AM134" s="888"/>
      <c r="AN134" s="888"/>
      <c r="AO134" s="888"/>
      <c r="AP134" s="888"/>
      <c r="AQ134" s="888"/>
      <c r="AR134" s="888"/>
      <c r="AS134" s="888"/>
      <c r="AT134" s="888"/>
      <c r="AU134" s="888"/>
      <c r="AV134" s="888"/>
      <c r="AW134" s="888"/>
      <c r="AX134" s="888"/>
      <c r="AY134" s="888"/>
      <c r="AZ134" s="567"/>
      <c r="BA134" s="567"/>
      <c r="BB134" s="567"/>
      <c r="BC134" s="567"/>
      <c r="BD134" s="567"/>
      <c r="BE134" s="567"/>
      <c r="BF134" s="567"/>
      <c r="BG134" s="567"/>
      <c r="BH134" s="567"/>
      <c r="BI134" s="567"/>
      <c r="BJ134" s="567"/>
      <c r="BK134" s="567"/>
      <c r="BL134" s="567"/>
      <c r="BM134" s="567"/>
      <c r="BN134" s="567"/>
      <c r="BO134" s="567"/>
      <c r="BP134" s="567"/>
      <c r="BQ134" s="567"/>
      <c r="BR134" s="567"/>
      <c r="BS134" s="567"/>
      <c r="BT134" s="567"/>
      <c r="BU134" s="567"/>
      <c r="BV134" s="567"/>
      <c r="BW134" s="567"/>
      <c r="BX134" s="567"/>
      <c r="BY134" s="567"/>
      <c r="BZ134" s="567"/>
      <c r="CA134" s="567"/>
      <c r="CB134" s="567"/>
      <c r="CC134" s="567"/>
      <c r="CD134" s="567"/>
      <c r="CE134" s="567"/>
      <c r="CF134" s="567"/>
      <c r="CG134" s="567"/>
      <c r="CH134" s="567"/>
      <c r="CI134" s="567"/>
      <c r="CJ134" s="567"/>
      <c r="CK134" s="567"/>
      <c r="CL134" s="567"/>
      <c r="CM134" s="567"/>
      <c r="CN134" s="567"/>
      <c r="CO134" s="567"/>
      <c r="CP134" s="567"/>
      <c r="CQ134" s="567"/>
      <c r="CR134" s="567"/>
      <c r="CS134" s="567"/>
      <c r="CT134" s="567"/>
      <c r="CU134" s="567"/>
      <c r="CV134" s="567"/>
      <c r="CW134" s="567"/>
      <c r="CX134" s="567"/>
      <c r="CY134" s="567"/>
      <c r="CZ134" s="567"/>
      <c r="DA134" s="567"/>
      <c r="DB134" s="567"/>
      <c r="DC134" s="567"/>
      <c r="DD134" s="567"/>
      <c r="DE134" s="567"/>
      <c r="DF134" s="567"/>
      <c r="DG134" s="567"/>
      <c r="DH134" s="567"/>
      <c r="DI134" s="567"/>
      <c r="DJ134" s="567"/>
      <c r="DK134" s="567"/>
      <c r="DL134" s="567"/>
      <c r="DM134" s="567"/>
      <c r="DN134" s="567"/>
      <c r="DO134" s="567"/>
      <c r="DP134" s="567"/>
      <c r="DQ134" s="567"/>
    </row>
    <row r="135" spans="1:121" s="487" customFormat="1">
      <c r="A135" s="588"/>
      <c r="B135" s="588"/>
      <c r="C135" s="588"/>
      <c r="D135" s="588"/>
      <c r="E135" s="588"/>
      <c r="F135" s="588"/>
      <c r="G135" s="588"/>
      <c r="H135" s="588"/>
      <c r="I135" s="588"/>
      <c r="J135" s="588"/>
      <c r="K135" s="588"/>
      <c r="L135" s="702"/>
      <c r="M135" s="888"/>
      <c r="N135" s="888"/>
      <c r="O135" s="888"/>
      <c r="P135" s="888"/>
      <c r="Q135" s="888"/>
      <c r="R135" s="888"/>
      <c r="S135" s="888"/>
      <c r="T135" s="888"/>
      <c r="U135" s="888"/>
      <c r="V135" s="888"/>
      <c r="W135" s="888"/>
      <c r="X135" s="888"/>
      <c r="Y135" s="888"/>
      <c r="Z135" s="888"/>
      <c r="AA135" s="888"/>
      <c r="AB135" s="888"/>
      <c r="AC135" s="888"/>
      <c r="AD135" s="888"/>
      <c r="AE135" s="888"/>
      <c r="AF135" s="888"/>
      <c r="AG135" s="888"/>
      <c r="AH135" s="888"/>
      <c r="AI135" s="888"/>
      <c r="AJ135" s="888"/>
      <c r="AK135" s="888"/>
      <c r="AL135" s="888"/>
      <c r="AM135" s="888"/>
      <c r="AN135" s="888"/>
      <c r="AO135" s="888"/>
      <c r="AP135" s="888"/>
      <c r="AQ135" s="888"/>
      <c r="AR135" s="888"/>
      <c r="AS135" s="888"/>
      <c r="AT135" s="888"/>
      <c r="AU135" s="888"/>
      <c r="AV135" s="888"/>
      <c r="AW135" s="888"/>
      <c r="AX135" s="888"/>
      <c r="AY135" s="888"/>
      <c r="AZ135" s="567"/>
      <c r="BA135" s="567"/>
      <c r="BB135" s="567"/>
      <c r="BC135" s="567"/>
      <c r="BD135" s="567"/>
      <c r="BE135" s="567"/>
      <c r="BF135" s="567"/>
      <c r="BG135" s="567"/>
      <c r="BH135" s="567"/>
      <c r="BI135" s="567"/>
      <c r="BJ135" s="567"/>
      <c r="BK135" s="567"/>
      <c r="BL135" s="567"/>
      <c r="BM135" s="567"/>
      <c r="BN135" s="567"/>
      <c r="BO135" s="567"/>
      <c r="BP135" s="567"/>
      <c r="BQ135" s="567"/>
      <c r="BR135" s="567"/>
      <c r="BS135" s="567"/>
      <c r="BT135" s="567"/>
      <c r="BU135" s="567"/>
      <c r="BV135" s="567"/>
      <c r="BW135" s="567"/>
      <c r="BX135" s="567"/>
      <c r="BY135" s="567"/>
      <c r="BZ135" s="567"/>
      <c r="CA135" s="567"/>
      <c r="CB135" s="567"/>
      <c r="CC135" s="567"/>
      <c r="CD135" s="567"/>
      <c r="CE135" s="567"/>
      <c r="CF135" s="567"/>
      <c r="CG135" s="567"/>
      <c r="CH135" s="567"/>
      <c r="CI135" s="567"/>
      <c r="CJ135" s="567"/>
      <c r="CK135" s="567"/>
      <c r="CL135" s="567"/>
      <c r="CM135" s="567"/>
      <c r="CN135" s="567"/>
      <c r="CO135" s="567"/>
      <c r="CP135" s="567"/>
      <c r="CQ135" s="567"/>
      <c r="CR135" s="567"/>
      <c r="CS135" s="567"/>
      <c r="CT135" s="567"/>
      <c r="CU135" s="567"/>
      <c r="CV135" s="567"/>
      <c r="CW135" s="567"/>
      <c r="CX135" s="567"/>
      <c r="CY135" s="567"/>
      <c r="CZ135" s="567"/>
      <c r="DA135" s="567"/>
      <c r="DB135" s="567"/>
      <c r="DC135" s="567"/>
      <c r="DD135" s="567"/>
      <c r="DE135" s="567"/>
      <c r="DF135" s="567"/>
      <c r="DG135" s="567"/>
      <c r="DH135" s="567"/>
      <c r="DI135" s="567"/>
      <c r="DJ135" s="567"/>
      <c r="DK135" s="567"/>
      <c r="DL135" s="567"/>
      <c r="DM135" s="567"/>
      <c r="DN135" s="567"/>
      <c r="DO135" s="567"/>
      <c r="DP135" s="567"/>
      <c r="DQ135" s="567"/>
    </row>
    <row r="136" spans="1:121" s="487" customFormat="1">
      <c r="A136" s="588"/>
      <c r="B136" s="588"/>
      <c r="C136" s="588"/>
      <c r="D136" s="588"/>
      <c r="E136" s="588"/>
      <c r="F136" s="588"/>
      <c r="G136" s="588"/>
      <c r="H136" s="588"/>
      <c r="I136" s="588"/>
      <c r="J136" s="588"/>
      <c r="K136" s="588"/>
      <c r="L136" s="702"/>
      <c r="M136" s="888"/>
      <c r="N136" s="888"/>
      <c r="O136" s="888"/>
      <c r="P136" s="888"/>
      <c r="Q136" s="888"/>
      <c r="R136" s="888"/>
      <c r="S136" s="888"/>
      <c r="T136" s="888"/>
      <c r="U136" s="888"/>
      <c r="V136" s="888"/>
      <c r="W136" s="888"/>
      <c r="X136" s="888"/>
      <c r="Y136" s="888"/>
      <c r="Z136" s="888"/>
      <c r="AA136" s="888"/>
      <c r="AB136" s="888"/>
      <c r="AC136" s="888"/>
      <c r="AD136" s="888"/>
      <c r="AE136" s="888"/>
      <c r="AF136" s="888"/>
      <c r="AG136" s="888"/>
      <c r="AH136" s="888"/>
      <c r="AI136" s="888"/>
      <c r="AJ136" s="888"/>
      <c r="AK136" s="888"/>
      <c r="AL136" s="888"/>
      <c r="AM136" s="888"/>
      <c r="AN136" s="888"/>
      <c r="AO136" s="888"/>
      <c r="AP136" s="888"/>
      <c r="AQ136" s="888"/>
      <c r="AR136" s="888"/>
      <c r="AS136" s="888"/>
      <c r="AT136" s="888"/>
      <c r="AU136" s="888"/>
      <c r="AV136" s="888"/>
      <c r="AW136" s="888"/>
      <c r="AX136" s="888"/>
      <c r="AY136" s="888"/>
      <c r="AZ136" s="567"/>
      <c r="BA136" s="567"/>
      <c r="BB136" s="567"/>
      <c r="BC136" s="567"/>
      <c r="BD136" s="567"/>
      <c r="BE136" s="567"/>
      <c r="BF136" s="567"/>
      <c r="BG136" s="567"/>
      <c r="BH136" s="567"/>
      <c r="BI136" s="567"/>
      <c r="BJ136" s="567"/>
      <c r="BK136" s="567"/>
      <c r="BL136" s="567"/>
      <c r="BM136" s="567"/>
      <c r="BN136" s="567"/>
      <c r="BO136" s="567"/>
      <c r="BP136" s="567"/>
      <c r="BQ136" s="567"/>
      <c r="BR136" s="567"/>
      <c r="BS136" s="567"/>
      <c r="BT136" s="567"/>
      <c r="BU136" s="567"/>
      <c r="BV136" s="567"/>
      <c r="BW136" s="567"/>
      <c r="BX136" s="567"/>
      <c r="BY136" s="567"/>
      <c r="BZ136" s="567"/>
      <c r="CA136" s="567"/>
      <c r="CB136" s="567"/>
      <c r="CC136" s="567"/>
      <c r="CD136" s="567"/>
      <c r="CE136" s="567"/>
      <c r="CF136" s="567"/>
      <c r="CG136" s="567"/>
      <c r="CH136" s="567"/>
      <c r="CI136" s="567"/>
      <c r="CJ136" s="567"/>
      <c r="CK136" s="567"/>
      <c r="CL136" s="567"/>
      <c r="CM136" s="567"/>
      <c r="CN136" s="567"/>
      <c r="CO136" s="567"/>
      <c r="CP136" s="567"/>
      <c r="CQ136" s="567"/>
      <c r="CR136" s="567"/>
      <c r="CS136" s="567"/>
      <c r="CT136" s="567"/>
      <c r="CU136" s="567"/>
      <c r="CV136" s="567"/>
      <c r="CW136" s="567"/>
      <c r="CX136" s="567"/>
      <c r="CY136" s="567"/>
      <c r="CZ136" s="567"/>
      <c r="DA136" s="567"/>
      <c r="DB136" s="567"/>
      <c r="DC136" s="567"/>
      <c r="DD136" s="567"/>
      <c r="DE136" s="567"/>
      <c r="DF136" s="567"/>
      <c r="DG136" s="567"/>
      <c r="DH136" s="567"/>
      <c r="DI136" s="567"/>
      <c r="DJ136" s="567"/>
      <c r="DK136" s="567"/>
      <c r="DL136" s="567"/>
      <c r="DM136" s="567"/>
      <c r="DN136" s="567"/>
      <c r="DO136" s="567"/>
      <c r="DP136" s="567"/>
      <c r="DQ136" s="567"/>
    </row>
    <row r="137" spans="1:121" s="487" customFormat="1">
      <c r="A137" s="588"/>
      <c r="B137" s="588"/>
      <c r="C137" s="588"/>
      <c r="D137" s="588"/>
      <c r="E137" s="588"/>
      <c r="F137" s="588"/>
      <c r="G137" s="588"/>
      <c r="H137" s="588"/>
      <c r="I137" s="588"/>
      <c r="J137" s="588"/>
      <c r="K137" s="588"/>
      <c r="L137" s="702"/>
      <c r="M137" s="888"/>
      <c r="N137" s="888"/>
      <c r="O137" s="888"/>
      <c r="P137" s="888"/>
      <c r="Q137" s="888"/>
      <c r="R137" s="888"/>
      <c r="S137" s="888"/>
      <c r="T137" s="888"/>
      <c r="U137" s="888"/>
      <c r="V137" s="888"/>
      <c r="W137" s="888"/>
      <c r="X137" s="888"/>
      <c r="Y137" s="888"/>
      <c r="Z137" s="888"/>
      <c r="AA137" s="888"/>
      <c r="AB137" s="888"/>
      <c r="AC137" s="888"/>
      <c r="AD137" s="888"/>
      <c r="AE137" s="888"/>
      <c r="AF137" s="888"/>
      <c r="AG137" s="888"/>
      <c r="AH137" s="888"/>
      <c r="AI137" s="888"/>
      <c r="AJ137" s="888"/>
      <c r="AK137" s="888"/>
      <c r="AL137" s="888"/>
      <c r="AM137" s="888"/>
      <c r="AN137" s="888"/>
      <c r="AO137" s="888"/>
      <c r="AP137" s="888"/>
      <c r="AQ137" s="888"/>
      <c r="AR137" s="888"/>
      <c r="AS137" s="888"/>
      <c r="AT137" s="888"/>
      <c r="AU137" s="888"/>
      <c r="AV137" s="888"/>
      <c r="AW137" s="888"/>
      <c r="AX137" s="888"/>
      <c r="AY137" s="888"/>
      <c r="AZ137" s="567"/>
      <c r="BA137" s="567"/>
      <c r="BB137" s="567"/>
      <c r="BC137" s="567"/>
      <c r="BD137" s="567"/>
      <c r="BE137" s="567"/>
      <c r="BF137" s="567"/>
      <c r="BG137" s="567"/>
      <c r="BH137" s="567"/>
      <c r="BI137" s="567"/>
      <c r="BJ137" s="567"/>
      <c r="BK137" s="567"/>
      <c r="BL137" s="567"/>
      <c r="BM137" s="567"/>
      <c r="BN137" s="567"/>
      <c r="BO137" s="567"/>
      <c r="BP137" s="567"/>
      <c r="BQ137" s="567"/>
      <c r="BR137" s="567"/>
      <c r="BS137" s="567"/>
      <c r="BT137" s="567"/>
      <c r="BU137" s="567"/>
      <c r="BV137" s="567"/>
      <c r="BW137" s="567"/>
      <c r="BX137" s="567"/>
      <c r="BY137" s="567"/>
      <c r="BZ137" s="567"/>
      <c r="CA137" s="567"/>
      <c r="CB137" s="567"/>
      <c r="CC137" s="567"/>
      <c r="CD137" s="567"/>
      <c r="CE137" s="567"/>
      <c r="CF137" s="567"/>
      <c r="CG137" s="567"/>
      <c r="CH137" s="567"/>
      <c r="CI137" s="567"/>
      <c r="CJ137" s="567"/>
      <c r="CK137" s="567"/>
      <c r="CL137" s="567"/>
      <c r="CM137" s="567"/>
      <c r="CN137" s="567"/>
      <c r="CO137" s="567"/>
      <c r="CP137" s="567"/>
      <c r="CQ137" s="567"/>
      <c r="CR137" s="567"/>
      <c r="CS137" s="567"/>
      <c r="CT137" s="567"/>
      <c r="CU137" s="567"/>
      <c r="CV137" s="567"/>
      <c r="CW137" s="567"/>
      <c r="CX137" s="567"/>
      <c r="CY137" s="567"/>
      <c r="CZ137" s="567"/>
      <c r="DA137" s="567"/>
      <c r="DB137" s="567"/>
      <c r="DC137" s="567"/>
      <c r="DD137" s="567"/>
      <c r="DE137" s="567"/>
      <c r="DF137" s="567"/>
      <c r="DG137" s="567"/>
      <c r="DH137" s="567"/>
      <c r="DI137" s="567"/>
      <c r="DJ137" s="567"/>
      <c r="DK137" s="567"/>
      <c r="DL137" s="567"/>
      <c r="DM137" s="567"/>
      <c r="DN137" s="567"/>
      <c r="DO137" s="567"/>
      <c r="DP137" s="567"/>
      <c r="DQ137" s="567"/>
    </row>
    <row r="138" spans="1:121" s="487" customFormat="1">
      <c r="A138" s="588"/>
      <c r="B138" s="588"/>
      <c r="C138" s="588"/>
      <c r="D138" s="588"/>
      <c r="E138" s="588"/>
      <c r="F138" s="588"/>
      <c r="G138" s="588"/>
      <c r="H138" s="588"/>
      <c r="I138" s="588"/>
      <c r="J138" s="588"/>
      <c r="K138" s="588"/>
      <c r="L138" s="702"/>
      <c r="M138" s="888"/>
      <c r="N138" s="888"/>
      <c r="O138" s="888"/>
      <c r="P138" s="888"/>
      <c r="Q138" s="888"/>
      <c r="R138" s="888"/>
      <c r="S138" s="888"/>
      <c r="T138" s="888"/>
      <c r="U138" s="888"/>
      <c r="V138" s="888"/>
      <c r="W138" s="888"/>
      <c r="X138" s="888"/>
      <c r="Y138" s="888"/>
      <c r="Z138" s="888"/>
      <c r="AA138" s="888"/>
      <c r="AB138" s="888"/>
      <c r="AC138" s="888"/>
      <c r="AD138" s="888"/>
      <c r="AE138" s="888"/>
      <c r="AF138" s="888"/>
      <c r="AG138" s="888"/>
      <c r="AH138" s="888"/>
      <c r="AI138" s="888"/>
      <c r="AJ138" s="888"/>
      <c r="AK138" s="888"/>
      <c r="AL138" s="888"/>
      <c r="AM138" s="888"/>
      <c r="AN138" s="888"/>
      <c r="AO138" s="888"/>
      <c r="AP138" s="888"/>
      <c r="AQ138" s="888"/>
      <c r="AR138" s="888"/>
      <c r="AS138" s="888"/>
      <c r="AT138" s="888"/>
      <c r="AU138" s="888"/>
      <c r="AV138" s="888"/>
      <c r="AW138" s="888"/>
      <c r="AX138" s="888"/>
      <c r="AY138" s="888"/>
      <c r="AZ138" s="567"/>
      <c r="BA138" s="567"/>
      <c r="BB138" s="567"/>
      <c r="BC138" s="567"/>
      <c r="BD138" s="567"/>
      <c r="BE138" s="567"/>
      <c r="BF138" s="567"/>
      <c r="BG138" s="567"/>
      <c r="BH138" s="567"/>
      <c r="BI138" s="567"/>
      <c r="BJ138" s="567"/>
      <c r="BK138" s="567"/>
      <c r="BL138" s="567"/>
      <c r="BM138" s="567"/>
      <c r="BN138" s="567"/>
      <c r="BO138" s="567"/>
      <c r="BP138" s="567"/>
      <c r="BQ138" s="567"/>
      <c r="BR138" s="567"/>
      <c r="BS138" s="567"/>
      <c r="BT138" s="567"/>
      <c r="BU138" s="567"/>
      <c r="BV138" s="567"/>
      <c r="BW138" s="567"/>
      <c r="BX138" s="567"/>
      <c r="BY138" s="567"/>
      <c r="BZ138" s="567"/>
      <c r="CA138" s="567"/>
      <c r="CB138" s="567"/>
      <c r="CC138" s="567"/>
      <c r="CD138" s="567"/>
      <c r="CE138" s="567"/>
      <c r="CF138" s="567"/>
      <c r="CG138" s="567"/>
      <c r="CH138" s="567"/>
      <c r="CI138" s="567"/>
      <c r="CJ138" s="567"/>
      <c r="CK138" s="567"/>
      <c r="CL138" s="567"/>
      <c r="CM138" s="567"/>
      <c r="CN138" s="567"/>
      <c r="CO138" s="567"/>
      <c r="CP138" s="567"/>
      <c r="CQ138" s="567"/>
      <c r="CR138" s="567"/>
      <c r="CS138" s="567"/>
      <c r="CT138" s="567"/>
      <c r="CU138" s="567"/>
      <c r="CV138" s="567"/>
      <c r="CW138" s="567"/>
      <c r="CX138" s="567"/>
      <c r="CY138" s="567"/>
      <c r="CZ138" s="567"/>
      <c r="DA138" s="567"/>
      <c r="DB138" s="567"/>
      <c r="DC138" s="567"/>
      <c r="DD138" s="567"/>
      <c r="DE138" s="567"/>
      <c r="DF138" s="567"/>
      <c r="DG138" s="567"/>
      <c r="DH138" s="567"/>
      <c r="DI138" s="567"/>
      <c r="DJ138" s="567"/>
      <c r="DK138" s="567"/>
      <c r="DL138" s="567"/>
      <c r="DM138" s="567"/>
      <c r="DN138" s="567"/>
      <c r="DO138" s="567"/>
      <c r="DP138" s="567"/>
      <c r="DQ138" s="567"/>
    </row>
    <row r="139" spans="1:121" s="487" customFormat="1">
      <c r="A139" s="588"/>
      <c r="B139" s="588"/>
      <c r="C139" s="588"/>
      <c r="D139" s="588"/>
      <c r="E139" s="588"/>
      <c r="F139" s="588"/>
      <c r="G139" s="588"/>
      <c r="H139" s="588"/>
      <c r="I139" s="588"/>
      <c r="J139" s="588"/>
      <c r="K139" s="588"/>
      <c r="L139" s="702"/>
      <c r="M139" s="888"/>
      <c r="N139" s="888"/>
      <c r="O139" s="888"/>
      <c r="P139" s="888"/>
      <c r="Q139" s="888"/>
      <c r="R139" s="888"/>
      <c r="S139" s="888"/>
      <c r="T139" s="888"/>
      <c r="U139" s="888"/>
      <c r="V139" s="888"/>
      <c r="W139" s="888"/>
      <c r="X139" s="888"/>
      <c r="Y139" s="888"/>
      <c r="Z139" s="888"/>
      <c r="AA139" s="888"/>
      <c r="AB139" s="888"/>
      <c r="AC139" s="888"/>
      <c r="AD139" s="888"/>
      <c r="AE139" s="888"/>
      <c r="AF139" s="888"/>
      <c r="AG139" s="888"/>
      <c r="AH139" s="888"/>
      <c r="AI139" s="888"/>
      <c r="AJ139" s="888"/>
      <c r="AK139" s="888"/>
      <c r="AL139" s="888"/>
      <c r="AM139" s="888"/>
      <c r="AN139" s="888"/>
      <c r="AO139" s="888"/>
      <c r="AP139" s="888"/>
      <c r="AQ139" s="888"/>
      <c r="AR139" s="888"/>
      <c r="AS139" s="888"/>
      <c r="AT139" s="888"/>
      <c r="AU139" s="888"/>
      <c r="AV139" s="888"/>
      <c r="AW139" s="888"/>
      <c r="AX139" s="888"/>
      <c r="AY139" s="888"/>
      <c r="AZ139" s="567"/>
      <c r="BA139" s="567"/>
      <c r="BB139" s="567"/>
      <c r="BC139" s="567"/>
      <c r="BD139" s="567"/>
      <c r="BE139" s="567"/>
      <c r="BF139" s="567"/>
      <c r="BG139" s="567"/>
      <c r="BH139" s="567"/>
      <c r="BI139" s="567"/>
      <c r="BJ139" s="567"/>
      <c r="BK139" s="567"/>
      <c r="BL139" s="567"/>
      <c r="BM139" s="567"/>
      <c r="BN139" s="567"/>
      <c r="BO139" s="567"/>
      <c r="BP139" s="567"/>
      <c r="BQ139" s="567"/>
      <c r="BR139" s="567"/>
      <c r="BS139" s="567"/>
      <c r="BT139" s="567"/>
      <c r="BU139" s="567"/>
      <c r="BV139" s="567"/>
      <c r="BW139" s="567"/>
      <c r="BX139" s="567"/>
      <c r="BY139" s="567"/>
      <c r="BZ139" s="567"/>
      <c r="CA139" s="567"/>
      <c r="CB139" s="567"/>
      <c r="CC139" s="567"/>
      <c r="CD139" s="567"/>
      <c r="CE139" s="567"/>
      <c r="CF139" s="567"/>
      <c r="CG139" s="567"/>
      <c r="CH139" s="567"/>
      <c r="CI139" s="567"/>
      <c r="CJ139" s="567"/>
      <c r="CK139" s="567"/>
      <c r="CL139" s="567"/>
      <c r="CM139" s="567"/>
      <c r="CN139" s="567"/>
      <c r="CO139" s="567"/>
      <c r="CP139" s="567"/>
      <c r="CQ139" s="567"/>
      <c r="CR139" s="567"/>
      <c r="CS139" s="567"/>
      <c r="CT139" s="567"/>
      <c r="CU139" s="567"/>
      <c r="CV139" s="567"/>
      <c r="CW139" s="567"/>
      <c r="CX139" s="567"/>
      <c r="CY139" s="567"/>
      <c r="CZ139" s="567"/>
      <c r="DA139" s="567"/>
      <c r="DB139" s="567"/>
      <c r="DC139" s="567"/>
      <c r="DD139" s="567"/>
      <c r="DE139" s="567"/>
      <c r="DF139" s="567"/>
      <c r="DG139" s="567"/>
      <c r="DH139" s="567"/>
      <c r="DI139" s="567"/>
      <c r="DJ139" s="567"/>
      <c r="DK139" s="567"/>
      <c r="DL139" s="567"/>
      <c r="DM139" s="567"/>
      <c r="DN139" s="567"/>
      <c r="DO139" s="567"/>
      <c r="DP139" s="567"/>
      <c r="DQ139" s="567"/>
    </row>
    <row r="140" spans="1:121" s="487" customFormat="1">
      <c r="A140" s="588"/>
      <c r="B140" s="588"/>
      <c r="C140" s="588"/>
      <c r="D140" s="588"/>
      <c r="E140" s="588"/>
      <c r="F140" s="588"/>
      <c r="G140" s="588"/>
      <c r="H140" s="588"/>
      <c r="I140" s="588"/>
      <c r="J140" s="588"/>
      <c r="K140" s="588"/>
      <c r="L140" s="702"/>
      <c r="M140" s="888"/>
      <c r="N140" s="888"/>
      <c r="O140" s="888"/>
      <c r="P140" s="888"/>
      <c r="Q140" s="888"/>
      <c r="R140" s="888"/>
      <c r="S140" s="888"/>
      <c r="T140" s="888"/>
      <c r="U140" s="888"/>
      <c r="V140" s="888"/>
      <c r="W140" s="888"/>
      <c r="X140" s="888"/>
      <c r="Y140" s="888"/>
      <c r="Z140" s="888"/>
      <c r="AA140" s="888"/>
      <c r="AB140" s="888"/>
      <c r="AC140" s="888"/>
      <c r="AD140" s="888"/>
      <c r="AE140" s="888"/>
      <c r="AF140" s="888"/>
      <c r="AG140" s="888"/>
      <c r="AH140" s="888"/>
      <c r="AI140" s="888"/>
      <c r="AJ140" s="888"/>
      <c r="AK140" s="888"/>
      <c r="AL140" s="888"/>
      <c r="AM140" s="888"/>
      <c r="AN140" s="888"/>
      <c r="AO140" s="888"/>
      <c r="AP140" s="888"/>
      <c r="AQ140" s="888"/>
      <c r="AR140" s="888"/>
      <c r="AS140" s="888"/>
      <c r="AT140" s="888"/>
      <c r="AU140" s="888"/>
      <c r="AV140" s="888"/>
      <c r="AW140" s="888"/>
      <c r="AX140" s="888"/>
      <c r="AY140" s="888"/>
      <c r="AZ140" s="567"/>
      <c r="BA140" s="567"/>
      <c r="BB140" s="567"/>
      <c r="BC140" s="567"/>
      <c r="BD140" s="567"/>
      <c r="BE140" s="567"/>
      <c r="BF140" s="567"/>
      <c r="BG140" s="567"/>
      <c r="BH140" s="567"/>
      <c r="BI140" s="567"/>
      <c r="BJ140" s="567"/>
      <c r="BK140" s="567"/>
      <c r="BL140" s="567"/>
      <c r="BM140" s="567"/>
      <c r="BN140" s="567"/>
      <c r="BO140" s="567"/>
      <c r="BP140" s="567"/>
      <c r="BQ140" s="567"/>
      <c r="BR140" s="567"/>
      <c r="BS140" s="567"/>
      <c r="BT140" s="567"/>
      <c r="BU140" s="567"/>
      <c r="BV140" s="567"/>
      <c r="BW140" s="567"/>
      <c r="BX140" s="567"/>
      <c r="BY140" s="567"/>
      <c r="BZ140" s="567"/>
      <c r="CA140" s="567"/>
      <c r="CB140" s="567"/>
      <c r="CC140" s="567"/>
      <c r="CD140" s="567"/>
      <c r="CE140" s="567"/>
      <c r="CF140" s="567"/>
      <c r="CG140" s="567"/>
      <c r="CH140" s="567"/>
      <c r="CI140" s="567"/>
      <c r="CJ140" s="567"/>
      <c r="CK140" s="567"/>
      <c r="CL140" s="567"/>
      <c r="CM140" s="567"/>
      <c r="CN140" s="567"/>
      <c r="CO140" s="567"/>
      <c r="CP140" s="567"/>
      <c r="CQ140" s="567"/>
      <c r="CR140" s="567"/>
      <c r="CS140" s="567"/>
      <c r="CT140" s="567"/>
      <c r="CU140" s="567"/>
      <c r="CV140" s="567"/>
      <c r="CW140" s="567"/>
      <c r="CX140" s="567"/>
      <c r="CY140" s="567"/>
      <c r="CZ140" s="567"/>
      <c r="DA140" s="567"/>
      <c r="DB140" s="567"/>
      <c r="DC140" s="567"/>
      <c r="DD140" s="567"/>
      <c r="DE140" s="567"/>
      <c r="DF140" s="567"/>
      <c r="DG140" s="567"/>
      <c r="DH140" s="567"/>
      <c r="DI140" s="567"/>
      <c r="DJ140" s="567"/>
      <c r="DK140" s="567"/>
      <c r="DL140" s="567"/>
      <c r="DM140" s="567"/>
      <c r="DN140" s="567"/>
      <c r="DO140" s="567"/>
      <c r="DP140" s="567"/>
      <c r="DQ140" s="567"/>
    </row>
    <row r="141" spans="1:121" s="487" customFormat="1">
      <c r="A141" s="588"/>
      <c r="B141" s="588"/>
      <c r="C141" s="588"/>
      <c r="D141" s="588"/>
      <c r="E141" s="588"/>
      <c r="F141" s="588"/>
      <c r="G141" s="588"/>
      <c r="H141" s="588"/>
      <c r="I141" s="588"/>
      <c r="J141" s="588"/>
      <c r="K141" s="588"/>
      <c r="L141" s="702"/>
      <c r="M141" s="888"/>
      <c r="N141" s="888"/>
      <c r="O141" s="888"/>
      <c r="P141" s="888"/>
      <c r="Q141" s="888"/>
      <c r="R141" s="888"/>
      <c r="S141" s="888"/>
      <c r="T141" s="888"/>
      <c r="U141" s="888"/>
      <c r="V141" s="888"/>
      <c r="W141" s="888"/>
      <c r="X141" s="888"/>
      <c r="Y141" s="888"/>
      <c r="Z141" s="888"/>
      <c r="AA141" s="888"/>
      <c r="AB141" s="888"/>
      <c r="AC141" s="888"/>
      <c r="AD141" s="888"/>
      <c r="AE141" s="888"/>
      <c r="AF141" s="888"/>
      <c r="AG141" s="888"/>
      <c r="AH141" s="888"/>
      <c r="AI141" s="888"/>
      <c r="AJ141" s="888"/>
      <c r="AK141" s="888"/>
      <c r="AL141" s="888"/>
      <c r="AM141" s="888"/>
      <c r="AN141" s="888"/>
      <c r="AO141" s="888"/>
      <c r="AP141" s="888"/>
      <c r="AQ141" s="888"/>
      <c r="AR141" s="888"/>
      <c r="AS141" s="888"/>
      <c r="AT141" s="888"/>
      <c r="AU141" s="888"/>
      <c r="AV141" s="888"/>
      <c r="AW141" s="888"/>
      <c r="AX141" s="888"/>
      <c r="AY141" s="888"/>
      <c r="AZ141" s="567"/>
      <c r="BA141" s="567"/>
      <c r="BB141" s="567"/>
      <c r="BC141" s="567"/>
      <c r="BD141" s="567"/>
      <c r="BE141" s="567"/>
      <c r="BF141" s="567"/>
      <c r="BG141" s="567"/>
      <c r="BH141" s="567"/>
      <c r="BI141" s="567"/>
      <c r="BJ141" s="567"/>
      <c r="BK141" s="567"/>
      <c r="BL141" s="567"/>
      <c r="BM141" s="567"/>
      <c r="BN141" s="567"/>
      <c r="BO141" s="567"/>
      <c r="BP141" s="567"/>
      <c r="BQ141" s="567"/>
      <c r="BR141" s="567"/>
      <c r="BS141" s="567"/>
      <c r="BT141" s="567"/>
      <c r="BU141" s="567"/>
      <c r="BV141" s="567"/>
      <c r="BW141" s="567"/>
      <c r="BX141" s="567"/>
      <c r="BY141" s="567"/>
      <c r="BZ141" s="567"/>
      <c r="CA141" s="567"/>
      <c r="CB141" s="567"/>
      <c r="CC141" s="567"/>
      <c r="CD141" s="567"/>
      <c r="CE141" s="567"/>
      <c r="CF141" s="567"/>
      <c r="CG141" s="567"/>
      <c r="CH141" s="567"/>
      <c r="CI141" s="567"/>
      <c r="CJ141" s="567"/>
      <c r="CK141" s="567"/>
      <c r="CL141" s="567"/>
      <c r="CM141" s="567"/>
      <c r="CN141" s="567"/>
      <c r="CO141" s="567"/>
      <c r="CP141" s="567"/>
      <c r="CQ141" s="567"/>
      <c r="CR141" s="567"/>
      <c r="CS141" s="567"/>
      <c r="CT141" s="567"/>
      <c r="CU141" s="567"/>
      <c r="CV141" s="567"/>
      <c r="CW141" s="567"/>
      <c r="CX141" s="567"/>
      <c r="CY141" s="567"/>
      <c r="CZ141" s="567"/>
      <c r="DA141" s="567"/>
      <c r="DB141" s="567"/>
      <c r="DC141" s="567"/>
      <c r="DD141" s="567"/>
      <c r="DE141" s="567"/>
      <c r="DF141" s="567"/>
      <c r="DG141" s="567"/>
      <c r="DH141" s="567"/>
      <c r="DI141" s="567"/>
      <c r="DJ141" s="567"/>
      <c r="DK141" s="567"/>
      <c r="DL141" s="567"/>
      <c r="DM141" s="567"/>
      <c r="DN141" s="567"/>
      <c r="DO141" s="567"/>
      <c r="DP141" s="567"/>
      <c r="DQ141" s="567"/>
    </row>
    <row r="142" spans="1:121" s="487" customFormat="1">
      <c r="A142" s="588"/>
      <c r="B142" s="588"/>
      <c r="C142" s="588"/>
      <c r="D142" s="588"/>
      <c r="E142" s="588"/>
      <c r="F142" s="588"/>
      <c r="G142" s="588"/>
      <c r="H142" s="588"/>
      <c r="I142" s="588"/>
      <c r="J142" s="588"/>
      <c r="K142" s="588"/>
      <c r="L142" s="702"/>
      <c r="M142" s="888"/>
      <c r="N142" s="888"/>
      <c r="O142" s="888"/>
      <c r="P142" s="888"/>
      <c r="Q142" s="888"/>
      <c r="R142" s="888"/>
      <c r="S142" s="888"/>
      <c r="T142" s="888"/>
      <c r="U142" s="888"/>
      <c r="V142" s="888"/>
      <c r="W142" s="888"/>
      <c r="X142" s="888"/>
      <c r="Y142" s="888"/>
      <c r="Z142" s="888"/>
      <c r="AA142" s="888"/>
      <c r="AB142" s="888"/>
      <c r="AC142" s="888"/>
      <c r="AD142" s="888"/>
      <c r="AE142" s="888"/>
      <c r="AF142" s="888"/>
      <c r="AG142" s="888"/>
      <c r="AH142" s="888"/>
      <c r="AI142" s="888"/>
      <c r="AJ142" s="888"/>
      <c r="AK142" s="888"/>
      <c r="AL142" s="888"/>
      <c r="AM142" s="888"/>
      <c r="AN142" s="888"/>
      <c r="AO142" s="888"/>
      <c r="AP142" s="888"/>
      <c r="AQ142" s="888"/>
      <c r="AR142" s="888"/>
      <c r="AS142" s="888"/>
      <c r="AT142" s="888"/>
      <c r="AU142" s="888"/>
      <c r="AV142" s="888"/>
      <c r="AW142" s="888"/>
      <c r="AX142" s="888"/>
      <c r="AY142" s="888"/>
      <c r="AZ142" s="567"/>
      <c r="BA142" s="567"/>
      <c r="BB142" s="567"/>
      <c r="BC142" s="567"/>
      <c r="BD142" s="567"/>
      <c r="BE142" s="567"/>
      <c r="BF142" s="567"/>
      <c r="BG142" s="567"/>
      <c r="BH142" s="567"/>
      <c r="BI142" s="567"/>
      <c r="BJ142" s="567"/>
      <c r="BK142" s="567"/>
      <c r="BL142" s="567"/>
      <c r="BM142" s="567"/>
      <c r="BN142" s="567"/>
      <c r="BO142" s="567"/>
      <c r="BP142" s="567"/>
      <c r="BQ142" s="567"/>
      <c r="BR142" s="567"/>
      <c r="BS142" s="567"/>
      <c r="BT142" s="567"/>
      <c r="BU142" s="567"/>
      <c r="BV142" s="567"/>
      <c r="BW142" s="567"/>
      <c r="BX142" s="567"/>
      <c r="BY142" s="567"/>
      <c r="BZ142" s="567"/>
      <c r="CA142" s="567"/>
      <c r="CB142" s="567"/>
      <c r="CC142" s="567"/>
      <c r="CD142" s="567"/>
      <c r="CE142" s="567"/>
      <c r="CF142" s="567"/>
      <c r="CG142" s="567"/>
      <c r="CH142" s="567"/>
      <c r="CI142" s="567"/>
      <c r="CJ142" s="567"/>
      <c r="CK142" s="567"/>
      <c r="CL142" s="567"/>
      <c r="CM142" s="567"/>
      <c r="CN142" s="567"/>
      <c r="CO142" s="567"/>
      <c r="CP142" s="567"/>
      <c r="CQ142" s="567"/>
      <c r="CR142" s="567"/>
      <c r="CS142" s="567"/>
      <c r="CT142" s="567"/>
      <c r="CU142" s="567"/>
      <c r="CV142" s="567"/>
      <c r="CW142" s="567"/>
      <c r="CX142" s="567"/>
      <c r="CY142" s="567"/>
      <c r="CZ142" s="567"/>
      <c r="DA142" s="567"/>
      <c r="DB142" s="567"/>
      <c r="DC142" s="567"/>
      <c r="DD142" s="567"/>
      <c r="DE142" s="567"/>
      <c r="DF142" s="567"/>
      <c r="DG142" s="567"/>
      <c r="DH142" s="567"/>
      <c r="DI142" s="567"/>
      <c r="DJ142" s="567"/>
      <c r="DK142" s="567"/>
      <c r="DL142" s="567"/>
      <c r="DM142" s="567"/>
      <c r="DN142" s="567"/>
      <c r="DO142" s="567"/>
      <c r="DP142" s="567"/>
      <c r="DQ142" s="567"/>
    </row>
    <row r="143" spans="1:121" s="487" customFormat="1">
      <c r="A143" s="588"/>
      <c r="B143" s="588"/>
      <c r="C143" s="588"/>
      <c r="D143" s="588"/>
      <c r="E143" s="588"/>
      <c r="F143" s="588"/>
      <c r="G143" s="588"/>
      <c r="H143" s="588"/>
      <c r="I143" s="588"/>
      <c r="J143" s="588"/>
      <c r="K143" s="588"/>
      <c r="L143" s="702"/>
      <c r="M143" s="888"/>
      <c r="N143" s="888"/>
      <c r="O143" s="888"/>
      <c r="P143" s="888"/>
      <c r="Q143" s="888"/>
      <c r="R143" s="888"/>
      <c r="S143" s="888"/>
      <c r="T143" s="888"/>
      <c r="U143" s="888"/>
      <c r="V143" s="888"/>
      <c r="W143" s="888"/>
      <c r="X143" s="888"/>
      <c r="Y143" s="888"/>
      <c r="Z143" s="888"/>
      <c r="AA143" s="888"/>
      <c r="AB143" s="888"/>
      <c r="AC143" s="888"/>
      <c r="AD143" s="888"/>
      <c r="AE143" s="888"/>
      <c r="AF143" s="888"/>
      <c r="AG143" s="888"/>
      <c r="AH143" s="888"/>
      <c r="AI143" s="888"/>
      <c r="AJ143" s="888"/>
      <c r="AK143" s="888"/>
      <c r="AL143" s="888"/>
      <c r="AM143" s="888"/>
      <c r="AN143" s="888"/>
      <c r="AO143" s="888"/>
      <c r="AP143" s="888"/>
      <c r="AQ143" s="888"/>
      <c r="AR143" s="888"/>
      <c r="AS143" s="888"/>
      <c r="AT143" s="888"/>
      <c r="AU143" s="888"/>
      <c r="AV143" s="888"/>
      <c r="AW143" s="888"/>
      <c r="AX143" s="888"/>
      <c r="AY143" s="888"/>
      <c r="AZ143" s="567"/>
      <c r="BA143" s="567"/>
      <c r="BB143" s="567"/>
      <c r="BC143" s="567"/>
      <c r="BD143" s="567"/>
      <c r="BE143" s="567"/>
      <c r="BF143" s="567"/>
      <c r="BG143" s="567"/>
      <c r="BH143" s="567"/>
      <c r="BI143" s="567"/>
      <c r="BJ143" s="567"/>
      <c r="BK143" s="567"/>
      <c r="BL143" s="567"/>
      <c r="BM143" s="567"/>
      <c r="BN143" s="567"/>
      <c r="BO143" s="567"/>
      <c r="BP143" s="567"/>
      <c r="BQ143" s="567"/>
      <c r="BR143" s="567"/>
      <c r="BS143" s="567"/>
      <c r="BT143" s="567"/>
      <c r="BU143" s="567"/>
      <c r="BV143" s="567"/>
      <c r="BW143" s="567"/>
      <c r="BX143" s="567"/>
      <c r="BY143" s="567"/>
      <c r="BZ143" s="567"/>
      <c r="CA143" s="567"/>
      <c r="CB143" s="567"/>
      <c r="CC143" s="567"/>
      <c r="CD143" s="567"/>
      <c r="CE143" s="567"/>
      <c r="CF143" s="567"/>
      <c r="CG143" s="567"/>
      <c r="CH143" s="567"/>
      <c r="CI143" s="567"/>
      <c r="CJ143" s="567"/>
      <c r="CK143" s="567"/>
      <c r="CL143" s="567"/>
      <c r="CM143" s="567"/>
      <c r="CN143" s="567"/>
      <c r="CO143" s="567"/>
      <c r="CP143" s="567"/>
      <c r="CQ143" s="567"/>
      <c r="CR143" s="567"/>
      <c r="CS143" s="567"/>
      <c r="CT143" s="567"/>
      <c r="CU143" s="567"/>
      <c r="CV143" s="567"/>
      <c r="CW143" s="567"/>
      <c r="CX143" s="567"/>
      <c r="CY143" s="567"/>
      <c r="CZ143" s="567"/>
      <c r="DA143" s="567"/>
      <c r="DB143" s="567"/>
      <c r="DC143" s="567"/>
      <c r="DD143" s="567"/>
      <c r="DE143" s="567"/>
      <c r="DF143" s="567"/>
      <c r="DG143" s="567"/>
      <c r="DH143" s="567"/>
      <c r="DI143" s="567"/>
      <c r="DJ143" s="567"/>
      <c r="DK143" s="567"/>
      <c r="DL143" s="567"/>
      <c r="DM143" s="567"/>
      <c r="DN143" s="567"/>
      <c r="DO143" s="567"/>
      <c r="DP143" s="567"/>
      <c r="DQ143" s="567"/>
    </row>
    <row r="144" spans="1:121" s="487" customFormat="1">
      <c r="A144" s="588"/>
      <c r="B144" s="588"/>
      <c r="C144" s="588"/>
      <c r="D144" s="588"/>
      <c r="E144" s="588"/>
      <c r="F144" s="588"/>
      <c r="G144" s="588"/>
      <c r="H144" s="588"/>
      <c r="I144" s="588"/>
      <c r="J144" s="588"/>
      <c r="K144" s="588"/>
      <c r="L144" s="702"/>
      <c r="M144" s="888"/>
      <c r="N144" s="888"/>
      <c r="O144" s="888"/>
      <c r="P144" s="888"/>
      <c r="Q144" s="888"/>
      <c r="R144" s="888"/>
      <c r="S144" s="888"/>
      <c r="T144" s="888"/>
      <c r="U144" s="888"/>
      <c r="V144" s="888"/>
      <c r="W144" s="888"/>
      <c r="X144" s="888"/>
      <c r="Y144" s="888"/>
      <c r="Z144" s="888"/>
      <c r="AA144" s="888"/>
      <c r="AB144" s="888"/>
      <c r="AC144" s="888"/>
      <c r="AD144" s="888"/>
      <c r="AE144" s="888"/>
      <c r="AF144" s="888"/>
      <c r="AG144" s="888"/>
      <c r="AH144" s="888"/>
      <c r="AI144" s="888"/>
      <c r="AJ144" s="888"/>
      <c r="AK144" s="888"/>
      <c r="AL144" s="888"/>
      <c r="AM144" s="888"/>
      <c r="AN144" s="888"/>
      <c r="AO144" s="888"/>
      <c r="AP144" s="888"/>
      <c r="AQ144" s="888"/>
      <c r="AR144" s="888"/>
      <c r="AS144" s="888"/>
      <c r="AT144" s="888"/>
      <c r="AU144" s="888"/>
      <c r="AV144" s="888"/>
      <c r="AW144" s="888"/>
      <c r="AX144" s="888"/>
      <c r="AY144" s="888"/>
      <c r="AZ144" s="567"/>
      <c r="BA144" s="567"/>
      <c r="BB144" s="567"/>
      <c r="BC144" s="567"/>
      <c r="BD144" s="567"/>
      <c r="BE144" s="567"/>
      <c r="BF144" s="567"/>
      <c r="BG144" s="567"/>
      <c r="BH144" s="567"/>
      <c r="BI144" s="567"/>
      <c r="BJ144" s="567"/>
      <c r="BK144" s="567"/>
      <c r="BL144" s="567"/>
      <c r="BM144" s="567"/>
      <c r="BN144" s="567"/>
      <c r="BO144" s="567"/>
      <c r="BP144" s="567"/>
      <c r="BQ144" s="567"/>
      <c r="BR144" s="567"/>
      <c r="BS144" s="567"/>
      <c r="BT144" s="567"/>
      <c r="BU144" s="567"/>
      <c r="BV144" s="567"/>
      <c r="BW144" s="567"/>
      <c r="BX144" s="567"/>
      <c r="BY144" s="567"/>
      <c r="BZ144" s="567"/>
      <c r="CA144" s="567"/>
      <c r="CB144" s="567"/>
      <c r="CC144" s="567"/>
      <c r="CD144" s="567"/>
      <c r="CE144" s="567"/>
      <c r="CF144" s="567"/>
      <c r="CG144" s="567"/>
      <c r="CH144" s="567"/>
      <c r="CI144" s="567"/>
      <c r="CJ144" s="567"/>
      <c r="CK144" s="567"/>
      <c r="CL144" s="567"/>
      <c r="CM144" s="567"/>
      <c r="CN144" s="567"/>
      <c r="CO144" s="567"/>
      <c r="CP144" s="567"/>
      <c r="CQ144" s="567"/>
      <c r="CR144" s="567"/>
      <c r="CS144" s="567"/>
      <c r="CT144" s="567"/>
      <c r="CU144" s="567"/>
      <c r="CV144" s="567"/>
      <c r="CW144" s="567"/>
      <c r="CX144" s="567"/>
      <c r="CY144" s="567"/>
      <c r="CZ144" s="567"/>
      <c r="DA144" s="567"/>
      <c r="DB144" s="567"/>
      <c r="DC144" s="567"/>
      <c r="DD144" s="567"/>
      <c r="DE144" s="567"/>
      <c r="DF144" s="567"/>
      <c r="DG144" s="567"/>
      <c r="DH144" s="567"/>
      <c r="DI144" s="567"/>
      <c r="DJ144" s="567"/>
      <c r="DK144" s="567"/>
      <c r="DL144" s="567"/>
      <c r="DM144" s="567"/>
      <c r="DN144" s="567"/>
      <c r="DO144" s="567"/>
      <c r="DP144" s="567"/>
      <c r="DQ144" s="567"/>
    </row>
    <row r="145" spans="1:121" s="487" customFormat="1">
      <c r="A145" s="588"/>
      <c r="B145" s="588"/>
      <c r="C145" s="588"/>
      <c r="D145" s="588"/>
      <c r="E145" s="588"/>
      <c r="F145" s="588"/>
      <c r="G145" s="588"/>
      <c r="H145" s="588"/>
      <c r="I145" s="588"/>
      <c r="J145" s="588"/>
      <c r="K145" s="588"/>
      <c r="L145" s="702"/>
      <c r="M145" s="888"/>
      <c r="N145" s="888"/>
      <c r="O145" s="888"/>
      <c r="P145" s="888"/>
      <c r="Q145" s="888"/>
      <c r="R145" s="888"/>
      <c r="S145" s="888"/>
      <c r="T145" s="888"/>
      <c r="U145" s="888"/>
      <c r="V145" s="888"/>
      <c r="W145" s="888"/>
      <c r="X145" s="888"/>
      <c r="Y145" s="888"/>
      <c r="Z145" s="888"/>
      <c r="AA145" s="888"/>
      <c r="AB145" s="888"/>
      <c r="AC145" s="888"/>
      <c r="AD145" s="888"/>
      <c r="AE145" s="888"/>
      <c r="AF145" s="888"/>
      <c r="AG145" s="888"/>
      <c r="AH145" s="888"/>
      <c r="AI145" s="888"/>
      <c r="AJ145" s="888"/>
      <c r="AK145" s="888"/>
      <c r="AL145" s="888"/>
      <c r="AM145" s="888"/>
      <c r="AN145" s="888"/>
      <c r="AO145" s="888"/>
      <c r="AP145" s="888"/>
      <c r="AQ145" s="888"/>
      <c r="AR145" s="888"/>
      <c r="AS145" s="888"/>
      <c r="AT145" s="888"/>
      <c r="AU145" s="888"/>
      <c r="AV145" s="888"/>
      <c r="AW145" s="888"/>
      <c r="AX145" s="888"/>
      <c r="AY145" s="888"/>
      <c r="AZ145" s="567"/>
      <c r="BA145" s="567"/>
      <c r="BB145" s="567"/>
      <c r="BC145" s="567"/>
      <c r="BD145" s="567"/>
      <c r="BE145" s="567"/>
      <c r="BF145" s="567"/>
      <c r="BG145" s="567"/>
      <c r="BH145" s="567"/>
      <c r="BI145" s="567"/>
      <c r="BJ145" s="567"/>
      <c r="BK145" s="567"/>
      <c r="BL145" s="567"/>
      <c r="BM145" s="567"/>
      <c r="BN145" s="567"/>
      <c r="BO145" s="567"/>
      <c r="BP145" s="567"/>
      <c r="BQ145" s="567"/>
      <c r="BR145" s="567"/>
      <c r="BS145" s="567"/>
      <c r="BT145" s="567"/>
      <c r="BU145" s="567"/>
      <c r="BV145" s="567"/>
      <c r="BW145" s="567"/>
      <c r="BX145" s="567"/>
      <c r="BY145" s="567"/>
      <c r="BZ145" s="567"/>
      <c r="CA145" s="567"/>
      <c r="CB145" s="567"/>
      <c r="CC145" s="567"/>
      <c r="CD145" s="567"/>
      <c r="CE145" s="567"/>
      <c r="CF145" s="567"/>
      <c r="CG145" s="567"/>
      <c r="CH145" s="567"/>
      <c r="CI145" s="567"/>
      <c r="CJ145" s="567"/>
      <c r="CK145" s="567"/>
      <c r="CL145" s="567"/>
      <c r="CM145" s="567"/>
      <c r="CN145" s="567"/>
      <c r="CO145" s="567"/>
      <c r="CP145" s="567"/>
      <c r="CQ145" s="567"/>
      <c r="CR145" s="567"/>
      <c r="CS145" s="567"/>
      <c r="CT145" s="567"/>
      <c r="CU145" s="567"/>
      <c r="CV145" s="567"/>
      <c r="CW145" s="567"/>
      <c r="CX145" s="567"/>
      <c r="CY145" s="567"/>
      <c r="CZ145" s="567"/>
      <c r="DA145" s="567"/>
      <c r="DB145" s="567"/>
      <c r="DC145" s="567"/>
      <c r="DD145" s="567"/>
      <c r="DE145" s="567"/>
      <c r="DF145" s="567"/>
      <c r="DG145" s="567"/>
      <c r="DH145" s="567"/>
      <c r="DI145" s="567"/>
      <c r="DJ145" s="567"/>
      <c r="DK145" s="567"/>
      <c r="DL145" s="567"/>
      <c r="DM145" s="567"/>
      <c r="DN145" s="567"/>
      <c r="DO145" s="567"/>
      <c r="DP145" s="567"/>
      <c r="DQ145" s="567"/>
    </row>
    <row r="146" spans="1:121" s="487" customFormat="1">
      <c r="A146" s="588"/>
      <c r="B146" s="588"/>
      <c r="C146" s="588"/>
      <c r="D146" s="588"/>
      <c r="E146" s="588"/>
      <c r="F146" s="588"/>
      <c r="G146" s="588"/>
      <c r="H146" s="588"/>
      <c r="I146" s="588"/>
      <c r="J146" s="588"/>
      <c r="K146" s="588"/>
      <c r="L146" s="702"/>
      <c r="M146" s="888"/>
      <c r="N146" s="888"/>
      <c r="O146" s="888"/>
      <c r="P146" s="888"/>
      <c r="Q146" s="888"/>
      <c r="R146" s="888"/>
      <c r="S146" s="888"/>
      <c r="T146" s="888"/>
      <c r="U146" s="888"/>
      <c r="V146" s="888"/>
      <c r="W146" s="888"/>
      <c r="X146" s="888"/>
      <c r="Y146" s="888"/>
      <c r="Z146" s="888"/>
      <c r="AA146" s="888"/>
      <c r="AB146" s="888"/>
      <c r="AC146" s="888"/>
      <c r="AD146" s="888"/>
      <c r="AE146" s="888"/>
      <c r="AF146" s="888"/>
      <c r="AG146" s="888"/>
      <c r="AH146" s="888"/>
      <c r="AI146" s="888"/>
      <c r="AJ146" s="888"/>
      <c r="AK146" s="888"/>
      <c r="AL146" s="888"/>
      <c r="AM146" s="888"/>
      <c r="AN146" s="888"/>
      <c r="AO146" s="888"/>
      <c r="AP146" s="888"/>
      <c r="AQ146" s="888"/>
      <c r="AR146" s="888"/>
      <c r="AS146" s="888"/>
      <c r="AT146" s="888"/>
      <c r="AU146" s="888"/>
      <c r="AV146" s="888"/>
      <c r="AW146" s="888"/>
      <c r="AX146" s="888"/>
      <c r="AY146" s="888"/>
      <c r="AZ146" s="567"/>
      <c r="BA146" s="567"/>
      <c r="BB146" s="567"/>
      <c r="BC146" s="567"/>
      <c r="BD146" s="567"/>
      <c r="BE146" s="567"/>
      <c r="BF146" s="567"/>
      <c r="BG146" s="567"/>
      <c r="BH146" s="567"/>
      <c r="BI146" s="567"/>
      <c r="BJ146" s="567"/>
      <c r="BK146" s="567"/>
      <c r="BL146" s="567"/>
      <c r="BM146" s="567"/>
      <c r="BN146" s="567"/>
      <c r="BO146" s="567"/>
      <c r="BP146" s="567"/>
      <c r="BQ146" s="567"/>
      <c r="BR146" s="567"/>
      <c r="BS146" s="567"/>
      <c r="BT146" s="567"/>
      <c r="BU146" s="567"/>
      <c r="BV146" s="567"/>
      <c r="BW146" s="567"/>
      <c r="BX146" s="567"/>
      <c r="BY146" s="567"/>
      <c r="BZ146" s="567"/>
      <c r="CA146" s="567"/>
      <c r="CB146" s="567"/>
      <c r="CC146" s="567"/>
      <c r="CD146" s="567"/>
      <c r="CE146" s="567"/>
      <c r="CF146" s="567"/>
      <c r="CG146" s="567"/>
      <c r="CH146" s="567"/>
      <c r="CI146" s="567"/>
      <c r="CJ146" s="567"/>
      <c r="CK146" s="567"/>
      <c r="CL146" s="567"/>
      <c r="CM146" s="567"/>
      <c r="CN146" s="567"/>
      <c r="CO146" s="567"/>
      <c r="CP146" s="567"/>
      <c r="CQ146" s="567"/>
      <c r="CR146" s="567"/>
      <c r="CS146" s="567"/>
      <c r="CT146" s="567"/>
      <c r="CU146" s="567"/>
      <c r="CV146" s="567"/>
      <c r="CW146" s="567"/>
      <c r="CX146" s="567"/>
      <c r="CY146" s="567"/>
      <c r="CZ146" s="567"/>
      <c r="DA146" s="567"/>
      <c r="DB146" s="567"/>
      <c r="DC146" s="567"/>
      <c r="DD146" s="567"/>
      <c r="DE146" s="567"/>
      <c r="DF146" s="567"/>
      <c r="DG146" s="567"/>
      <c r="DH146" s="567"/>
      <c r="DI146" s="567"/>
      <c r="DJ146" s="567"/>
      <c r="DK146" s="567"/>
      <c r="DL146" s="567"/>
      <c r="DM146" s="567"/>
      <c r="DN146" s="567"/>
      <c r="DO146" s="567"/>
      <c r="DP146" s="567"/>
      <c r="DQ146" s="567"/>
    </row>
    <row r="147" spans="1:121" s="487" customFormat="1">
      <c r="A147" s="588"/>
      <c r="B147" s="588"/>
      <c r="C147" s="588"/>
      <c r="D147" s="588"/>
      <c r="E147" s="588"/>
      <c r="F147" s="588"/>
      <c r="G147" s="588"/>
      <c r="H147" s="588"/>
      <c r="I147" s="588"/>
      <c r="J147" s="588"/>
      <c r="K147" s="588"/>
      <c r="L147" s="702"/>
      <c r="M147" s="888"/>
      <c r="N147" s="888"/>
      <c r="O147" s="888"/>
      <c r="P147" s="888"/>
      <c r="Q147" s="888"/>
      <c r="R147" s="888"/>
      <c r="S147" s="888"/>
      <c r="T147" s="888"/>
      <c r="U147" s="888"/>
      <c r="V147" s="888"/>
      <c r="W147" s="888"/>
      <c r="X147" s="888"/>
      <c r="Y147" s="888"/>
      <c r="Z147" s="888"/>
      <c r="AA147" s="888"/>
      <c r="AB147" s="888"/>
      <c r="AC147" s="888"/>
      <c r="AD147" s="888"/>
      <c r="AE147" s="888"/>
      <c r="AF147" s="888"/>
      <c r="AG147" s="888"/>
      <c r="AH147" s="888"/>
      <c r="AI147" s="888"/>
      <c r="AJ147" s="888"/>
      <c r="AK147" s="888"/>
      <c r="AL147" s="888"/>
      <c r="AM147" s="888"/>
      <c r="AN147" s="888"/>
      <c r="AO147" s="888"/>
      <c r="AP147" s="888"/>
      <c r="AQ147" s="888"/>
      <c r="AR147" s="888"/>
      <c r="AS147" s="888"/>
      <c r="AT147" s="888"/>
      <c r="AU147" s="888"/>
      <c r="AV147" s="888"/>
      <c r="AW147" s="888"/>
      <c r="AX147" s="888"/>
      <c r="AY147" s="888"/>
      <c r="AZ147" s="567"/>
      <c r="BA147" s="567"/>
      <c r="BB147" s="567"/>
      <c r="BC147" s="567"/>
      <c r="BD147" s="567"/>
      <c r="BE147" s="567"/>
      <c r="BF147" s="567"/>
      <c r="BG147" s="567"/>
      <c r="BH147" s="567"/>
      <c r="BI147" s="567"/>
      <c r="BJ147" s="567"/>
      <c r="BK147" s="567"/>
      <c r="BL147" s="567"/>
      <c r="BM147" s="567"/>
      <c r="BN147" s="567"/>
      <c r="BO147" s="567"/>
      <c r="BP147" s="567"/>
      <c r="BQ147" s="567"/>
      <c r="BR147" s="567"/>
      <c r="BS147" s="567"/>
      <c r="BT147" s="567"/>
      <c r="BU147" s="567"/>
      <c r="BV147" s="567"/>
      <c r="BW147" s="567"/>
      <c r="BX147" s="567"/>
      <c r="BY147" s="567"/>
      <c r="BZ147" s="567"/>
      <c r="CA147" s="567"/>
      <c r="CB147" s="567"/>
      <c r="CC147" s="567"/>
      <c r="CD147" s="567"/>
      <c r="CE147" s="567"/>
      <c r="CF147" s="567"/>
      <c r="CG147" s="567"/>
      <c r="CH147" s="567"/>
      <c r="CI147" s="567"/>
      <c r="CJ147" s="567"/>
      <c r="CK147" s="567"/>
      <c r="CL147" s="567"/>
      <c r="CM147" s="567"/>
      <c r="CN147" s="567"/>
      <c r="CO147" s="567"/>
      <c r="CP147" s="567"/>
      <c r="CQ147" s="567"/>
      <c r="CR147" s="567"/>
      <c r="CS147" s="567"/>
      <c r="CT147" s="567"/>
      <c r="CU147" s="567"/>
      <c r="CV147" s="567"/>
      <c r="CW147" s="567"/>
      <c r="CX147" s="567"/>
      <c r="CY147" s="567"/>
      <c r="CZ147" s="567"/>
      <c r="DA147" s="567"/>
      <c r="DB147" s="567"/>
      <c r="DC147" s="567"/>
      <c r="DD147" s="567"/>
      <c r="DE147" s="567"/>
      <c r="DF147" s="567"/>
      <c r="DG147" s="567"/>
      <c r="DH147" s="567"/>
      <c r="DI147" s="567"/>
      <c r="DJ147" s="567"/>
      <c r="DK147" s="567"/>
      <c r="DL147" s="567"/>
      <c r="DM147" s="567"/>
      <c r="DN147" s="567"/>
      <c r="DO147" s="567"/>
      <c r="DP147" s="567"/>
      <c r="DQ147" s="567"/>
    </row>
    <row r="148" spans="1:121" s="487" customFormat="1">
      <c r="A148" s="588"/>
      <c r="B148" s="588"/>
      <c r="C148" s="588"/>
      <c r="D148" s="588"/>
      <c r="E148" s="588"/>
      <c r="F148" s="588"/>
      <c r="G148" s="588"/>
      <c r="H148" s="588"/>
      <c r="I148" s="588"/>
      <c r="J148" s="588"/>
      <c r="K148" s="588"/>
      <c r="L148" s="702"/>
      <c r="M148" s="888"/>
      <c r="N148" s="888"/>
      <c r="O148" s="888"/>
      <c r="P148" s="888"/>
      <c r="Q148" s="888"/>
      <c r="R148" s="888"/>
      <c r="S148" s="888"/>
      <c r="T148" s="888"/>
      <c r="U148" s="888"/>
      <c r="V148" s="888"/>
      <c r="W148" s="888"/>
      <c r="X148" s="888"/>
      <c r="Y148" s="888"/>
      <c r="Z148" s="888"/>
      <c r="AA148" s="888"/>
      <c r="AB148" s="888"/>
      <c r="AC148" s="888"/>
      <c r="AD148" s="888"/>
      <c r="AE148" s="888"/>
      <c r="AF148" s="888"/>
      <c r="AG148" s="888"/>
      <c r="AH148" s="888"/>
      <c r="AI148" s="888"/>
      <c r="AJ148" s="888"/>
      <c r="AK148" s="888"/>
      <c r="AL148" s="888"/>
      <c r="AM148" s="888"/>
      <c r="AN148" s="888"/>
      <c r="AO148" s="888"/>
      <c r="AP148" s="888"/>
      <c r="AQ148" s="888"/>
      <c r="AR148" s="888"/>
      <c r="AS148" s="888"/>
      <c r="AT148" s="888"/>
      <c r="AU148" s="888"/>
      <c r="AV148" s="888"/>
      <c r="AW148" s="888"/>
      <c r="AX148" s="888"/>
      <c r="AY148" s="888"/>
      <c r="AZ148" s="567"/>
      <c r="BA148" s="567"/>
      <c r="BB148" s="567"/>
      <c r="BC148" s="567"/>
      <c r="BD148" s="567"/>
      <c r="BE148" s="567"/>
      <c r="BF148" s="567"/>
      <c r="BG148" s="567"/>
      <c r="BH148" s="567"/>
      <c r="BI148" s="567"/>
      <c r="BJ148" s="567"/>
      <c r="BK148" s="567"/>
      <c r="BL148" s="567"/>
      <c r="BM148" s="567"/>
      <c r="BN148" s="567"/>
      <c r="BO148" s="567"/>
      <c r="BP148" s="567"/>
      <c r="BQ148" s="567"/>
      <c r="BR148" s="567"/>
      <c r="BS148" s="567"/>
      <c r="BT148" s="567"/>
      <c r="BU148" s="567"/>
      <c r="BV148" s="567"/>
      <c r="BW148" s="567"/>
      <c r="BX148" s="567"/>
      <c r="BY148" s="567"/>
      <c r="BZ148" s="567"/>
      <c r="CA148" s="567"/>
      <c r="CB148" s="567"/>
      <c r="CC148" s="567"/>
      <c r="CD148" s="567"/>
      <c r="CE148" s="567"/>
      <c r="CF148" s="567"/>
      <c r="CG148" s="567"/>
      <c r="CH148" s="567"/>
      <c r="CI148" s="567"/>
      <c r="CJ148" s="567"/>
      <c r="CK148" s="567"/>
      <c r="CL148" s="567"/>
      <c r="CM148" s="567"/>
      <c r="CN148" s="567"/>
      <c r="CO148" s="567"/>
      <c r="CP148" s="567"/>
      <c r="CQ148" s="567"/>
      <c r="CR148" s="567"/>
      <c r="CS148" s="567"/>
      <c r="CT148" s="567"/>
      <c r="CU148" s="567"/>
      <c r="CV148" s="567"/>
      <c r="CW148" s="567"/>
      <c r="CX148" s="567"/>
      <c r="CY148" s="567"/>
      <c r="CZ148" s="567"/>
      <c r="DA148" s="567"/>
      <c r="DB148" s="567"/>
      <c r="DC148" s="567"/>
      <c r="DD148" s="567"/>
      <c r="DE148" s="567"/>
      <c r="DF148" s="567"/>
      <c r="DG148" s="567"/>
      <c r="DH148" s="567"/>
      <c r="DI148" s="567"/>
      <c r="DJ148" s="567"/>
      <c r="DK148" s="567"/>
      <c r="DL148" s="567"/>
      <c r="DM148" s="567"/>
      <c r="DN148" s="567"/>
      <c r="DO148" s="567"/>
      <c r="DP148" s="567"/>
      <c r="DQ148" s="567"/>
    </row>
    <row r="149" spans="1:121" s="487" customFormat="1">
      <c r="A149" s="588"/>
      <c r="B149" s="588"/>
      <c r="C149" s="588"/>
      <c r="D149" s="588"/>
      <c r="E149" s="588"/>
      <c r="F149" s="588"/>
      <c r="G149" s="588"/>
      <c r="H149" s="588"/>
      <c r="I149" s="588"/>
      <c r="J149" s="588"/>
      <c r="K149" s="588"/>
      <c r="L149" s="702"/>
      <c r="M149" s="888"/>
      <c r="N149" s="888"/>
      <c r="O149" s="888"/>
      <c r="P149" s="888"/>
      <c r="Q149" s="888"/>
      <c r="R149" s="888"/>
      <c r="S149" s="888"/>
      <c r="T149" s="888"/>
      <c r="U149" s="888"/>
      <c r="V149" s="888"/>
      <c r="W149" s="888"/>
      <c r="X149" s="888"/>
      <c r="Y149" s="888"/>
      <c r="Z149" s="888"/>
      <c r="AA149" s="888"/>
      <c r="AB149" s="888"/>
      <c r="AC149" s="888"/>
      <c r="AD149" s="888"/>
      <c r="AE149" s="888"/>
      <c r="AF149" s="888"/>
      <c r="AG149" s="888"/>
      <c r="AH149" s="888"/>
      <c r="AI149" s="888"/>
      <c r="AJ149" s="888"/>
      <c r="AK149" s="888"/>
      <c r="AL149" s="888"/>
      <c r="AM149" s="888"/>
      <c r="AN149" s="888"/>
      <c r="AO149" s="888"/>
      <c r="AP149" s="888"/>
      <c r="AQ149" s="888"/>
      <c r="AR149" s="888"/>
      <c r="AS149" s="888"/>
      <c r="AT149" s="888"/>
      <c r="AU149" s="888"/>
      <c r="AV149" s="888"/>
      <c r="AW149" s="888"/>
      <c r="AX149" s="888"/>
      <c r="AY149" s="888"/>
      <c r="AZ149" s="567"/>
      <c r="BA149" s="567"/>
      <c r="BB149" s="567"/>
      <c r="BC149" s="567"/>
      <c r="BD149" s="567"/>
      <c r="BE149" s="567"/>
      <c r="BF149" s="567"/>
      <c r="BG149" s="567"/>
      <c r="BH149" s="567"/>
      <c r="BI149" s="567"/>
      <c r="BJ149" s="567"/>
      <c r="BK149" s="567"/>
      <c r="BL149" s="567"/>
      <c r="BM149" s="567"/>
      <c r="BN149" s="567"/>
      <c r="BO149" s="567"/>
      <c r="BP149" s="567"/>
      <c r="BQ149" s="567"/>
      <c r="BR149" s="567"/>
      <c r="BS149" s="567"/>
      <c r="BT149" s="567"/>
      <c r="BU149" s="567"/>
      <c r="BV149" s="567"/>
      <c r="BW149" s="567"/>
      <c r="BX149" s="567"/>
      <c r="BY149" s="567"/>
      <c r="BZ149" s="567"/>
      <c r="CA149" s="567"/>
      <c r="CB149" s="567"/>
      <c r="CC149" s="567"/>
      <c r="CD149" s="567"/>
      <c r="CE149" s="567"/>
      <c r="CF149" s="567"/>
      <c r="CG149" s="567"/>
      <c r="CH149" s="567"/>
      <c r="CI149" s="567"/>
      <c r="CJ149" s="567"/>
      <c r="CK149" s="567"/>
      <c r="CL149" s="567"/>
      <c r="CM149" s="567"/>
      <c r="CN149" s="567"/>
      <c r="CO149" s="567"/>
      <c r="CP149" s="567"/>
      <c r="CQ149" s="567"/>
      <c r="CR149" s="567"/>
      <c r="CS149" s="567"/>
      <c r="CT149" s="567"/>
      <c r="CU149" s="567"/>
      <c r="CV149" s="567"/>
      <c r="CW149" s="567"/>
      <c r="CX149" s="567"/>
      <c r="CY149" s="567"/>
      <c r="CZ149" s="567"/>
      <c r="DA149" s="567"/>
      <c r="DB149" s="567"/>
      <c r="DC149" s="567"/>
      <c r="DD149" s="567"/>
      <c r="DE149" s="567"/>
      <c r="DF149" s="567"/>
      <c r="DG149" s="567"/>
      <c r="DH149" s="567"/>
      <c r="DI149" s="567"/>
      <c r="DJ149" s="567"/>
      <c r="DK149" s="567"/>
      <c r="DL149" s="567"/>
      <c r="DM149" s="567"/>
      <c r="DN149" s="567"/>
      <c r="DO149" s="567"/>
      <c r="DP149" s="567"/>
      <c r="DQ149" s="567"/>
    </row>
    <row r="150" spans="1:121" s="487" customFormat="1">
      <c r="A150" s="588"/>
      <c r="B150" s="588"/>
      <c r="C150" s="588"/>
      <c r="D150" s="588"/>
      <c r="E150" s="588"/>
      <c r="F150" s="588"/>
      <c r="G150" s="588"/>
      <c r="H150" s="588"/>
      <c r="I150" s="588"/>
      <c r="J150" s="588"/>
      <c r="K150" s="588"/>
      <c r="L150" s="702"/>
      <c r="M150" s="888"/>
      <c r="N150" s="888"/>
      <c r="O150" s="888"/>
      <c r="P150" s="888"/>
      <c r="Q150" s="888"/>
      <c r="R150" s="888"/>
      <c r="S150" s="888"/>
      <c r="T150" s="888"/>
      <c r="U150" s="888"/>
      <c r="V150" s="888"/>
      <c r="W150" s="888"/>
      <c r="X150" s="888"/>
      <c r="Y150" s="888"/>
      <c r="Z150" s="888"/>
      <c r="AA150" s="888"/>
      <c r="AB150" s="888"/>
      <c r="AC150" s="888"/>
      <c r="AD150" s="888"/>
      <c r="AE150" s="888"/>
      <c r="AF150" s="888"/>
      <c r="AG150" s="888"/>
      <c r="AH150" s="888"/>
      <c r="AI150" s="888"/>
      <c r="AJ150" s="888"/>
      <c r="AK150" s="888"/>
      <c r="AL150" s="888"/>
      <c r="AM150" s="888"/>
      <c r="AN150" s="888"/>
      <c r="AO150" s="888"/>
      <c r="AP150" s="888"/>
      <c r="AQ150" s="888"/>
      <c r="AR150" s="888"/>
      <c r="AS150" s="888"/>
      <c r="AT150" s="888"/>
      <c r="AU150" s="888"/>
      <c r="AV150" s="888"/>
      <c r="AW150" s="888"/>
      <c r="AX150" s="888"/>
      <c r="AY150" s="888"/>
      <c r="AZ150" s="567"/>
      <c r="BA150" s="567"/>
      <c r="BB150" s="567"/>
      <c r="BC150" s="567"/>
      <c r="BD150" s="567"/>
      <c r="BE150" s="567"/>
      <c r="BF150" s="567"/>
      <c r="BG150" s="567"/>
      <c r="BH150" s="567"/>
      <c r="BI150" s="567"/>
      <c r="BJ150" s="567"/>
      <c r="BK150" s="567"/>
      <c r="BL150" s="567"/>
      <c r="BM150" s="567"/>
      <c r="BN150" s="567"/>
      <c r="BO150" s="567"/>
      <c r="BP150" s="567"/>
      <c r="BQ150" s="567"/>
      <c r="BR150" s="567"/>
      <c r="BS150" s="567"/>
      <c r="BT150" s="567"/>
      <c r="BU150" s="567"/>
      <c r="BV150" s="567"/>
      <c r="BW150" s="567"/>
      <c r="BX150" s="567"/>
      <c r="BY150" s="567"/>
      <c r="BZ150" s="567"/>
      <c r="CA150" s="567"/>
      <c r="CB150" s="567"/>
      <c r="CC150" s="567"/>
      <c r="CD150" s="567"/>
      <c r="CE150" s="567"/>
      <c r="CF150" s="567"/>
      <c r="CG150" s="567"/>
      <c r="CH150" s="567"/>
      <c r="CI150" s="567"/>
      <c r="CJ150" s="567"/>
      <c r="CK150" s="567"/>
      <c r="CL150" s="567"/>
      <c r="CM150" s="567"/>
      <c r="CN150" s="567"/>
      <c r="CO150" s="567"/>
      <c r="CP150" s="567"/>
      <c r="CQ150" s="567"/>
      <c r="CR150" s="567"/>
      <c r="CS150" s="567"/>
      <c r="CT150" s="567"/>
      <c r="CU150" s="567"/>
      <c r="CV150" s="567"/>
      <c r="CW150" s="567"/>
      <c r="CX150" s="567"/>
      <c r="CY150" s="567"/>
      <c r="CZ150" s="567"/>
      <c r="DA150" s="567"/>
      <c r="DB150" s="567"/>
      <c r="DC150" s="567"/>
      <c r="DD150" s="567"/>
      <c r="DE150" s="567"/>
      <c r="DF150" s="567"/>
      <c r="DG150" s="567"/>
      <c r="DH150" s="567"/>
      <c r="DI150" s="567"/>
      <c r="DJ150" s="567"/>
      <c r="DK150" s="567"/>
      <c r="DL150" s="567"/>
      <c r="DM150" s="567"/>
      <c r="DN150" s="567"/>
      <c r="DO150" s="567"/>
      <c r="DP150" s="567"/>
      <c r="DQ150" s="567"/>
    </row>
    <row r="151" spans="1:121" s="487" customFormat="1">
      <c r="A151" s="588"/>
      <c r="B151" s="588"/>
      <c r="C151" s="588"/>
      <c r="D151" s="588"/>
      <c r="E151" s="588"/>
      <c r="F151" s="588"/>
      <c r="G151" s="588"/>
      <c r="H151" s="588"/>
      <c r="I151" s="588"/>
      <c r="J151" s="588"/>
      <c r="K151" s="588"/>
      <c r="L151" s="702"/>
      <c r="M151" s="888"/>
      <c r="N151" s="888"/>
      <c r="O151" s="888"/>
      <c r="P151" s="888"/>
      <c r="Q151" s="888"/>
      <c r="R151" s="888"/>
      <c r="S151" s="888"/>
      <c r="T151" s="888"/>
      <c r="U151" s="888"/>
      <c r="V151" s="888"/>
      <c r="W151" s="888"/>
      <c r="X151" s="888"/>
      <c r="Y151" s="888"/>
      <c r="Z151" s="888"/>
      <c r="AA151" s="888"/>
      <c r="AB151" s="888"/>
      <c r="AC151" s="888"/>
      <c r="AD151" s="888"/>
      <c r="AE151" s="888"/>
      <c r="AF151" s="888"/>
      <c r="AG151" s="888"/>
      <c r="AH151" s="888"/>
      <c r="AI151" s="888"/>
      <c r="AJ151" s="888"/>
      <c r="AK151" s="888"/>
      <c r="AL151" s="888"/>
      <c r="AM151" s="888"/>
      <c r="AN151" s="888"/>
      <c r="AO151" s="888"/>
      <c r="AP151" s="888"/>
      <c r="AQ151" s="888"/>
      <c r="AR151" s="888"/>
      <c r="AS151" s="888"/>
      <c r="AT151" s="888"/>
      <c r="AU151" s="888"/>
      <c r="AV151" s="888"/>
      <c r="AW151" s="888"/>
      <c r="AX151" s="888"/>
      <c r="AY151" s="888"/>
      <c r="AZ151" s="567"/>
      <c r="BA151" s="567"/>
      <c r="BB151" s="567"/>
      <c r="BC151" s="567"/>
      <c r="BD151" s="567"/>
      <c r="BE151" s="567"/>
      <c r="BF151" s="567"/>
      <c r="BG151" s="567"/>
      <c r="BH151" s="567"/>
      <c r="BI151" s="567"/>
      <c r="BJ151" s="567"/>
      <c r="BK151" s="567"/>
      <c r="BL151" s="567"/>
      <c r="BM151" s="567"/>
      <c r="BN151" s="567"/>
      <c r="BO151" s="567"/>
      <c r="BP151" s="567"/>
      <c r="BQ151" s="567"/>
      <c r="BR151" s="567"/>
      <c r="BS151" s="567"/>
      <c r="BT151" s="567"/>
      <c r="BU151" s="567"/>
      <c r="BV151" s="567"/>
      <c r="BW151" s="567"/>
      <c r="BX151" s="567"/>
      <c r="BY151" s="567"/>
      <c r="BZ151" s="567"/>
      <c r="CA151" s="567"/>
      <c r="CB151" s="567"/>
      <c r="CC151" s="567"/>
      <c r="CD151" s="567"/>
      <c r="CE151" s="567"/>
      <c r="CF151" s="567"/>
      <c r="CG151" s="567"/>
      <c r="CH151" s="567"/>
      <c r="CI151" s="567"/>
      <c r="CJ151" s="567"/>
      <c r="CK151" s="567"/>
      <c r="CL151" s="567"/>
      <c r="CM151" s="567"/>
      <c r="CN151" s="567"/>
      <c r="CO151" s="567"/>
      <c r="CP151" s="567"/>
      <c r="CQ151" s="567"/>
      <c r="CR151" s="567"/>
      <c r="CS151" s="567"/>
      <c r="CT151" s="567"/>
      <c r="CU151" s="567"/>
      <c r="CV151" s="567"/>
      <c r="CW151" s="567"/>
      <c r="CX151" s="567"/>
      <c r="CY151" s="567"/>
      <c r="CZ151" s="567"/>
      <c r="DA151" s="567"/>
      <c r="DB151" s="567"/>
      <c r="DC151" s="567"/>
      <c r="DD151" s="567"/>
      <c r="DE151" s="567"/>
      <c r="DF151" s="567"/>
      <c r="DG151" s="567"/>
      <c r="DH151" s="567"/>
      <c r="DI151" s="567"/>
      <c r="DJ151" s="567"/>
      <c r="DK151" s="567"/>
      <c r="DL151" s="567"/>
      <c r="DM151" s="567"/>
      <c r="DN151" s="567"/>
      <c r="DO151" s="567"/>
      <c r="DP151" s="567"/>
      <c r="DQ151" s="567"/>
    </row>
    <row r="152" spans="1:121" s="487" customFormat="1">
      <c r="A152" s="588"/>
      <c r="B152" s="588"/>
      <c r="C152" s="588"/>
      <c r="D152" s="588"/>
      <c r="E152" s="588"/>
      <c r="F152" s="588"/>
      <c r="G152" s="588"/>
      <c r="H152" s="588"/>
      <c r="I152" s="588"/>
      <c r="J152" s="588"/>
      <c r="K152" s="588"/>
      <c r="L152" s="702"/>
      <c r="M152" s="888"/>
      <c r="N152" s="888"/>
      <c r="O152" s="888"/>
      <c r="P152" s="888"/>
      <c r="Q152" s="888"/>
      <c r="R152" s="888"/>
      <c r="S152" s="888"/>
      <c r="T152" s="888"/>
      <c r="U152" s="888"/>
      <c r="V152" s="888"/>
      <c r="W152" s="888"/>
      <c r="X152" s="888"/>
      <c r="Y152" s="888"/>
      <c r="Z152" s="888"/>
      <c r="AA152" s="888"/>
      <c r="AB152" s="888"/>
      <c r="AC152" s="888"/>
      <c r="AD152" s="888"/>
      <c r="AE152" s="888"/>
      <c r="AF152" s="888"/>
      <c r="AG152" s="888"/>
      <c r="AH152" s="888"/>
      <c r="AI152" s="888"/>
      <c r="AJ152" s="888"/>
      <c r="AK152" s="888"/>
      <c r="AL152" s="888"/>
      <c r="AM152" s="888"/>
      <c r="AN152" s="888"/>
      <c r="AO152" s="888"/>
      <c r="AP152" s="888"/>
      <c r="AQ152" s="888"/>
      <c r="AR152" s="888"/>
      <c r="AS152" s="888"/>
      <c r="AT152" s="888"/>
      <c r="AU152" s="888"/>
      <c r="AV152" s="888"/>
      <c r="AW152" s="888"/>
      <c r="AX152" s="888"/>
      <c r="AY152" s="888"/>
      <c r="AZ152" s="567"/>
      <c r="BA152" s="567"/>
      <c r="BB152" s="567"/>
      <c r="BC152" s="567"/>
      <c r="BD152" s="567"/>
      <c r="BE152" s="567"/>
      <c r="BF152" s="567"/>
      <c r="BG152" s="567"/>
      <c r="BH152" s="567"/>
      <c r="BI152" s="567"/>
      <c r="BJ152" s="567"/>
      <c r="BK152" s="567"/>
      <c r="BL152" s="567"/>
      <c r="BM152" s="567"/>
      <c r="BN152" s="567"/>
      <c r="BO152" s="567"/>
      <c r="BP152" s="567"/>
      <c r="BQ152" s="567"/>
      <c r="BR152" s="567"/>
      <c r="BS152" s="567"/>
      <c r="BT152" s="567"/>
      <c r="BU152" s="567"/>
      <c r="BV152" s="567"/>
      <c r="BW152" s="567"/>
      <c r="BX152" s="567"/>
      <c r="BY152" s="567"/>
      <c r="BZ152" s="567"/>
      <c r="CA152" s="567"/>
      <c r="CB152" s="567"/>
      <c r="CC152" s="567"/>
      <c r="CD152" s="567"/>
      <c r="CE152" s="567"/>
      <c r="CF152" s="567"/>
      <c r="CG152" s="567"/>
      <c r="CH152" s="567"/>
      <c r="CI152" s="567"/>
      <c r="CJ152" s="567"/>
      <c r="CK152" s="567"/>
      <c r="CL152" s="567"/>
      <c r="CM152" s="567"/>
      <c r="CN152" s="567"/>
      <c r="CO152" s="567"/>
      <c r="CP152" s="567"/>
      <c r="CQ152" s="567"/>
      <c r="CR152" s="567"/>
      <c r="CS152" s="567"/>
      <c r="CT152" s="567"/>
      <c r="CU152" s="567"/>
      <c r="CV152" s="567"/>
      <c r="CW152" s="567"/>
      <c r="CX152" s="567"/>
      <c r="CY152" s="567"/>
      <c r="CZ152" s="567"/>
      <c r="DA152" s="567"/>
      <c r="DB152" s="567"/>
      <c r="DC152" s="567"/>
      <c r="DD152" s="567"/>
      <c r="DE152" s="567"/>
      <c r="DF152" s="567"/>
      <c r="DG152" s="567"/>
      <c r="DH152" s="567"/>
      <c r="DI152" s="567"/>
      <c r="DJ152" s="567"/>
      <c r="DK152" s="567"/>
      <c r="DL152" s="567"/>
      <c r="DM152" s="567"/>
      <c r="DN152" s="567"/>
      <c r="DO152" s="567"/>
      <c r="DP152" s="567"/>
      <c r="DQ152" s="567"/>
    </row>
    <row r="153" spans="1:121" s="487" customFormat="1">
      <c r="A153" s="588"/>
      <c r="B153" s="588"/>
      <c r="C153" s="588"/>
      <c r="D153" s="588"/>
      <c r="E153" s="588"/>
      <c r="F153" s="588"/>
      <c r="G153" s="588"/>
      <c r="H153" s="588"/>
      <c r="I153" s="588"/>
      <c r="J153" s="588"/>
      <c r="K153" s="588"/>
      <c r="L153" s="702"/>
      <c r="M153" s="888"/>
      <c r="N153" s="888"/>
      <c r="O153" s="888"/>
      <c r="P153" s="888"/>
      <c r="Q153" s="888"/>
      <c r="R153" s="888"/>
      <c r="S153" s="888"/>
      <c r="T153" s="888"/>
      <c r="U153" s="888"/>
      <c r="V153" s="888"/>
      <c r="W153" s="888"/>
      <c r="X153" s="888"/>
      <c r="Y153" s="888"/>
      <c r="Z153" s="888"/>
      <c r="AA153" s="888"/>
      <c r="AB153" s="888"/>
      <c r="AC153" s="888"/>
      <c r="AD153" s="888"/>
      <c r="AE153" s="888"/>
      <c r="AF153" s="888"/>
      <c r="AG153" s="888"/>
      <c r="AH153" s="888"/>
      <c r="AI153" s="888"/>
      <c r="AJ153" s="888"/>
      <c r="AK153" s="888"/>
      <c r="AL153" s="888"/>
      <c r="AM153" s="888"/>
      <c r="AN153" s="888"/>
      <c r="AO153" s="888"/>
      <c r="AP153" s="888"/>
      <c r="AQ153" s="888"/>
      <c r="AR153" s="888"/>
      <c r="AS153" s="888"/>
      <c r="AT153" s="888"/>
      <c r="AU153" s="888"/>
      <c r="AV153" s="888"/>
      <c r="AW153" s="888"/>
      <c r="AX153" s="888"/>
      <c r="AY153" s="888"/>
      <c r="AZ153" s="567"/>
      <c r="BA153" s="567"/>
      <c r="BB153" s="567"/>
      <c r="BC153" s="567"/>
      <c r="BD153" s="567"/>
      <c r="BE153" s="567"/>
      <c r="BF153" s="567"/>
      <c r="BG153" s="567"/>
      <c r="BH153" s="567"/>
      <c r="BI153" s="567"/>
      <c r="BJ153" s="567"/>
      <c r="BK153" s="567"/>
      <c r="BL153" s="567"/>
      <c r="BM153" s="567"/>
      <c r="BN153" s="567"/>
      <c r="BO153" s="567"/>
      <c r="BP153" s="567"/>
      <c r="BQ153" s="567"/>
      <c r="BR153" s="567"/>
      <c r="BS153" s="567"/>
      <c r="BT153" s="567"/>
      <c r="BU153" s="567"/>
      <c r="BV153" s="567"/>
      <c r="BW153" s="567"/>
      <c r="BX153" s="567"/>
      <c r="BY153" s="567"/>
      <c r="BZ153" s="567"/>
      <c r="CA153" s="567"/>
      <c r="CB153" s="567"/>
      <c r="CC153" s="567"/>
      <c r="CD153" s="567"/>
      <c r="CE153" s="567"/>
      <c r="CF153" s="567"/>
      <c r="CG153" s="567"/>
      <c r="CH153" s="567"/>
      <c r="CI153" s="567"/>
      <c r="CJ153" s="567"/>
      <c r="CK153" s="567"/>
      <c r="CL153" s="567"/>
      <c r="CM153" s="567"/>
      <c r="CN153" s="567"/>
      <c r="CO153" s="567"/>
      <c r="CP153" s="567"/>
      <c r="CQ153" s="567"/>
      <c r="CR153" s="567"/>
      <c r="CS153" s="567"/>
      <c r="CT153" s="567"/>
      <c r="CU153" s="567"/>
      <c r="CV153" s="567"/>
      <c r="CW153" s="567"/>
      <c r="CX153" s="567"/>
      <c r="CY153" s="567"/>
      <c r="CZ153" s="567"/>
      <c r="DA153" s="567"/>
      <c r="DB153" s="567"/>
      <c r="DC153" s="567"/>
      <c r="DD153" s="567"/>
      <c r="DE153" s="567"/>
      <c r="DF153" s="567"/>
      <c r="DG153" s="567"/>
      <c r="DH153" s="567"/>
      <c r="DI153" s="567"/>
      <c r="DJ153" s="567"/>
      <c r="DK153" s="567"/>
      <c r="DL153" s="567"/>
      <c r="DM153" s="567"/>
      <c r="DN153" s="567"/>
      <c r="DO153" s="567"/>
      <c r="DP153" s="567"/>
      <c r="DQ153" s="567"/>
    </row>
    <row r="154" spans="1:121" s="487" customFormat="1">
      <c r="A154" s="588"/>
      <c r="B154" s="588"/>
      <c r="C154" s="588"/>
      <c r="D154" s="588"/>
      <c r="E154" s="588"/>
      <c r="F154" s="588"/>
      <c r="G154" s="588"/>
      <c r="H154" s="588"/>
      <c r="I154" s="588"/>
      <c r="J154" s="588"/>
      <c r="K154" s="588"/>
      <c r="L154" s="702"/>
      <c r="M154" s="888"/>
      <c r="N154" s="888"/>
      <c r="O154" s="888"/>
      <c r="P154" s="888"/>
      <c r="Q154" s="888"/>
      <c r="R154" s="888"/>
      <c r="S154" s="888"/>
      <c r="T154" s="888"/>
      <c r="U154" s="888"/>
      <c r="V154" s="888"/>
      <c r="W154" s="888"/>
      <c r="X154" s="888"/>
      <c r="Y154" s="888"/>
      <c r="Z154" s="888"/>
      <c r="AA154" s="888"/>
      <c r="AB154" s="888"/>
      <c r="AC154" s="888"/>
      <c r="AD154" s="888"/>
      <c r="AE154" s="888"/>
      <c r="AF154" s="888"/>
      <c r="AG154" s="888"/>
      <c r="AH154" s="888"/>
      <c r="AI154" s="888"/>
      <c r="AJ154" s="888"/>
      <c r="AK154" s="888"/>
      <c r="AL154" s="888"/>
      <c r="AM154" s="888"/>
      <c r="AN154" s="888"/>
      <c r="AO154" s="888"/>
      <c r="AP154" s="888"/>
      <c r="AQ154" s="888"/>
      <c r="AR154" s="888"/>
      <c r="AS154" s="888"/>
      <c r="AT154" s="888"/>
      <c r="AU154" s="888"/>
      <c r="AV154" s="888"/>
      <c r="AW154" s="888"/>
      <c r="AX154" s="888"/>
      <c r="AY154" s="888"/>
      <c r="AZ154" s="567"/>
      <c r="BA154" s="567"/>
      <c r="BB154" s="567"/>
      <c r="BC154" s="567"/>
      <c r="BD154" s="567"/>
      <c r="BE154" s="567"/>
      <c r="BF154" s="567"/>
      <c r="BG154" s="567"/>
      <c r="BH154" s="567"/>
      <c r="BI154" s="567"/>
      <c r="BJ154" s="567"/>
      <c r="BK154" s="567"/>
      <c r="BL154" s="567"/>
      <c r="BM154" s="567"/>
      <c r="BN154" s="567"/>
      <c r="BO154" s="567"/>
      <c r="BP154" s="567"/>
      <c r="BQ154" s="567"/>
      <c r="BR154" s="567"/>
      <c r="BS154" s="567"/>
      <c r="BT154" s="567"/>
      <c r="BU154" s="567"/>
      <c r="BV154" s="567"/>
      <c r="BW154" s="567"/>
      <c r="BX154" s="567"/>
      <c r="BY154" s="567"/>
      <c r="BZ154" s="567"/>
      <c r="CA154" s="567"/>
      <c r="CB154" s="567"/>
      <c r="CC154" s="567"/>
      <c r="CD154" s="567"/>
      <c r="CE154" s="567"/>
      <c r="CF154" s="567"/>
      <c r="CG154" s="567"/>
      <c r="CH154" s="567"/>
      <c r="CI154" s="567"/>
      <c r="CJ154" s="567"/>
      <c r="CK154" s="567"/>
      <c r="CL154" s="567"/>
      <c r="CM154" s="567"/>
      <c r="CN154" s="567"/>
      <c r="CO154" s="567"/>
      <c r="CP154" s="567"/>
      <c r="CQ154" s="567"/>
      <c r="CR154" s="567"/>
      <c r="CS154" s="567"/>
      <c r="CT154" s="567"/>
      <c r="CU154" s="567"/>
      <c r="CV154" s="567"/>
      <c r="CW154" s="567"/>
      <c r="CX154" s="567"/>
      <c r="CY154" s="567"/>
      <c r="CZ154" s="567"/>
      <c r="DA154" s="567"/>
      <c r="DB154" s="567"/>
      <c r="DC154" s="567"/>
      <c r="DD154" s="567"/>
      <c r="DE154" s="567"/>
      <c r="DF154" s="567"/>
      <c r="DG154" s="567"/>
      <c r="DH154" s="567"/>
      <c r="DI154" s="567"/>
      <c r="DJ154" s="567"/>
      <c r="DK154" s="567"/>
      <c r="DL154" s="567"/>
      <c r="DM154" s="567"/>
      <c r="DN154" s="567"/>
      <c r="DO154" s="567"/>
      <c r="DP154" s="567"/>
      <c r="DQ154" s="567"/>
    </row>
    <row r="155" spans="1:121" s="487" customFormat="1">
      <c r="A155" s="588"/>
      <c r="B155" s="588"/>
      <c r="C155" s="588"/>
      <c r="D155" s="588"/>
      <c r="E155" s="588"/>
      <c r="F155" s="588"/>
      <c r="G155" s="588"/>
      <c r="H155" s="588"/>
      <c r="I155" s="588"/>
      <c r="J155" s="588"/>
      <c r="K155" s="588"/>
      <c r="L155" s="702"/>
      <c r="M155" s="888"/>
      <c r="N155" s="888"/>
      <c r="O155" s="888"/>
      <c r="P155" s="888"/>
      <c r="Q155" s="888"/>
      <c r="R155" s="888"/>
      <c r="S155" s="888"/>
      <c r="T155" s="888"/>
      <c r="U155" s="888"/>
      <c r="V155" s="888"/>
      <c r="W155" s="888"/>
      <c r="X155" s="888"/>
      <c r="Y155" s="888"/>
      <c r="Z155" s="888"/>
      <c r="AA155" s="888"/>
      <c r="AB155" s="888"/>
      <c r="AC155" s="888"/>
      <c r="AD155" s="888"/>
      <c r="AE155" s="888"/>
      <c r="AF155" s="888"/>
      <c r="AG155" s="888"/>
      <c r="AH155" s="888"/>
      <c r="AI155" s="888"/>
      <c r="AJ155" s="888"/>
      <c r="AK155" s="888"/>
      <c r="AL155" s="888"/>
      <c r="AM155" s="888"/>
      <c r="AN155" s="888"/>
      <c r="AO155" s="888"/>
      <c r="AP155" s="888"/>
      <c r="AQ155" s="888"/>
      <c r="AR155" s="888"/>
      <c r="AS155" s="888"/>
      <c r="AT155" s="888"/>
      <c r="AU155" s="888"/>
      <c r="AV155" s="888"/>
      <c r="AW155" s="888"/>
      <c r="AX155" s="888"/>
      <c r="AY155" s="888"/>
      <c r="AZ155" s="567"/>
      <c r="BA155" s="567"/>
      <c r="BB155" s="567"/>
      <c r="BC155" s="567"/>
      <c r="BD155" s="567"/>
      <c r="BE155" s="567"/>
      <c r="BF155" s="567"/>
      <c r="BG155" s="567"/>
      <c r="BH155" s="567"/>
      <c r="BI155" s="567"/>
      <c r="BJ155" s="567"/>
      <c r="BK155" s="567"/>
      <c r="BL155" s="567"/>
      <c r="BM155" s="567"/>
      <c r="BN155" s="567"/>
      <c r="BO155" s="567"/>
      <c r="BP155" s="567"/>
      <c r="BQ155" s="567"/>
      <c r="BR155" s="567"/>
      <c r="BS155" s="567"/>
      <c r="BT155" s="567"/>
      <c r="BU155" s="567"/>
      <c r="BV155" s="567"/>
      <c r="BW155" s="567"/>
      <c r="BX155" s="567"/>
      <c r="BY155" s="567"/>
      <c r="BZ155" s="567"/>
      <c r="CA155" s="567"/>
      <c r="CB155" s="567"/>
      <c r="CC155" s="567"/>
      <c r="CD155" s="567"/>
      <c r="CE155" s="567"/>
      <c r="CF155" s="567"/>
      <c r="CG155" s="567"/>
      <c r="CH155" s="567"/>
      <c r="CI155" s="567"/>
      <c r="CJ155" s="567"/>
      <c r="CK155" s="567"/>
      <c r="CL155" s="567"/>
      <c r="CM155" s="567"/>
      <c r="CN155" s="567"/>
      <c r="CO155" s="567"/>
      <c r="CP155" s="567"/>
      <c r="CQ155" s="567"/>
      <c r="CR155" s="567"/>
      <c r="CS155" s="567"/>
      <c r="CT155" s="567"/>
      <c r="CU155" s="567"/>
      <c r="CV155" s="567"/>
      <c r="CW155" s="567"/>
      <c r="CX155" s="567"/>
      <c r="CY155" s="567"/>
      <c r="CZ155" s="567"/>
      <c r="DA155" s="567"/>
      <c r="DB155" s="567"/>
      <c r="DC155" s="567"/>
      <c r="DD155" s="567"/>
      <c r="DE155" s="567"/>
      <c r="DF155" s="567"/>
      <c r="DG155" s="567"/>
      <c r="DH155" s="567"/>
      <c r="DI155" s="567"/>
      <c r="DJ155" s="567"/>
      <c r="DK155" s="567"/>
      <c r="DL155" s="567"/>
      <c r="DM155" s="567"/>
      <c r="DN155" s="567"/>
      <c r="DO155" s="567"/>
      <c r="DP155" s="567"/>
      <c r="DQ155" s="567"/>
    </row>
    <row r="156" spans="1:121" s="487" customFormat="1">
      <c r="A156" s="588"/>
      <c r="B156" s="588"/>
      <c r="C156" s="588"/>
      <c r="D156" s="588"/>
      <c r="E156" s="588"/>
      <c r="F156" s="588"/>
      <c r="G156" s="588"/>
      <c r="H156" s="588"/>
      <c r="I156" s="588"/>
      <c r="J156" s="588"/>
      <c r="K156" s="588"/>
      <c r="L156" s="702"/>
      <c r="M156" s="888"/>
      <c r="N156" s="888"/>
      <c r="O156" s="888"/>
      <c r="P156" s="888"/>
      <c r="Q156" s="888"/>
      <c r="R156" s="888"/>
      <c r="S156" s="888"/>
      <c r="T156" s="888"/>
      <c r="U156" s="888"/>
      <c r="V156" s="888"/>
      <c r="W156" s="888"/>
      <c r="X156" s="888"/>
      <c r="Y156" s="888"/>
      <c r="Z156" s="888"/>
      <c r="AA156" s="888"/>
      <c r="AB156" s="888"/>
      <c r="AC156" s="888"/>
      <c r="AD156" s="888"/>
      <c r="AE156" s="888"/>
      <c r="AF156" s="888"/>
      <c r="AG156" s="888"/>
      <c r="AH156" s="888"/>
      <c r="AI156" s="888"/>
      <c r="AJ156" s="888"/>
      <c r="AK156" s="888"/>
      <c r="AL156" s="888"/>
      <c r="AM156" s="888"/>
      <c r="AN156" s="888"/>
      <c r="AO156" s="888"/>
      <c r="AP156" s="888"/>
      <c r="AQ156" s="888"/>
      <c r="AR156" s="888"/>
      <c r="AS156" s="888"/>
      <c r="AT156" s="888"/>
      <c r="AU156" s="888"/>
      <c r="AV156" s="888"/>
      <c r="AW156" s="888"/>
      <c r="AX156" s="888"/>
      <c r="AY156" s="888"/>
      <c r="AZ156" s="567"/>
      <c r="BA156" s="567"/>
      <c r="BB156" s="567"/>
      <c r="BC156" s="567"/>
      <c r="BD156" s="567"/>
      <c r="BE156" s="567"/>
      <c r="BF156" s="567"/>
      <c r="BG156" s="567"/>
      <c r="BH156" s="567"/>
      <c r="BI156" s="567"/>
      <c r="BJ156" s="567"/>
      <c r="BK156" s="567"/>
      <c r="BL156" s="567"/>
      <c r="BM156" s="567"/>
      <c r="BN156" s="567"/>
      <c r="BO156" s="567"/>
      <c r="BP156" s="567"/>
      <c r="BQ156" s="567"/>
      <c r="BR156" s="567"/>
      <c r="BS156" s="567"/>
      <c r="BT156" s="567"/>
      <c r="BU156" s="567"/>
      <c r="BV156" s="567"/>
      <c r="BW156" s="567"/>
      <c r="BX156" s="567"/>
      <c r="BY156" s="567"/>
      <c r="BZ156" s="567"/>
      <c r="CA156" s="567"/>
      <c r="CB156" s="567"/>
      <c r="CC156" s="567"/>
      <c r="CD156" s="567"/>
      <c r="CE156" s="567"/>
      <c r="CF156" s="567"/>
      <c r="CG156" s="567"/>
      <c r="CH156" s="567"/>
      <c r="CI156" s="567"/>
      <c r="CJ156" s="567"/>
      <c r="CK156" s="567"/>
      <c r="CL156" s="567"/>
      <c r="CM156" s="567"/>
      <c r="CN156" s="567"/>
      <c r="CO156" s="567"/>
      <c r="CP156" s="567"/>
      <c r="CQ156" s="567"/>
      <c r="CR156" s="567"/>
      <c r="CS156" s="567"/>
      <c r="CT156" s="567"/>
      <c r="CU156" s="567"/>
      <c r="CV156" s="567"/>
      <c r="CW156" s="567"/>
      <c r="CX156" s="567"/>
      <c r="CY156" s="567"/>
      <c r="CZ156" s="567"/>
      <c r="DA156" s="567"/>
      <c r="DB156" s="567"/>
      <c r="DC156" s="567"/>
      <c r="DD156" s="567"/>
      <c r="DE156" s="567"/>
      <c r="DF156" s="567"/>
      <c r="DG156" s="567"/>
      <c r="DH156" s="567"/>
      <c r="DI156" s="567"/>
      <c r="DJ156" s="567"/>
      <c r="DK156" s="567"/>
      <c r="DL156" s="567"/>
      <c r="DM156" s="567"/>
      <c r="DN156" s="567"/>
      <c r="DO156" s="567"/>
      <c r="DP156" s="567"/>
      <c r="DQ156" s="567"/>
    </row>
    <row r="157" spans="1:121" s="487" customFormat="1">
      <c r="A157" s="588"/>
      <c r="B157" s="588"/>
      <c r="C157" s="588"/>
      <c r="D157" s="588"/>
      <c r="E157" s="588"/>
      <c r="F157" s="588"/>
      <c r="G157" s="588"/>
      <c r="H157" s="588"/>
      <c r="I157" s="588"/>
      <c r="J157" s="588"/>
      <c r="K157" s="588"/>
      <c r="L157" s="702"/>
      <c r="M157" s="888"/>
      <c r="N157" s="888"/>
      <c r="O157" s="888"/>
      <c r="P157" s="888"/>
      <c r="Q157" s="888"/>
      <c r="R157" s="888"/>
      <c r="S157" s="888"/>
      <c r="T157" s="888"/>
      <c r="U157" s="888"/>
      <c r="V157" s="888"/>
      <c r="W157" s="888"/>
      <c r="X157" s="888"/>
      <c r="Y157" s="888"/>
      <c r="Z157" s="888"/>
      <c r="AA157" s="888"/>
      <c r="AB157" s="888"/>
      <c r="AC157" s="888"/>
      <c r="AD157" s="888"/>
      <c r="AE157" s="888"/>
      <c r="AF157" s="888"/>
      <c r="AG157" s="888"/>
      <c r="AH157" s="888"/>
      <c r="AI157" s="888"/>
      <c r="AJ157" s="888"/>
      <c r="AK157" s="888"/>
      <c r="AL157" s="888"/>
      <c r="AM157" s="888"/>
      <c r="AN157" s="888"/>
      <c r="AO157" s="888"/>
      <c r="AP157" s="888"/>
      <c r="AQ157" s="888"/>
      <c r="AR157" s="888"/>
      <c r="AS157" s="888"/>
      <c r="AT157" s="888"/>
      <c r="AU157" s="888"/>
      <c r="AV157" s="888"/>
      <c r="AW157" s="888"/>
      <c r="AX157" s="888"/>
      <c r="AY157" s="888"/>
      <c r="AZ157" s="567"/>
      <c r="BA157" s="567"/>
      <c r="BB157" s="567"/>
      <c r="BC157" s="567"/>
      <c r="BD157" s="567"/>
      <c r="BE157" s="567"/>
      <c r="BF157" s="567"/>
      <c r="BG157" s="567"/>
      <c r="BH157" s="567"/>
      <c r="BI157" s="567"/>
      <c r="BJ157" s="567"/>
      <c r="BK157" s="567"/>
      <c r="BL157" s="567"/>
      <c r="BM157" s="567"/>
      <c r="BN157" s="567"/>
      <c r="BO157" s="567"/>
      <c r="BP157" s="567"/>
      <c r="BQ157" s="567"/>
      <c r="BR157" s="567"/>
      <c r="BS157" s="567"/>
      <c r="BT157" s="567"/>
      <c r="BU157" s="567"/>
      <c r="BV157" s="567"/>
      <c r="BW157" s="567"/>
      <c r="BX157" s="567"/>
      <c r="BY157" s="567"/>
      <c r="BZ157" s="567"/>
      <c r="CA157" s="567"/>
      <c r="CB157" s="567"/>
      <c r="CC157" s="567"/>
      <c r="CD157" s="567"/>
      <c r="CE157" s="567"/>
      <c r="CF157" s="567"/>
      <c r="CG157" s="567"/>
      <c r="CH157" s="567"/>
      <c r="CI157" s="567"/>
      <c r="CJ157" s="567"/>
      <c r="CK157" s="567"/>
      <c r="CL157" s="567"/>
      <c r="CM157" s="567"/>
      <c r="CN157" s="567"/>
      <c r="CO157" s="567"/>
      <c r="CP157" s="567"/>
      <c r="CQ157" s="567"/>
      <c r="CR157" s="567"/>
      <c r="CS157" s="567"/>
      <c r="CT157" s="567"/>
      <c r="CU157" s="567"/>
      <c r="CV157" s="567"/>
      <c r="CW157" s="567"/>
      <c r="CX157" s="567"/>
      <c r="CY157" s="567"/>
      <c r="CZ157" s="567"/>
      <c r="DA157" s="567"/>
      <c r="DB157" s="567"/>
      <c r="DC157" s="567"/>
      <c r="DD157" s="567"/>
      <c r="DE157" s="567"/>
      <c r="DF157" s="567"/>
      <c r="DG157" s="567"/>
      <c r="DH157" s="567"/>
      <c r="DI157" s="567"/>
      <c r="DJ157" s="567"/>
      <c r="DK157" s="567"/>
      <c r="DL157" s="567"/>
      <c r="DM157" s="567"/>
      <c r="DN157" s="567"/>
      <c r="DO157" s="567"/>
      <c r="DP157" s="567"/>
      <c r="DQ157" s="567"/>
    </row>
    <row r="158" spans="1:121" s="487" customFormat="1">
      <c r="A158" s="588"/>
      <c r="B158" s="588"/>
      <c r="C158" s="588"/>
      <c r="D158" s="588"/>
      <c r="E158" s="588"/>
      <c r="F158" s="588"/>
      <c r="G158" s="588"/>
      <c r="H158" s="588"/>
      <c r="I158" s="588"/>
      <c r="J158" s="588"/>
      <c r="K158" s="588"/>
      <c r="L158" s="702"/>
      <c r="M158" s="888"/>
      <c r="N158" s="888"/>
      <c r="O158" s="888"/>
      <c r="P158" s="888"/>
      <c r="Q158" s="888"/>
      <c r="R158" s="888"/>
      <c r="S158" s="888"/>
      <c r="T158" s="888"/>
      <c r="U158" s="888"/>
      <c r="V158" s="888"/>
      <c r="W158" s="888"/>
      <c r="X158" s="888"/>
      <c r="Y158" s="888"/>
      <c r="Z158" s="888"/>
      <c r="AA158" s="888"/>
      <c r="AB158" s="888"/>
      <c r="AC158" s="888"/>
      <c r="AD158" s="888"/>
      <c r="AE158" s="888"/>
      <c r="AF158" s="888"/>
      <c r="AG158" s="888"/>
      <c r="AH158" s="888"/>
      <c r="AI158" s="888"/>
      <c r="AJ158" s="888"/>
      <c r="AK158" s="888"/>
      <c r="AL158" s="888"/>
      <c r="AM158" s="888"/>
      <c r="AN158" s="888"/>
      <c r="AO158" s="888"/>
      <c r="AP158" s="888"/>
      <c r="AQ158" s="888"/>
      <c r="AR158" s="888"/>
      <c r="AS158" s="888"/>
      <c r="AT158" s="888"/>
      <c r="AU158" s="888"/>
      <c r="AV158" s="888"/>
      <c r="AW158" s="888"/>
      <c r="AX158" s="888"/>
      <c r="AY158" s="888"/>
      <c r="AZ158" s="567"/>
      <c r="BA158" s="567"/>
      <c r="BB158" s="567"/>
      <c r="BC158" s="567"/>
      <c r="BD158" s="567"/>
      <c r="BE158" s="567"/>
      <c r="BF158" s="567"/>
      <c r="BG158" s="567"/>
      <c r="BH158" s="567"/>
      <c r="BI158" s="567"/>
      <c r="BJ158" s="567"/>
      <c r="BK158" s="567"/>
      <c r="BL158" s="567"/>
      <c r="BM158" s="567"/>
      <c r="BN158" s="567"/>
      <c r="BO158" s="567"/>
      <c r="BP158" s="567"/>
      <c r="BQ158" s="567"/>
      <c r="BR158" s="567"/>
      <c r="BS158" s="567"/>
      <c r="BT158" s="567"/>
      <c r="BU158" s="567"/>
      <c r="BV158" s="567"/>
      <c r="BW158" s="567"/>
      <c r="BX158" s="567"/>
      <c r="BY158" s="567"/>
      <c r="BZ158" s="567"/>
      <c r="CA158" s="567"/>
      <c r="CB158" s="567"/>
      <c r="CC158" s="567"/>
      <c r="CD158" s="567"/>
      <c r="CE158" s="567"/>
      <c r="CF158" s="567"/>
      <c r="CG158" s="567"/>
      <c r="CH158" s="567"/>
      <c r="CI158" s="567"/>
      <c r="CJ158" s="567"/>
      <c r="CK158" s="567"/>
      <c r="CL158" s="567"/>
      <c r="CM158" s="567"/>
      <c r="CN158" s="567"/>
      <c r="CO158" s="567"/>
      <c r="CP158" s="567"/>
      <c r="CQ158" s="567"/>
      <c r="CR158" s="567"/>
      <c r="CS158" s="567"/>
      <c r="CT158" s="567"/>
      <c r="CU158" s="567"/>
      <c r="CV158" s="567"/>
      <c r="CW158" s="567"/>
      <c r="CX158" s="567"/>
      <c r="CY158" s="567"/>
      <c r="CZ158" s="567"/>
      <c r="DA158" s="567"/>
      <c r="DB158" s="567"/>
      <c r="DC158" s="567"/>
      <c r="DD158" s="567"/>
      <c r="DE158" s="567"/>
      <c r="DF158" s="567"/>
      <c r="DG158" s="567"/>
      <c r="DH158" s="567"/>
      <c r="DI158" s="567"/>
      <c r="DJ158" s="567"/>
      <c r="DK158" s="567"/>
      <c r="DL158" s="567"/>
      <c r="DM158" s="567"/>
      <c r="DN158" s="567"/>
      <c r="DO158" s="567"/>
      <c r="DP158" s="567"/>
      <c r="DQ158" s="567"/>
    </row>
    <row r="159" spans="1:121" s="487" customFormat="1">
      <c r="A159" s="588"/>
      <c r="B159" s="588"/>
      <c r="C159" s="588"/>
      <c r="D159" s="588"/>
      <c r="E159" s="588"/>
      <c r="F159" s="588"/>
      <c r="G159" s="588"/>
      <c r="H159" s="588"/>
      <c r="I159" s="588"/>
      <c r="J159" s="588"/>
      <c r="K159" s="588"/>
      <c r="L159" s="702"/>
      <c r="M159" s="888"/>
      <c r="N159" s="888"/>
      <c r="O159" s="888"/>
      <c r="P159" s="888"/>
      <c r="Q159" s="888"/>
      <c r="R159" s="888"/>
      <c r="S159" s="888"/>
      <c r="T159" s="888"/>
      <c r="U159" s="888"/>
      <c r="V159" s="888"/>
      <c r="W159" s="888"/>
      <c r="X159" s="888"/>
      <c r="Y159" s="888"/>
      <c r="Z159" s="888"/>
      <c r="AA159" s="888"/>
      <c r="AB159" s="888"/>
      <c r="AC159" s="888"/>
      <c r="AD159" s="888"/>
      <c r="AE159" s="888"/>
      <c r="AF159" s="888"/>
      <c r="AG159" s="888"/>
      <c r="AH159" s="888"/>
      <c r="AI159" s="888"/>
      <c r="AJ159" s="888"/>
      <c r="AK159" s="888"/>
      <c r="AL159" s="888"/>
      <c r="AM159" s="888"/>
      <c r="AN159" s="888"/>
      <c r="AO159" s="888"/>
      <c r="AP159" s="888"/>
      <c r="AQ159" s="888"/>
      <c r="AR159" s="888"/>
      <c r="AS159" s="888"/>
      <c r="AT159" s="888"/>
      <c r="AU159" s="888"/>
      <c r="AV159" s="888"/>
      <c r="AW159" s="888"/>
      <c r="AX159" s="888"/>
      <c r="AY159" s="888"/>
      <c r="AZ159" s="567"/>
      <c r="BA159" s="567"/>
      <c r="BB159" s="567"/>
      <c r="BC159" s="567"/>
      <c r="BD159" s="567"/>
      <c r="BE159" s="567"/>
      <c r="BF159" s="567"/>
      <c r="BG159" s="567"/>
      <c r="BH159" s="567"/>
      <c r="BI159" s="567"/>
      <c r="BJ159" s="567"/>
      <c r="BK159" s="567"/>
      <c r="BL159" s="567"/>
      <c r="BM159" s="567"/>
      <c r="BN159" s="567"/>
      <c r="BO159" s="567"/>
      <c r="BP159" s="567"/>
      <c r="BQ159" s="567"/>
      <c r="BR159" s="567"/>
      <c r="BS159" s="567"/>
      <c r="BT159" s="567"/>
      <c r="BU159" s="567"/>
      <c r="BV159" s="567"/>
      <c r="BW159" s="567"/>
      <c r="BX159" s="567"/>
      <c r="BY159" s="567"/>
      <c r="BZ159" s="567"/>
      <c r="CA159" s="567"/>
      <c r="CB159" s="567"/>
      <c r="CC159" s="567"/>
      <c r="CD159" s="567"/>
      <c r="CE159" s="567"/>
      <c r="CF159" s="567"/>
      <c r="CG159" s="567"/>
      <c r="CH159" s="567"/>
      <c r="CI159" s="567"/>
      <c r="CJ159" s="567"/>
      <c r="CK159" s="567"/>
      <c r="CL159" s="567"/>
      <c r="CM159" s="567"/>
      <c r="CN159" s="567"/>
      <c r="CO159" s="567"/>
      <c r="CP159" s="567"/>
      <c r="CQ159" s="567"/>
      <c r="CR159" s="567"/>
      <c r="CS159" s="567"/>
      <c r="CT159" s="567"/>
      <c r="CU159" s="567"/>
      <c r="CV159" s="567"/>
      <c r="CW159" s="567"/>
      <c r="CX159" s="567"/>
      <c r="CY159" s="567"/>
      <c r="CZ159" s="567"/>
      <c r="DA159" s="567"/>
      <c r="DB159" s="567"/>
      <c r="DC159" s="567"/>
      <c r="DD159" s="567"/>
      <c r="DE159" s="567"/>
      <c r="DF159" s="567"/>
      <c r="DG159" s="567"/>
      <c r="DH159" s="567"/>
      <c r="DI159" s="567"/>
      <c r="DJ159" s="567"/>
      <c r="DK159" s="567"/>
      <c r="DL159" s="567"/>
      <c r="DM159" s="567"/>
      <c r="DN159" s="567"/>
      <c r="DO159" s="567"/>
      <c r="DP159" s="567"/>
      <c r="DQ159" s="567"/>
    </row>
    <row r="160" spans="1:121" s="487" customFormat="1">
      <c r="A160" s="588"/>
      <c r="B160" s="588"/>
      <c r="C160" s="588"/>
      <c r="D160" s="588"/>
      <c r="E160" s="588"/>
      <c r="F160" s="588"/>
      <c r="G160" s="588"/>
      <c r="H160" s="588"/>
      <c r="I160" s="588"/>
      <c r="J160" s="588"/>
      <c r="K160" s="588"/>
      <c r="L160" s="702"/>
      <c r="M160" s="888"/>
      <c r="N160" s="888"/>
      <c r="O160" s="888"/>
      <c r="P160" s="888"/>
      <c r="Q160" s="888"/>
      <c r="R160" s="888"/>
      <c r="S160" s="888"/>
      <c r="T160" s="888"/>
      <c r="U160" s="888"/>
      <c r="V160" s="888"/>
      <c r="W160" s="888"/>
      <c r="X160" s="888"/>
      <c r="Y160" s="888"/>
      <c r="Z160" s="888"/>
      <c r="AA160" s="888"/>
      <c r="AB160" s="888"/>
      <c r="AC160" s="888"/>
      <c r="AD160" s="888"/>
      <c r="AE160" s="888"/>
      <c r="AF160" s="888"/>
      <c r="AG160" s="888"/>
      <c r="AH160" s="888"/>
      <c r="AI160" s="888"/>
      <c r="AJ160" s="888"/>
      <c r="AK160" s="888"/>
      <c r="AL160" s="888"/>
      <c r="AM160" s="888"/>
      <c r="AN160" s="888"/>
      <c r="AO160" s="888"/>
      <c r="AP160" s="888"/>
      <c r="AQ160" s="888"/>
      <c r="AR160" s="888"/>
      <c r="AS160" s="888"/>
      <c r="AT160" s="888"/>
      <c r="AU160" s="888"/>
      <c r="AV160" s="888"/>
      <c r="AW160" s="888"/>
      <c r="AX160" s="888"/>
      <c r="AY160" s="888"/>
      <c r="AZ160" s="567"/>
      <c r="BA160" s="567"/>
      <c r="BB160" s="567"/>
      <c r="BC160" s="567"/>
      <c r="BD160" s="567"/>
      <c r="BE160" s="567"/>
      <c r="BF160" s="567"/>
      <c r="BG160" s="567"/>
      <c r="BH160" s="567"/>
      <c r="BI160" s="567"/>
      <c r="BJ160" s="567"/>
      <c r="BK160" s="567"/>
      <c r="BL160" s="567"/>
      <c r="BM160" s="567"/>
      <c r="BN160" s="567"/>
      <c r="BO160" s="567"/>
      <c r="BP160" s="567"/>
      <c r="BQ160" s="567"/>
      <c r="BR160" s="567"/>
      <c r="BS160" s="567"/>
      <c r="BT160" s="567"/>
      <c r="BU160" s="567"/>
      <c r="BV160" s="567"/>
      <c r="BW160" s="567"/>
      <c r="BX160" s="567"/>
      <c r="BY160" s="567"/>
      <c r="BZ160" s="567"/>
      <c r="CA160" s="567"/>
      <c r="CB160" s="567"/>
      <c r="CC160" s="567"/>
      <c r="CD160" s="567"/>
      <c r="CE160" s="567"/>
      <c r="CF160" s="567"/>
      <c r="CG160" s="567"/>
      <c r="CH160" s="567"/>
      <c r="CI160" s="567"/>
      <c r="CJ160" s="567"/>
      <c r="CK160" s="567"/>
      <c r="CL160" s="567"/>
      <c r="CM160" s="567"/>
      <c r="CN160" s="567"/>
      <c r="CO160" s="567"/>
      <c r="CP160" s="567"/>
      <c r="CQ160" s="567"/>
      <c r="CR160" s="567"/>
      <c r="CS160" s="567"/>
      <c r="CT160" s="567"/>
      <c r="CU160" s="567"/>
      <c r="CV160" s="567"/>
      <c r="CW160" s="567"/>
      <c r="CX160" s="567"/>
      <c r="CY160" s="567"/>
      <c r="CZ160" s="567"/>
      <c r="DA160" s="567"/>
      <c r="DB160" s="567"/>
      <c r="DC160" s="567"/>
      <c r="DD160" s="567"/>
      <c r="DE160" s="567"/>
      <c r="DF160" s="567"/>
      <c r="DG160" s="567"/>
      <c r="DH160" s="567"/>
      <c r="DI160" s="567"/>
      <c r="DJ160" s="567"/>
      <c r="DK160" s="567"/>
      <c r="DL160" s="567"/>
      <c r="DM160" s="567"/>
      <c r="DN160" s="567"/>
      <c r="DO160" s="567"/>
      <c r="DP160" s="567"/>
      <c r="DQ160" s="567"/>
    </row>
    <row r="161" spans="1:121" s="487" customFormat="1">
      <c r="A161" s="588"/>
      <c r="B161" s="588"/>
      <c r="C161" s="588"/>
      <c r="D161" s="588"/>
      <c r="E161" s="588"/>
      <c r="F161" s="588"/>
      <c r="G161" s="588"/>
      <c r="H161" s="588"/>
      <c r="I161" s="588"/>
      <c r="J161" s="588"/>
      <c r="K161" s="588"/>
      <c r="L161" s="702"/>
      <c r="M161" s="888"/>
      <c r="N161" s="888"/>
      <c r="O161" s="888"/>
      <c r="P161" s="888"/>
      <c r="Q161" s="888"/>
      <c r="R161" s="888"/>
      <c r="S161" s="888"/>
      <c r="T161" s="888"/>
      <c r="U161" s="888"/>
      <c r="V161" s="888"/>
      <c r="W161" s="888"/>
      <c r="X161" s="888"/>
      <c r="Y161" s="888"/>
      <c r="Z161" s="888"/>
      <c r="AA161" s="888"/>
      <c r="AB161" s="888"/>
      <c r="AC161" s="888"/>
      <c r="AD161" s="888"/>
      <c r="AE161" s="888"/>
      <c r="AF161" s="888"/>
      <c r="AG161" s="888"/>
      <c r="AH161" s="888"/>
      <c r="AI161" s="888"/>
      <c r="AJ161" s="888"/>
      <c r="AK161" s="888"/>
      <c r="AL161" s="888"/>
      <c r="AM161" s="888"/>
      <c r="AN161" s="888"/>
      <c r="AO161" s="888"/>
      <c r="AP161" s="888"/>
      <c r="AQ161" s="888"/>
      <c r="AR161" s="888"/>
      <c r="AS161" s="888"/>
      <c r="AT161" s="888"/>
      <c r="AU161" s="888"/>
      <c r="AV161" s="888"/>
      <c r="AW161" s="888"/>
      <c r="AX161" s="888"/>
      <c r="AY161" s="888"/>
      <c r="AZ161" s="567"/>
      <c r="BA161" s="567"/>
      <c r="BB161" s="567"/>
      <c r="BC161" s="567"/>
      <c r="BD161" s="567"/>
      <c r="BE161" s="567"/>
      <c r="BF161" s="567"/>
      <c r="BG161" s="567"/>
      <c r="BH161" s="567"/>
      <c r="BI161" s="567"/>
      <c r="BJ161" s="567"/>
      <c r="BK161" s="567"/>
      <c r="BL161" s="567"/>
      <c r="BM161" s="567"/>
      <c r="BN161" s="567"/>
      <c r="BO161" s="567"/>
      <c r="BP161" s="567"/>
      <c r="BQ161" s="567"/>
      <c r="BR161" s="567"/>
      <c r="BS161" s="567"/>
      <c r="BT161" s="567"/>
      <c r="BU161" s="567"/>
      <c r="BV161" s="567"/>
      <c r="BW161" s="567"/>
      <c r="BX161" s="567"/>
      <c r="BY161" s="567"/>
      <c r="BZ161" s="567"/>
      <c r="CA161" s="567"/>
      <c r="CB161" s="567"/>
      <c r="CC161" s="567"/>
      <c r="CD161" s="567"/>
      <c r="CE161" s="567"/>
      <c r="CF161" s="567"/>
      <c r="CG161" s="567"/>
      <c r="CH161" s="567"/>
      <c r="CI161" s="567"/>
      <c r="CJ161" s="567"/>
      <c r="CK161" s="567"/>
      <c r="CL161" s="567"/>
      <c r="CM161" s="567"/>
      <c r="CN161" s="567"/>
      <c r="CO161" s="567"/>
      <c r="CP161" s="567"/>
      <c r="CQ161" s="567"/>
      <c r="CR161" s="567"/>
      <c r="CS161" s="567"/>
      <c r="CT161" s="567"/>
      <c r="CU161" s="567"/>
      <c r="CV161" s="567"/>
      <c r="CW161" s="567"/>
      <c r="CX161" s="567"/>
      <c r="CY161" s="567"/>
      <c r="CZ161" s="567"/>
      <c r="DA161" s="567"/>
      <c r="DB161" s="567"/>
      <c r="DC161" s="567"/>
      <c r="DD161" s="567"/>
      <c r="DE161" s="567"/>
      <c r="DF161" s="567"/>
      <c r="DG161" s="567"/>
      <c r="DH161" s="567"/>
      <c r="DI161" s="567"/>
      <c r="DJ161" s="567"/>
      <c r="DK161" s="567"/>
      <c r="DL161" s="567"/>
      <c r="DM161" s="567"/>
      <c r="DN161" s="567"/>
      <c r="DO161" s="567"/>
      <c r="DP161" s="567"/>
      <c r="DQ161" s="567"/>
    </row>
    <row r="162" spans="1:121" s="487" customFormat="1">
      <c r="A162" s="588"/>
      <c r="B162" s="588"/>
      <c r="C162" s="588"/>
      <c r="D162" s="588"/>
      <c r="E162" s="588"/>
      <c r="F162" s="588"/>
      <c r="G162" s="588"/>
      <c r="H162" s="588"/>
      <c r="I162" s="588"/>
      <c r="J162" s="588"/>
      <c r="K162" s="588"/>
      <c r="L162" s="702"/>
      <c r="M162" s="888"/>
      <c r="N162" s="888"/>
      <c r="O162" s="888"/>
      <c r="P162" s="888"/>
      <c r="Q162" s="888"/>
      <c r="R162" s="888"/>
      <c r="S162" s="888"/>
      <c r="T162" s="888"/>
      <c r="U162" s="888"/>
      <c r="V162" s="888"/>
      <c r="W162" s="888"/>
      <c r="X162" s="888"/>
      <c r="Y162" s="888"/>
      <c r="Z162" s="888"/>
      <c r="AA162" s="888"/>
      <c r="AB162" s="888"/>
      <c r="AC162" s="888"/>
      <c r="AD162" s="888"/>
      <c r="AE162" s="888"/>
      <c r="AF162" s="888"/>
      <c r="AG162" s="888"/>
      <c r="AH162" s="888"/>
      <c r="AI162" s="888"/>
      <c r="AJ162" s="888"/>
      <c r="AK162" s="888"/>
      <c r="AL162" s="888"/>
      <c r="AM162" s="888"/>
      <c r="AN162" s="888"/>
      <c r="AO162" s="888"/>
      <c r="AP162" s="888"/>
      <c r="AQ162" s="888"/>
      <c r="AR162" s="888"/>
      <c r="AS162" s="888"/>
      <c r="AT162" s="888"/>
      <c r="AU162" s="888"/>
      <c r="AV162" s="888"/>
      <c r="AW162" s="888"/>
      <c r="AX162" s="888"/>
      <c r="AY162" s="888"/>
      <c r="AZ162" s="567"/>
      <c r="BA162" s="567"/>
      <c r="BB162" s="567"/>
      <c r="BC162" s="567"/>
      <c r="BD162" s="567"/>
      <c r="BE162" s="567"/>
      <c r="BF162" s="567"/>
      <c r="BG162" s="567"/>
      <c r="BH162" s="567"/>
      <c r="BI162" s="567"/>
      <c r="BJ162" s="567"/>
      <c r="BK162" s="567"/>
      <c r="BL162" s="567"/>
      <c r="BM162" s="567"/>
      <c r="BN162" s="567"/>
      <c r="BO162" s="567"/>
      <c r="BP162" s="567"/>
      <c r="BQ162" s="567"/>
      <c r="BR162" s="567"/>
      <c r="BS162" s="567"/>
      <c r="BT162" s="567"/>
      <c r="BU162" s="567"/>
      <c r="BV162" s="567"/>
      <c r="BW162" s="567"/>
      <c r="BX162" s="567"/>
      <c r="BY162" s="567"/>
      <c r="BZ162" s="567"/>
      <c r="CA162" s="567"/>
      <c r="CB162" s="567"/>
      <c r="CC162" s="567"/>
      <c r="CD162" s="567"/>
      <c r="CE162" s="567"/>
      <c r="CF162" s="567"/>
      <c r="CG162" s="567"/>
      <c r="CH162" s="567"/>
      <c r="CI162" s="567"/>
      <c r="CJ162" s="567"/>
      <c r="CK162" s="567"/>
      <c r="CL162" s="567"/>
      <c r="CM162" s="567"/>
      <c r="CN162" s="567"/>
      <c r="CO162" s="567"/>
      <c r="CP162" s="567"/>
      <c r="CQ162" s="567"/>
      <c r="CR162" s="567"/>
      <c r="CS162" s="567"/>
      <c r="CT162" s="567"/>
      <c r="CU162" s="567"/>
      <c r="CV162" s="567"/>
      <c r="CW162" s="567"/>
      <c r="CX162" s="567"/>
      <c r="CY162" s="567"/>
      <c r="CZ162" s="567"/>
      <c r="DA162" s="567"/>
      <c r="DB162" s="567"/>
      <c r="DC162" s="567"/>
      <c r="DD162" s="567"/>
      <c r="DE162" s="567"/>
      <c r="DF162" s="567"/>
      <c r="DG162" s="567"/>
      <c r="DH162" s="567"/>
      <c r="DI162" s="567"/>
      <c r="DJ162" s="567"/>
      <c r="DK162" s="567"/>
      <c r="DL162" s="567"/>
      <c r="DM162" s="567"/>
      <c r="DN162" s="567"/>
      <c r="DO162" s="567"/>
      <c r="DP162" s="567"/>
      <c r="DQ162" s="567"/>
    </row>
    <row r="163" spans="1:121" s="487" customFormat="1">
      <c r="A163" s="588"/>
      <c r="B163" s="588"/>
      <c r="C163" s="588"/>
      <c r="D163" s="588"/>
      <c r="E163" s="588"/>
      <c r="F163" s="588"/>
      <c r="G163" s="588"/>
      <c r="H163" s="588"/>
      <c r="I163" s="588"/>
      <c r="J163" s="588"/>
      <c r="K163" s="588"/>
      <c r="L163" s="702"/>
      <c r="M163" s="888"/>
      <c r="N163" s="888"/>
      <c r="O163" s="888"/>
      <c r="P163" s="888"/>
      <c r="Q163" s="888"/>
      <c r="R163" s="888"/>
      <c r="S163" s="888"/>
      <c r="T163" s="888"/>
      <c r="U163" s="888"/>
      <c r="V163" s="888"/>
      <c r="W163" s="888"/>
      <c r="X163" s="888"/>
      <c r="Y163" s="888"/>
      <c r="Z163" s="888"/>
      <c r="AA163" s="888"/>
      <c r="AB163" s="888"/>
      <c r="AC163" s="888"/>
      <c r="AD163" s="888"/>
      <c r="AE163" s="888"/>
      <c r="AF163" s="888"/>
      <c r="AG163" s="888"/>
      <c r="AH163" s="888"/>
      <c r="AI163" s="888"/>
      <c r="AJ163" s="888"/>
      <c r="AK163" s="888"/>
      <c r="AL163" s="888"/>
      <c r="AM163" s="888"/>
      <c r="AN163" s="888"/>
      <c r="AO163" s="888"/>
      <c r="AP163" s="888"/>
      <c r="AQ163" s="888"/>
      <c r="AR163" s="888"/>
      <c r="AS163" s="888"/>
      <c r="AT163" s="888"/>
      <c r="AU163" s="888"/>
      <c r="AV163" s="888"/>
      <c r="AW163" s="888"/>
      <c r="AX163" s="888"/>
      <c r="AY163" s="888"/>
      <c r="AZ163" s="567"/>
      <c r="BA163" s="567"/>
      <c r="BB163" s="567"/>
      <c r="BC163" s="567"/>
      <c r="BD163" s="567"/>
      <c r="BE163" s="567"/>
      <c r="BF163" s="567"/>
      <c r="BG163" s="567"/>
      <c r="BH163" s="567"/>
      <c r="BI163" s="567"/>
      <c r="BJ163" s="567"/>
      <c r="BK163" s="567"/>
      <c r="BL163" s="567"/>
      <c r="BM163" s="567"/>
      <c r="BN163" s="567"/>
      <c r="BO163" s="567"/>
      <c r="BP163" s="567"/>
      <c r="BQ163" s="567"/>
      <c r="BR163" s="567"/>
      <c r="BS163" s="567"/>
      <c r="BT163" s="567"/>
      <c r="BU163" s="567"/>
      <c r="BV163" s="567"/>
      <c r="BW163" s="567"/>
      <c r="BX163" s="567"/>
      <c r="BY163" s="567"/>
      <c r="BZ163" s="567"/>
      <c r="CA163" s="567"/>
      <c r="CB163" s="567"/>
      <c r="CC163" s="567"/>
      <c r="CD163" s="567"/>
      <c r="CE163" s="567"/>
      <c r="CF163" s="567"/>
      <c r="CG163" s="567"/>
      <c r="CH163" s="567"/>
      <c r="CI163" s="567"/>
      <c r="CJ163" s="567"/>
      <c r="CK163" s="567"/>
      <c r="CL163" s="567"/>
      <c r="CM163" s="567"/>
      <c r="CN163" s="567"/>
      <c r="CO163" s="567"/>
      <c r="CP163" s="567"/>
      <c r="CQ163" s="567"/>
      <c r="CR163" s="567"/>
      <c r="CS163" s="567"/>
      <c r="CT163" s="567"/>
      <c r="CU163" s="567"/>
      <c r="CV163" s="567"/>
      <c r="CW163" s="567"/>
      <c r="CX163" s="567"/>
      <c r="CY163" s="567"/>
      <c r="CZ163" s="567"/>
      <c r="DA163" s="567"/>
      <c r="DB163" s="567"/>
      <c r="DC163" s="567"/>
      <c r="DD163" s="567"/>
      <c r="DE163" s="567"/>
      <c r="DF163" s="567"/>
      <c r="DG163" s="567"/>
      <c r="DH163" s="567"/>
      <c r="DI163" s="567"/>
      <c r="DJ163" s="567"/>
      <c r="DK163" s="567"/>
      <c r="DL163" s="567"/>
      <c r="DM163" s="567"/>
      <c r="DN163" s="567"/>
      <c r="DO163" s="567"/>
      <c r="DP163" s="567"/>
      <c r="DQ163" s="567"/>
    </row>
    <row r="164" spans="1:121" s="487" customFormat="1">
      <c r="A164" s="588"/>
      <c r="B164" s="588"/>
      <c r="C164" s="588"/>
      <c r="D164" s="588"/>
      <c r="E164" s="588"/>
      <c r="F164" s="588"/>
      <c r="G164" s="588"/>
      <c r="H164" s="588"/>
      <c r="I164" s="588"/>
      <c r="J164" s="588"/>
      <c r="K164" s="588"/>
      <c r="L164" s="702"/>
      <c r="M164" s="888"/>
      <c r="N164" s="888"/>
      <c r="O164" s="888"/>
      <c r="P164" s="888"/>
      <c r="Q164" s="888"/>
      <c r="R164" s="888"/>
      <c r="S164" s="888"/>
      <c r="T164" s="888"/>
      <c r="U164" s="888"/>
      <c r="V164" s="888"/>
      <c r="W164" s="888"/>
      <c r="X164" s="888"/>
      <c r="Y164" s="888"/>
      <c r="Z164" s="888"/>
      <c r="AA164" s="888"/>
      <c r="AB164" s="888"/>
      <c r="AC164" s="888"/>
      <c r="AD164" s="888"/>
      <c r="AE164" s="888"/>
      <c r="AF164" s="888"/>
      <c r="AG164" s="888"/>
      <c r="AH164" s="888"/>
      <c r="AI164" s="888"/>
      <c r="AJ164" s="888"/>
      <c r="AK164" s="888"/>
      <c r="AL164" s="888"/>
      <c r="AM164" s="888"/>
      <c r="AN164" s="888"/>
      <c r="AO164" s="888"/>
      <c r="AP164" s="888"/>
      <c r="AQ164" s="888"/>
      <c r="AR164" s="888"/>
      <c r="AS164" s="888"/>
      <c r="AT164" s="888"/>
      <c r="AU164" s="888"/>
      <c r="AV164" s="888"/>
      <c r="AW164" s="888"/>
      <c r="AX164" s="888"/>
      <c r="AY164" s="888"/>
      <c r="AZ164" s="567"/>
      <c r="BA164" s="567"/>
      <c r="BB164" s="567"/>
      <c r="BC164" s="567"/>
      <c r="BD164" s="567"/>
      <c r="BE164" s="567"/>
      <c r="BF164" s="567"/>
      <c r="BG164" s="567"/>
      <c r="BH164" s="567"/>
      <c r="BI164" s="567"/>
      <c r="BJ164" s="567"/>
      <c r="BK164" s="567"/>
      <c r="BL164" s="567"/>
      <c r="BM164" s="567"/>
      <c r="BN164" s="567"/>
      <c r="BO164" s="567"/>
      <c r="BP164" s="567"/>
      <c r="BQ164" s="567"/>
      <c r="BR164" s="567"/>
      <c r="BS164" s="567"/>
      <c r="BT164" s="567"/>
      <c r="BU164" s="567"/>
      <c r="BV164" s="567"/>
      <c r="BW164" s="567"/>
      <c r="BX164" s="567"/>
      <c r="BY164" s="567"/>
      <c r="BZ164" s="567"/>
      <c r="CA164" s="567"/>
      <c r="CB164" s="567"/>
      <c r="CC164" s="567"/>
      <c r="CD164" s="567"/>
      <c r="CE164" s="567"/>
      <c r="CF164" s="567"/>
      <c r="CG164" s="567"/>
      <c r="CH164" s="567"/>
      <c r="CI164" s="567"/>
      <c r="CJ164" s="567"/>
      <c r="CK164" s="567"/>
      <c r="CL164" s="567"/>
      <c r="CM164" s="567"/>
      <c r="CN164" s="567"/>
      <c r="CO164" s="567"/>
      <c r="CP164" s="567"/>
      <c r="CQ164" s="567"/>
      <c r="CR164" s="567"/>
      <c r="CS164" s="567"/>
      <c r="CT164" s="567"/>
      <c r="CU164" s="567"/>
      <c r="CV164" s="567"/>
      <c r="CW164" s="567"/>
      <c r="CX164" s="567"/>
      <c r="CY164" s="567"/>
      <c r="CZ164" s="567"/>
      <c r="DA164" s="567"/>
      <c r="DB164" s="567"/>
      <c r="DC164" s="567"/>
      <c r="DD164" s="567"/>
      <c r="DE164" s="567"/>
      <c r="DF164" s="567"/>
      <c r="DG164" s="567"/>
      <c r="DH164" s="567"/>
      <c r="DI164" s="567"/>
      <c r="DJ164" s="567"/>
      <c r="DK164" s="567"/>
      <c r="DL164" s="567"/>
      <c r="DM164" s="567"/>
      <c r="DN164" s="567"/>
      <c r="DO164" s="567"/>
      <c r="DP164" s="567"/>
      <c r="DQ164" s="567"/>
    </row>
    <row r="165" spans="1:121" s="487" customFormat="1">
      <c r="A165" s="588"/>
      <c r="B165" s="588"/>
      <c r="C165" s="588"/>
      <c r="D165" s="588"/>
      <c r="E165" s="588"/>
      <c r="F165" s="588"/>
      <c r="G165" s="588"/>
      <c r="H165" s="588"/>
      <c r="I165" s="588"/>
      <c r="J165" s="588"/>
      <c r="K165" s="588"/>
      <c r="L165" s="702"/>
      <c r="M165" s="888"/>
      <c r="N165" s="888"/>
      <c r="O165" s="888"/>
      <c r="P165" s="888"/>
      <c r="Q165" s="888"/>
      <c r="R165" s="888"/>
      <c r="S165" s="888"/>
      <c r="T165" s="888"/>
      <c r="U165" s="888"/>
      <c r="V165" s="888"/>
      <c r="W165" s="888"/>
      <c r="X165" s="888"/>
      <c r="Y165" s="888"/>
      <c r="Z165" s="888"/>
      <c r="AA165" s="888"/>
      <c r="AB165" s="888"/>
      <c r="AC165" s="888"/>
      <c r="AD165" s="888"/>
      <c r="AE165" s="888"/>
      <c r="AF165" s="888"/>
      <c r="AG165" s="888"/>
      <c r="AH165" s="888"/>
      <c r="AI165" s="888"/>
      <c r="AJ165" s="888"/>
      <c r="AK165" s="888"/>
      <c r="AL165" s="888"/>
      <c r="AM165" s="888"/>
      <c r="AN165" s="888"/>
      <c r="AO165" s="888"/>
      <c r="AP165" s="888"/>
      <c r="AQ165" s="888"/>
      <c r="AR165" s="888"/>
      <c r="AS165" s="888"/>
      <c r="AT165" s="888"/>
      <c r="AU165" s="888"/>
      <c r="AV165" s="888"/>
      <c r="AW165" s="888"/>
      <c r="AX165" s="888"/>
      <c r="AY165" s="888"/>
      <c r="AZ165" s="567"/>
      <c r="BA165" s="567"/>
      <c r="BB165" s="567"/>
      <c r="BC165" s="567"/>
      <c r="BD165" s="567"/>
      <c r="BE165" s="567"/>
      <c r="BF165" s="567"/>
      <c r="BG165" s="567"/>
      <c r="BH165" s="567"/>
      <c r="BI165" s="567"/>
      <c r="BJ165" s="567"/>
      <c r="BK165" s="567"/>
      <c r="BL165" s="567"/>
      <c r="BM165" s="567"/>
      <c r="BN165" s="567"/>
      <c r="BO165" s="567"/>
      <c r="BP165" s="567"/>
      <c r="BQ165" s="567"/>
      <c r="BR165" s="567"/>
      <c r="BS165" s="567"/>
      <c r="BT165" s="567"/>
      <c r="BU165" s="567"/>
      <c r="BV165" s="567"/>
      <c r="BW165" s="567"/>
      <c r="BX165" s="567"/>
      <c r="BY165" s="567"/>
      <c r="BZ165" s="567"/>
      <c r="CA165" s="567"/>
      <c r="CB165" s="567"/>
      <c r="CC165" s="567"/>
      <c r="CD165" s="567"/>
      <c r="CE165" s="567"/>
      <c r="CF165" s="567"/>
      <c r="CG165" s="567"/>
      <c r="CH165" s="567"/>
      <c r="CI165" s="567"/>
      <c r="CJ165" s="567"/>
      <c r="CK165" s="567"/>
      <c r="CL165" s="567"/>
      <c r="CM165" s="567"/>
      <c r="CN165" s="567"/>
      <c r="CO165" s="567"/>
      <c r="CP165" s="567"/>
      <c r="CQ165" s="567"/>
      <c r="CR165" s="567"/>
      <c r="CS165" s="567"/>
      <c r="CT165" s="567"/>
      <c r="CU165" s="567"/>
      <c r="CV165" s="567"/>
      <c r="CW165" s="567"/>
      <c r="CX165" s="567"/>
      <c r="CY165" s="567"/>
      <c r="CZ165" s="567"/>
      <c r="DA165" s="567"/>
      <c r="DB165" s="567"/>
      <c r="DC165" s="567"/>
      <c r="DD165" s="567"/>
      <c r="DE165" s="567"/>
      <c r="DF165" s="567"/>
      <c r="DG165" s="567"/>
      <c r="DH165" s="567"/>
      <c r="DI165" s="567"/>
      <c r="DJ165" s="567"/>
      <c r="DK165" s="567"/>
      <c r="DL165" s="567"/>
      <c r="DM165" s="567"/>
      <c r="DN165" s="567"/>
      <c r="DO165" s="567"/>
      <c r="DP165" s="567"/>
      <c r="DQ165" s="567"/>
    </row>
    <row r="166" spans="1:121" s="487" customFormat="1">
      <c r="A166" s="588"/>
      <c r="B166" s="588"/>
      <c r="C166" s="588"/>
      <c r="D166" s="588"/>
      <c r="E166" s="588"/>
      <c r="F166" s="588"/>
      <c r="G166" s="588"/>
      <c r="H166" s="588"/>
      <c r="I166" s="588"/>
      <c r="J166" s="588"/>
      <c r="K166" s="588"/>
      <c r="L166" s="702"/>
      <c r="M166" s="888"/>
      <c r="N166" s="888"/>
      <c r="O166" s="888"/>
      <c r="P166" s="888"/>
      <c r="Q166" s="888"/>
      <c r="R166" s="888"/>
      <c r="S166" s="888"/>
      <c r="T166" s="888"/>
      <c r="U166" s="888"/>
      <c r="V166" s="888"/>
      <c r="W166" s="888"/>
      <c r="X166" s="888"/>
      <c r="Y166" s="888"/>
      <c r="Z166" s="888"/>
      <c r="AA166" s="888"/>
      <c r="AB166" s="888"/>
      <c r="AC166" s="888"/>
      <c r="AD166" s="888"/>
      <c r="AE166" s="888"/>
      <c r="AF166" s="888"/>
      <c r="AG166" s="888"/>
      <c r="AH166" s="888"/>
      <c r="AI166" s="888"/>
      <c r="AJ166" s="888"/>
      <c r="AK166" s="888"/>
      <c r="AL166" s="888"/>
      <c r="AM166" s="888"/>
      <c r="AN166" s="888"/>
      <c r="AO166" s="888"/>
      <c r="AP166" s="888"/>
      <c r="AQ166" s="888"/>
      <c r="AR166" s="888"/>
      <c r="AS166" s="888"/>
      <c r="AT166" s="888"/>
      <c r="AU166" s="888"/>
      <c r="AV166" s="888"/>
      <c r="AW166" s="888"/>
      <c r="AX166" s="888"/>
      <c r="AY166" s="888"/>
      <c r="AZ166" s="567"/>
      <c r="BA166" s="567"/>
      <c r="BB166" s="567"/>
      <c r="BC166" s="567"/>
      <c r="BD166" s="567"/>
      <c r="BE166" s="567"/>
      <c r="BF166" s="567"/>
      <c r="BG166" s="567"/>
      <c r="BH166" s="567"/>
      <c r="BI166" s="567"/>
      <c r="BJ166" s="567"/>
      <c r="BK166" s="567"/>
      <c r="BL166" s="567"/>
      <c r="BM166" s="567"/>
      <c r="BN166" s="567"/>
      <c r="BO166" s="567"/>
      <c r="BP166" s="567"/>
      <c r="BQ166" s="567"/>
      <c r="BR166" s="567"/>
      <c r="BS166" s="567"/>
      <c r="BT166" s="567"/>
      <c r="BU166" s="567"/>
      <c r="BV166" s="567"/>
      <c r="BW166" s="567"/>
      <c r="BX166" s="567"/>
      <c r="BY166" s="567"/>
      <c r="BZ166" s="567"/>
      <c r="CA166" s="567"/>
      <c r="CB166" s="567"/>
      <c r="CC166" s="567"/>
      <c r="CD166" s="567"/>
      <c r="CE166" s="567"/>
      <c r="CF166" s="567"/>
      <c r="CG166" s="567"/>
      <c r="CH166" s="567"/>
      <c r="CI166" s="567"/>
      <c r="CJ166" s="567"/>
      <c r="CK166" s="567"/>
      <c r="CL166" s="567"/>
      <c r="CM166" s="567"/>
      <c r="CN166" s="567"/>
      <c r="CO166" s="567"/>
      <c r="CP166" s="567"/>
      <c r="CQ166" s="567"/>
      <c r="CR166" s="567"/>
      <c r="CS166" s="567"/>
      <c r="CT166" s="567"/>
      <c r="CU166" s="567"/>
      <c r="CV166" s="567"/>
      <c r="CW166" s="567"/>
      <c r="CX166" s="567"/>
      <c r="CY166" s="567"/>
      <c r="CZ166" s="567"/>
      <c r="DA166" s="567"/>
      <c r="DB166" s="567"/>
      <c r="DC166" s="567"/>
      <c r="DD166" s="567"/>
      <c r="DE166" s="567"/>
      <c r="DF166" s="567"/>
      <c r="DG166" s="567"/>
      <c r="DH166" s="567"/>
      <c r="DI166" s="567"/>
      <c r="DJ166" s="567"/>
      <c r="DK166" s="567"/>
      <c r="DL166" s="567"/>
      <c r="DM166" s="567"/>
      <c r="DN166" s="567"/>
      <c r="DO166" s="567"/>
      <c r="DP166" s="567"/>
      <c r="DQ166" s="567"/>
    </row>
    <row r="167" spans="1:121" s="487" customFormat="1">
      <c r="A167" s="588"/>
      <c r="B167" s="588"/>
      <c r="C167" s="588"/>
      <c r="D167" s="588"/>
      <c r="E167" s="588"/>
      <c r="F167" s="588"/>
      <c r="G167" s="588"/>
      <c r="H167" s="588"/>
      <c r="I167" s="588"/>
      <c r="J167" s="588"/>
      <c r="K167" s="588"/>
      <c r="L167" s="702"/>
      <c r="M167" s="888"/>
      <c r="N167" s="888"/>
      <c r="O167" s="888"/>
      <c r="P167" s="888"/>
      <c r="Q167" s="888"/>
      <c r="R167" s="888"/>
      <c r="S167" s="888"/>
      <c r="T167" s="888"/>
      <c r="U167" s="888"/>
      <c r="V167" s="888"/>
      <c r="W167" s="888"/>
      <c r="X167" s="888"/>
      <c r="Y167" s="888"/>
      <c r="Z167" s="888"/>
      <c r="AA167" s="888"/>
      <c r="AB167" s="888"/>
      <c r="AC167" s="888"/>
      <c r="AD167" s="888"/>
      <c r="AE167" s="888"/>
      <c r="AF167" s="888"/>
      <c r="AG167" s="888"/>
      <c r="AH167" s="888"/>
      <c r="AI167" s="888"/>
      <c r="AJ167" s="888"/>
      <c r="AK167" s="888"/>
      <c r="AL167" s="888"/>
      <c r="AM167" s="888"/>
      <c r="AN167" s="888"/>
      <c r="AO167" s="888"/>
      <c r="AP167" s="888"/>
      <c r="AQ167" s="888"/>
      <c r="AR167" s="888"/>
      <c r="AS167" s="888"/>
      <c r="AT167" s="888"/>
      <c r="AU167" s="888"/>
      <c r="AV167" s="888"/>
      <c r="AW167" s="888"/>
      <c r="AX167" s="888"/>
      <c r="AY167" s="888"/>
      <c r="AZ167" s="567"/>
      <c r="BA167" s="567"/>
      <c r="BB167" s="567"/>
      <c r="BC167" s="567"/>
      <c r="BD167" s="567"/>
      <c r="BE167" s="567"/>
      <c r="BF167" s="567"/>
      <c r="BG167" s="567"/>
      <c r="BH167" s="567"/>
      <c r="BI167" s="567"/>
      <c r="BJ167" s="567"/>
      <c r="BK167" s="567"/>
      <c r="BL167" s="567"/>
      <c r="BM167" s="567"/>
      <c r="BN167" s="567"/>
      <c r="BO167" s="567"/>
      <c r="BP167" s="567"/>
      <c r="BQ167" s="567"/>
      <c r="BR167" s="567"/>
      <c r="BS167" s="567"/>
      <c r="BT167" s="567"/>
      <c r="BU167" s="567"/>
      <c r="BV167" s="567"/>
      <c r="BW167" s="567"/>
      <c r="BX167" s="567"/>
      <c r="BY167" s="567"/>
      <c r="BZ167" s="567"/>
      <c r="CA167" s="567"/>
      <c r="CB167" s="567"/>
      <c r="CC167" s="567"/>
      <c r="CD167" s="567"/>
      <c r="CE167" s="567"/>
      <c r="CF167" s="567"/>
      <c r="CG167" s="567"/>
      <c r="CH167" s="567"/>
      <c r="CI167" s="567"/>
      <c r="CJ167" s="567"/>
      <c r="CK167" s="567"/>
      <c r="CL167" s="567"/>
      <c r="CM167" s="567"/>
      <c r="CN167" s="567"/>
      <c r="CO167" s="567"/>
      <c r="CP167" s="567"/>
      <c r="CQ167" s="567"/>
      <c r="CR167" s="567"/>
      <c r="CS167" s="567"/>
      <c r="CT167" s="567"/>
      <c r="CU167" s="567"/>
      <c r="CV167" s="567"/>
      <c r="CW167" s="567"/>
      <c r="CX167" s="567"/>
      <c r="CY167" s="567"/>
      <c r="CZ167" s="567"/>
      <c r="DA167" s="567"/>
      <c r="DB167" s="567"/>
      <c r="DC167" s="567"/>
      <c r="DD167" s="567"/>
      <c r="DE167" s="567"/>
      <c r="DF167" s="567"/>
      <c r="DG167" s="567"/>
      <c r="DH167" s="567"/>
      <c r="DI167" s="567"/>
      <c r="DJ167" s="567"/>
      <c r="DK167" s="567"/>
      <c r="DL167" s="567"/>
      <c r="DM167" s="567"/>
      <c r="DN167" s="567"/>
      <c r="DO167" s="567"/>
      <c r="DP167" s="567"/>
      <c r="DQ167" s="567"/>
    </row>
    <row r="168" spans="1:121" s="487" customFormat="1">
      <c r="A168" s="588"/>
      <c r="B168" s="588"/>
      <c r="C168" s="588"/>
      <c r="D168" s="588"/>
      <c r="E168" s="588"/>
      <c r="F168" s="588"/>
      <c r="G168" s="588"/>
      <c r="H168" s="588"/>
      <c r="I168" s="588"/>
      <c r="J168" s="588"/>
      <c r="K168" s="588"/>
      <c r="L168" s="702"/>
      <c r="M168" s="888"/>
      <c r="N168" s="888"/>
      <c r="O168" s="888"/>
      <c r="P168" s="888"/>
      <c r="Q168" s="888"/>
      <c r="R168" s="888"/>
      <c r="S168" s="888"/>
      <c r="T168" s="888"/>
      <c r="U168" s="888"/>
      <c r="V168" s="888"/>
      <c r="W168" s="888"/>
      <c r="X168" s="888"/>
      <c r="Y168" s="888"/>
      <c r="Z168" s="888"/>
      <c r="AA168" s="888"/>
      <c r="AB168" s="888"/>
      <c r="AC168" s="888"/>
      <c r="AD168" s="888"/>
      <c r="AE168" s="888"/>
      <c r="AF168" s="888"/>
      <c r="AG168" s="888"/>
      <c r="AH168" s="888"/>
      <c r="AI168" s="888"/>
      <c r="AJ168" s="888"/>
      <c r="AK168" s="888"/>
      <c r="AL168" s="888"/>
      <c r="AM168" s="888"/>
      <c r="AN168" s="888"/>
      <c r="AO168" s="888"/>
      <c r="AP168" s="888"/>
      <c r="AQ168" s="888"/>
      <c r="AR168" s="888"/>
      <c r="AS168" s="888"/>
      <c r="AT168" s="888"/>
      <c r="AU168" s="888"/>
      <c r="AV168" s="888"/>
      <c r="AW168" s="888"/>
      <c r="AX168" s="888"/>
      <c r="AY168" s="888"/>
      <c r="AZ168" s="567"/>
      <c r="BA168" s="567"/>
      <c r="BB168" s="567"/>
      <c r="BC168" s="567"/>
      <c r="BD168" s="567"/>
      <c r="BE168" s="567"/>
      <c r="BF168" s="567"/>
      <c r="BG168" s="567"/>
      <c r="BH168" s="567"/>
      <c r="BI168" s="567"/>
      <c r="BJ168" s="567"/>
      <c r="BK168" s="567"/>
      <c r="BL168" s="567"/>
      <c r="BM168" s="567"/>
      <c r="BN168" s="567"/>
      <c r="BO168" s="567"/>
      <c r="BP168" s="567"/>
      <c r="BQ168" s="567"/>
      <c r="BR168" s="567"/>
      <c r="BS168" s="567"/>
      <c r="BT168" s="567"/>
      <c r="BU168" s="567"/>
      <c r="BV168" s="567"/>
      <c r="BW168" s="567"/>
      <c r="BX168" s="567"/>
      <c r="BY168" s="567"/>
      <c r="BZ168" s="567"/>
      <c r="CA168" s="567"/>
      <c r="CB168" s="567"/>
      <c r="CC168" s="567"/>
      <c r="CD168" s="567"/>
      <c r="CE168" s="567"/>
      <c r="CF168" s="567"/>
      <c r="CG168" s="567"/>
      <c r="CH168" s="567"/>
      <c r="CI168" s="567"/>
      <c r="CJ168" s="567"/>
      <c r="CK168" s="567"/>
      <c r="CL168" s="567"/>
      <c r="CM168" s="567"/>
      <c r="CN168" s="567"/>
      <c r="CO168" s="567"/>
      <c r="CP168" s="567"/>
      <c r="CQ168" s="567"/>
      <c r="CR168" s="567"/>
      <c r="CS168" s="567"/>
      <c r="CT168" s="567"/>
      <c r="CU168" s="567"/>
      <c r="CV168" s="567"/>
      <c r="CW168" s="567"/>
      <c r="CX168" s="567"/>
      <c r="CY168" s="567"/>
      <c r="CZ168" s="567"/>
      <c r="DA168" s="567"/>
      <c r="DB168" s="567"/>
      <c r="DC168" s="567"/>
      <c r="DD168" s="567"/>
      <c r="DE168" s="567"/>
      <c r="DF168" s="567"/>
      <c r="DG168" s="567"/>
      <c r="DH168" s="567"/>
      <c r="DI168" s="567"/>
      <c r="DJ168" s="567"/>
      <c r="DK168" s="567"/>
      <c r="DL168" s="567"/>
      <c r="DM168" s="567"/>
      <c r="DN168" s="567"/>
      <c r="DO168" s="567"/>
      <c r="DP168" s="567"/>
      <c r="DQ168" s="567"/>
    </row>
    <row r="169" spans="1:121" s="487" customFormat="1">
      <c r="A169" s="588"/>
      <c r="B169" s="588"/>
      <c r="C169" s="588"/>
      <c r="D169" s="588"/>
      <c r="E169" s="588"/>
      <c r="F169" s="588"/>
      <c r="G169" s="588"/>
      <c r="H169" s="588"/>
      <c r="I169" s="588"/>
      <c r="J169" s="588"/>
      <c r="K169" s="588"/>
      <c r="L169" s="702"/>
      <c r="M169" s="888"/>
      <c r="N169" s="888"/>
      <c r="O169" s="888"/>
      <c r="P169" s="888"/>
      <c r="Q169" s="888"/>
      <c r="R169" s="888"/>
      <c r="S169" s="888"/>
      <c r="T169" s="888"/>
      <c r="U169" s="888"/>
      <c r="V169" s="888"/>
      <c r="W169" s="888"/>
      <c r="X169" s="888"/>
      <c r="Y169" s="888"/>
      <c r="Z169" s="888"/>
      <c r="AA169" s="888"/>
      <c r="AB169" s="888"/>
      <c r="AC169" s="888"/>
      <c r="AD169" s="888"/>
      <c r="AE169" s="888"/>
      <c r="AF169" s="888"/>
      <c r="AG169" s="888"/>
      <c r="AH169" s="888"/>
      <c r="AI169" s="888"/>
      <c r="AJ169" s="888"/>
      <c r="AK169" s="888"/>
      <c r="AL169" s="888"/>
      <c r="AM169" s="888"/>
      <c r="AN169" s="888"/>
      <c r="AO169" s="888"/>
      <c r="AP169" s="888"/>
      <c r="AQ169" s="888"/>
      <c r="AR169" s="888"/>
      <c r="AS169" s="888"/>
      <c r="AT169" s="888"/>
      <c r="AU169" s="888"/>
      <c r="AV169" s="888"/>
      <c r="AW169" s="888"/>
      <c r="AX169" s="888"/>
      <c r="AY169" s="888"/>
      <c r="AZ169" s="567"/>
      <c r="BA169" s="567"/>
      <c r="BB169" s="567"/>
      <c r="BC169" s="567"/>
      <c r="BD169" s="567"/>
      <c r="BE169" s="567"/>
      <c r="BF169" s="567"/>
      <c r="BG169" s="567"/>
      <c r="BH169" s="567"/>
      <c r="BI169" s="567"/>
      <c r="BJ169" s="567"/>
      <c r="BK169" s="567"/>
      <c r="BL169" s="567"/>
      <c r="BM169" s="567"/>
      <c r="BN169" s="567"/>
      <c r="BO169" s="567"/>
      <c r="BP169" s="567"/>
      <c r="BQ169" s="567"/>
      <c r="BR169" s="567"/>
      <c r="BS169" s="567"/>
      <c r="BT169" s="567"/>
      <c r="BU169" s="567"/>
      <c r="BV169" s="567"/>
      <c r="BW169" s="567"/>
      <c r="BX169" s="567"/>
      <c r="BY169" s="567"/>
      <c r="BZ169" s="567"/>
      <c r="CA169" s="567"/>
      <c r="CB169" s="567"/>
      <c r="CC169" s="567"/>
      <c r="CD169" s="567"/>
      <c r="CE169" s="567"/>
      <c r="CF169" s="567"/>
      <c r="CG169" s="567"/>
      <c r="CH169" s="567"/>
      <c r="CI169" s="567"/>
      <c r="CJ169" s="567"/>
      <c r="CK169" s="567"/>
      <c r="CL169" s="567"/>
      <c r="CM169" s="567"/>
      <c r="CN169" s="567"/>
      <c r="CO169" s="567"/>
      <c r="CP169" s="567"/>
      <c r="CQ169" s="567"/>
      <c r="CR169" s="567"/>
      <c r="CS169" s="567"/>
      <c r="CT169" s="567"/>
      <c r="CU169" s="567"/>
      <c r="CV169" s="567"/>
      <c r="CW169" s="567"/>
      <c r="CX169" s="567"/>
      <c r="CY169" s="567"/>
      <c r="CZ169" s="567"/>
      <c r="DA169" s="567"/>
      <c r="DB169" s="567"/>
      <c r="DC169" s="567"/>
      <c r="DD169" s="567"/>
      <c r="DE169" s="567"/>
      <c r="DF169" s="567"/>
      <c r="DG169" s="567"/>
      <c r="DH169" s="567"/>
      <c r="DI169" s="567"/>
      <c r="DJ169" s="567"/>
      <c r="DK169" s="567"/>
      <c r="DL169" s="567"/>
      <c r="DM169" s="567"/>
      <c r="DN169" s="567"/>
      <c r="DO169" s="567"/>
      <c r="DP169" s="567"/>
      <c r="DQ169" s="567"/>
    </row>
    <row r="170" spans="1:121" s="487" customFormat="1">
      <c r="A170" s="588"/>
      <c r="B170" s="588"/>
      <c r="C170" s="588"/>
      <c r="D170" s="588"/>
      <c r="E170" s="588"/>
      <c r="F170" s="588"/>
      <c r="G170" s="588"/>
      <c r="H170" s="588"/>
      <c r="I170" s="588"/>
      <c r="J170" s="588"/>
      <c r="K170" s="588"/>
      <c r="L170" s="702"/>
      <c r="M170" s="888"/>
      <c r="N170" s="888"/>
      <c r="O170" s="888"/>
      <c r="P170" s="888"/>
      <c r="Q170" s="888"/>
      <c r="R170" s="888"/>
      <c r="S170" s="888"/>
      <c r="T170" s="888"/>
      <c r="U170" s="888"/>
      <c r="V170" s="888"/>
      <c r="W170" s="888"/>
      <c r="X170" s="888"/>
      <c r="Y170" s="888"/>
      <c r="Z170" s="888"/>
      <c r="AA170" s="888"/>
      <c r="AB170" s="888"/>
      <c r="AC170" s="888"/>
      <c r="AD170" s="888"/>
      <c r="AE170" s="888"/>
      <c r="AF170" s="888"/>
      <c r="AG170" s="888"/>
      <c r="AH170" s="888"/>
      <c r="AI170" s="888"/>
      <c r="AJ170" s="888"/>
      <c r="AK170" s="888"/>
      <c r="AL170" s="888"/>
      <c r="AM170" s="888"/>
      <c r="AN170" s="888"/>
      <c r="AO170" s="888"/>
      <c r="AP170" s="888"/>
      <c r="AQ170" s="888"/>
      <c r="AR170" s="888"/>
      <c r="AS170" s="888"/>
      <c r="AT170" s="888"/>
      <c r="AU170" s="888"/>
      <c r="AV170" s="888"/>
      <c r="AW170" s="888"/>
      <c r="AX170" s="888"/>
      <c r="AY170" s="888"/>
      <c r="AZ170" s="567"/>
      <c r="BA170" s="567"/>
      <c r="BB170" s="567"/>
      <c r="BC170" s="567"/>
      <c r="BD170" s="567"/>
      <c r="BE170" s="567"/>
      <c r="BF170" s="567"/>
      <c r="BG170" s="567"/>
      <c r="BH170" s="567"/>
      <c r="BI170" s="567"/>
      <c r="BJ170" s="567"/>
      <c r="BK170" s="567"/>
      <c r="BL170" s="567"/>
      <c r="BM170" s="567"/>
      <c r="BN170" s="567"/>
      <c r="BO170" s="567"/>
      <c r="BP170" s="567"/>
      <c r="BQ170" s="567"/>
      <c r="BR170" s="567"/>
      <c r="BS170" s="567"/>
      <c r="BT170" s="567"/>
      <c r="BU170" s="567"/>
      <c r="BV170" s="567"/>
      <c r="BW170" s="567"/>
      <c r="BX170" s="567"/>
      <c r="BY170" s="567"/>
      <c r="BZ170" s="567"/>
      <c r="CA170" s="567"/>
      <c r="CB170" s="567"/>
      <c r="CC170" s="567"/>
      <c r="CD170" s="567"/>
      <c r="CE170" s="567"/>
      <c r="CF170" s="567"/>
      <c r="CG170" s="567"/>
      <c r="CH170" s="567"/>
      <c r="CI170" s="567"/>
      <c r="CJ170" s="567"/>
      <c r="CK170" s="567"/>
      <c r="CL170" s="567"/>
      <c r="CM170" s="567"/>
      <c r="CN170" s="567"/>
      <c r="CO170" s="567"/>
      <c r="CP170" s="567"/>
      <c r="CQ170" s="567"/>
      <c r="CR170" s="567"/>
      <c r="CS170" s="567"/>
      <c r="CT170" s="567"/>
      <c r="CU170" s="567"/>
      <c r="CV170" s="567"/>
      <c r="CW170" s="567"/>
      <c r="CX170" s="567"/>
      <c r="CY170" s="567"/>
      <c r="CZ170" s="567"/>
      <c r="DA170" s="567"/>
      <c r="DB170" s="567"/>
      <c r="DC170" s="567"/>
      <c r="DD170" s="567"/>
      <c r="DE170" s="567"/>
      <c r="DF170" s="567"/>
      <c r="DG170" s="567"/>
      <c r="DH170" s="567"/>
      <c r="DI170" s="567"/>
      <c r="DJ170" s="567"/>
      <c r="DK170" s="567"/>
      <c r="DL170" s="567"/>
      <c r="DM170" s="567"/>
      <c r="DN170" s="567"/>
      <c r="DO170" s="567"/>
      <c r="DP170" s="567"/>
      <c r="DQ170" s="567"/>
    </row>
    <row r="171" spans="1:121" s="487" customFormat="1">
      <c r="A171" s="588"/>
      <c r="B171" s="588"/>
      <c r="C171" s="588"/>
      <c r="D171" s="588"/>
      <c r="E171" s="588"/>
      <c r="F171" s="588"/>
      <c r="G171" s="588"/>
      <c r="H171" s="588"/>
      <c r="I171" s="588"/>
      <c r="J171" s="588"/>
      <c r="K171" s="588"/>
      <c r="L171" s="702"/>
      <c r="M171" s="888"/>
      <c r="N171" s="888"/>
      <c r="O171" s="888"/>
      <c r="P171" s="888"/>
      <c r="Q171" s="888"/>
      <c r="R171" s="888"/>
      <c r="S171" s="888"/>
      <c r="T171" s="888"/>
      <c r="U171" s="888"/>
      <c r="V171" s="888"/>
      <c r="W171" s="888"/>
      <c r="X171" s="888"/>
      <c r="Y171" s="888"/>
      <c r="Z171" s="888"/>
      <c r="AA171" s="888"/>
      <c r="AB171" s="888"/>
      <c r="AC171" s="888"/>
      <c r="AD171" s="888"/>
      <c r="AE171" s="888"/>
      <c r="AF171" s="888"/>
      <c r="AG171" s="888"/>
      <c r="AH171" s="888"/>
      <c r="AI171" s="888"/>
      <c r="AJ171" s="888"/>
      <c r="AK171" s="888"/>
      <c r="AL171" s="888"/>
      <c r="AM171" s="888"/>
      <c r="AN171" s="888"/>
      <c r="AO171" s="888"/>
      <c r="AP171" s="888"/>
      <c r="AQ171" s="888"/>
      <c r="AR171" s="888"/>
      <c r="AS171" s="888"/>
      <c r="AT171" s="888"/>
      <c r="AU171" s="888"/>
      <c r="AV171" s="888"/>
      <c r="AW171" s="888"/>
      <c r="AX171" s="888"/>
      <c r="AY171" s="888"/>
      <c r="AZ171" s="567"/>
      <c r="BA171" s="567"/>
      <c r="BB171" s="567"/>
      <c r="BC171" s="567"/>
      <c r="BD171" s="567"/>
      <c r="BE171" s="567"/>
      <c r="BF171" s="567"/>
      <c r="BG171" s="567"/>
      <c r="BH171" s="567"/>
      <c r="BI171" s="567"/>
      <c r="BJ171" s="567"/>
      <c r="BK171" s="567"/>
      <c r="BL171" s="567"/>
      <c r="BM171" s="567"/>
      <c r="BN171" s="567"/>
      <c r="BO171" s="567"/>
      <c r="BP171" s="567"/>
      <c r="BQ171" s="567"/>
      <c r="BR171" s="567"/>
      <c r="BS171" s="567"/>
      <c r="BT171" s="567"/>
      <c r="BU171" s="567"/>
      <c r="BV171" s="567"/>
      <c r="BW171" s="567"/>
      <c r="BX171" s="567"/>
      <c r="BY171" s="567"/>
      <c r="BZ171" s="567"/>
      <c r="CA171" s="567"/>
      <c r="CB171" s="567"/>
      <c r="CC171" s="567"/>
      <c r="CD171" s="567"/>
      <c r="CE171" s="567"/>
      <c r="CF171" s="567"/>
      <c r="CG171" s="567"/>
      <c r="CH171" s="567"/>
      <c r="CI171" s="567"/>
      <c r="CJ171" s="567"/>
      <c r="CK171" s="567"/>
      <c r="CL171" s="567"/>
      <c r="CM171" s="567"/>
      <c r="CN171" s="567"/>
      <c r="CO171" s="567"/>
      <c r="CP171" s="567"/>
      <c r="CQ171" s="567"/>
      <c r="CR171" s="567"/>
      <c r="CS171" s="567"/>
      <c r="CT171" s="567"/>
      <c r="CU171" s="567"/>
      <c r="CV171" s="567"/>
      <c r="CW171" s="567"/>
      <c r="CX171" s="567"/>
      <c r="CY171" s="567"/>
      <c r="CZ171" s="567"/>
      <c r="DA171" s="567"/>
      <c r="DB171" s="567"/>
      <c r="DC171" s="567"/>
      <c r="DD171" s="567"/>
      <c r="DE171" s="567"/>
      <c r="DF171" s="567"/>
      <c r="DG171" s="567"/>
      <c r="DH171" s="567"/>
      <c r="DI171" s="567"/>
      <c r="DJ171" s="567"/>
      <c r="DK171" s="567"/>
      <c r="DL171" s="567"/>
      <c r="DM171" s="567"/>
      <c r="DN171" s="567"/>
      <c r="DO171" s="567"/>
      <c r="DP171" s="567"/>
      <c r="DQ171" s="567"/>
    </row>
    <row r="172" spans="1:121" s="487" customFormat="1">
      <c r="A172" s="588"/>
      <c r="B172" s="588"/>
      <c r="C172" s="588"/>
      <c r="D172" s="588"/>
      <c r="E172" s="588"/>
      <c r="F172" s="588"/>
      <c r="G172" s="588"/>
      <c r="H172" s="588"/>
      <c r="I172" s="588"/>
      <c r="J172" s="588"/>
      <c r="K172" s="588"/>
      <c r="L172" s="702"/>
      <c r="M172" s="888"/>
      <c r="N172" s="888"/>
      <c r="O172" s="888"/>
      <c r="P172" s="888"/>
      <c r="Q172" s="888"/>
      <c r="R172" s="888"/>
      <c r="S172" s="888"/>
      <c r="T172" s="888"/>
      <c r="U172" s="888"/>
      <c r="V172" s="888"/>
      <c r="W172" s="888"/>
      <c r="X172" s="888"/>
      <c r="Y172" s="888"/>
      <c r="Z172" s="888"/>
      <c r="AA172" s="888"/>
      <c r="AB172" s="888"/>
      <c r="AC172" s="888"/>
      <c r="AD172" s="888"/>
      <c r="AE172" s="888"/>
      <c r="AF172" s="888"/>
      <c r="AG172" s="888"/>
      <c r="AH172" s="888"/>
      <c r="AI172" s="888"/>
      <c r="AJ172" s="888"/>
      <c r="AK172" s="888"/>
      <c r="AL172" s="888"/>
      <c r="AM172" s="888"/>
      <c r="AN172" s="888"/>
      <c r="AO172" s="888"/>
      <c r="AP172" s="888"/>
      <c r="AQ172" s="888"/>
      <c r="AR172" s="888"/>
      <c r="AS172" s="888"/>
      <c r="AT172" s="888"/>
      <c r="AU172" s="888"/>
      <c r="AV172" s="888"/>
      <c r="AW172" s="888"/>
      <c r="AX172" s="888"/>
      <c r="AY172" s="888"/>
      <c r="AZ172" s="567"/>
      <c r="BA172" s="567"/>
      <c r="BB172" s="567"/>
      <c r="BC172" s="567"/>
      <c r="BD172" s="567"/>
      <c r="BE172" s="567"/>
      <c r="BF172" s="567"/>
      <c r="BG172" s="567"/>
      <c r="BH172" s="567"/>
      <c r="BI172" s="567"/>
      <c r="BJ172" s="567"/>
      <c r="BK172" s="567"/>
      <c r="BL172" s="567"/>
      <c r="BM172" s="567"/>
      <c r="BN172" s="567"/>
      <c r="BO172" s="567"/>
      <c r="BP172" s="567"/>
      <c r="BQ172" s="567"/>
      <c r="BR172" s="567"/>
      <c r="BS172" s="567"/>
      <c r="BT172" s="567"/>
      <c r="BU172" s="567"/>
      <c r="BV172" s="567"/>
      <c r="BW172" s="567"/>
      <c r="BX172" s="567"/>
      <c r="BY172" s="567"/>
      <c r="BZ172" s="567"/>
      <c r="CA172" s="567"/>
      <c r="CB172" s="567"/>
      <c r="CC172" s="567"/>
      <c r="CD172" s="567"/>
      <c r="CE172" s="567"/>
      <c r="CF172" s="567"/>
      <c r="CG172" s="567"/>
      <c r="CH172" s="567"/>
      <c r="CI172" s="567"/>
      <c r="CJ172" s="567"/>
      <c r="CK172" s="567"/>
      <c r="CL172" s="567"/>
      <c r="CM172" s="567"/>
      <c r="CN172" s="567"/>
      <c r="CO172" s="567"/>
      <c r="CP172" s="567"/>
      <c r="CQ172" s="567"/>
      <c r="CR172" s="567"/>
      <c r="CS172" s="567"/>
      <c r="CT172" s="567"/>
      <c r="CU172" s="567"/>
      <c r="CV172" s="567"/>
      <c r="CW172" s="567"/>
      <c r="CX172" s="567"/>
      <c r="CY172" s="567"/>
      <c r="CZ172" s="567"/>
      <c r="DA172" s="567"/>
      <c r="DB172" s="567"/>
      <c r="DC172" s="567"/>
      <c r="DD172" s="567"/>
      <c r="DE172" s="567"/>
      <c r="DF172" s="567"/>
      <c r="DG172" s="567"/>
      <c r="DH172" s="567"/>
      <c r="DI172" s="567"/>
      <c r="DJ172" s="567"/>
      <c r="DK172" s="567"/>
      <c r="DL172" s="567"/>
      <c r="DM172" s="567"/>
      <c r="DN172" s="567"/>
      <c r="DO172" s="567"/>
      <c r="DP172" s="567"/>
      <c r="DQ172" s="567"/>
    </row>
    <row r="173" spans="1:121" s="487" customFormat="1">
      <c r="A173" s="588"/>
      <c r="B173" s="588"/>
      <c r="C173" s="588"/>
      <c r="D173" s="588"/>
      <c r="E173" s="588"/>
      <c r="F173" s="588"/>
      <c r="G173" s="588"/>
      <c r="H173" s="588"/>
      <c r="I173" s="588"/>
      <c r="J173" s="588"/>
      <c r="K173" s="588"/>
      <c r="L173" s="702"/>
      <c r="M173" s="888"/>
      <c r="N173" s="888"/>
      <c r="O173" s="888"/>
      <c r="P173" s="888"/>
      <c r="Q173" s="888"/>
      <c r="R173" s="888"/>
      <c r="S173" s="888"/>
      <c r="T173" s="888"/>
      <c r="U173" s="888"/>
      <c r="V173" s="888"/>
      <c r="W173" s="888"/>
      <c r="X173" s="888"/>
      <c r="Y173" s="888"/>
      <c r="Z173" s="888"/>
      <c r="AA173" s="888"/>
      <c r="AB173" s="888"/>
      <c r="AC173" s="888"/>
      <c r="AD173" s="888"/>
      <c r="AE173" s="888"/>
      <c r="AF173" s="888"/>
      <c r="AG173" s="888"/>
      <c r="AH173" s="888"/>
      <c r="AI173" s="888"/>
      <c r="AJ173" s="888"/>
      <c r="AK173" s="888"/>
      <c r="AL173" s="888"/>
      <c r="AM173" s="888"/>
      <c r="AN173" s="888"/>
      <c r="AO173" s="888"/>
      <c r="AP173" s="888"/>
      <c r="AQ173" s="888"/>
      <c r="AR173" s="888"/>
      <c r="AS173" s="888"/>
      <c r="AT173" s="888"/>
      <c r="AU173" s="888"/>
      <c r="AV173" s="888"/>
      <c r="AW173" s="888"/>
      <c r="AX173" s="888"/>
      <c r="AY173" s="888"/>
      <c r="AZ173" s="567"/>
      <c r="BA173" s="567"/>
      <c r="BB173" s="567"/>
      <c r="BC173" s="567"/>
      <c r="BD173" s="567"/>
      <c r="BE173" s="567"/>
      <c r="BF173" s="567"/>
      <c r="BG173" s="567"/>
      <c r="BH173" s="567"/>
      <c r="BI173" s="567"/>
      <c r="BJ173" s="567"/>
      <c r="BK173" s="567"/>
      <c r="BL173" s="567"/>
      <c r="BM173" s="567"/>
      <c r="BN173" s="567"/>
      <c r="BO173" s="567"/>
      <c r="BP173" s="567"/>
      <c r="BQ173" s="567"/>
      <c r="BR173" s="567"/>
      <c r="BS173" s="567"/>
      <c r="BT173" s="567"/>
      <c r="BU173" s="567"/>
      <c r="BV173" s="567"/>
      <c r="BW173" s="567"/>
      <c r="BX173" s="567"/>
      <c r="BY173" s="567"/>
      <c r="BZ173" s="567"/>
      <c r="CA173" s="567"/>
      <c r="CB173" s="567"/>
      <c r="CC173" s="567"/>
      <c r="CD173" s="567"/>
      <c r="CE173" s="567"/>
      <c r="CF173" s="567"/>
      <c r="CG173" s="567"/>
      <c r="CH173" s="567"/>
      <c r="CI173" s="567"/>
      <c r="CJ173" s="567"/>
      <c r="CK173" s="567"/>
      <c r="CL173" s="567"/>
      <c r="CM173" s="567"/>
      <c r="CN173" s="567"/>
      <c r="CO173" s="567"/>
      <c r="CP173" s="567"/>
      <c r="CQ173" s="567"/>
      <c r="CR173" s="567"/>
      <c r="CS173" s="567"/>
      <c r="CT173" s="567"/>
      <c r="CU173" s="567"/>
      <c r="CV173" s="567"/>
      <c r="CW173" s="567"/>
      <c r="CX173" s="567"/>
      <c r="CY173" s="567"/>
      <c r="CZ173" s="567"/>
      <c r="DA173" s="567"/>
      <c r="DB173" s="567"/>
      <c r="DC173" s="567"/>
      <c r="DD173" s="567"/>
      <c r="DE173" s="567"/>
      <c r="DF173" s="567"/>
      <c r="DG173" s="567"/>
      <c r="DH173" s="567"/>
      <c r="DI173" s="567"/>
      <c r="DJ173" s="567"/>
      <c r="DK173" s="567"/>
      <c r="DL173" s="567"/>
      <c r="DM173" s="567"/>
      <c r="DN173" s="567"/>
      <c r="DO173" s="567"/>
      <c r="DP173" s="567"/>
      <c r="DQ173" s="567"/>
    </row>
    <row r="174" spans="1:121" s="487" customFormat="1">
      <c r="A174" s="588"/>
      <c r="B174" s="588"/>
      <c r="C174" s="588"/>
      <c r="D174" s="588"/>
      <c r="E174" s="588"/>
      <c r="F174" s="588"/>
      <c r="G174" s="588"/>
      <c r="H174" s="588"/>
      <c r="I174" s="588"/>
      <c r="J174" s="588"/>
      <c r="K174" s="588"/>
      <c r="L174" s="702"/>
      <c r="M174" s="888"/>
      <c r="N174" s="888"/>
      <c r="O174" s="888"/>
      <c r="P174" s="888"/>
      <c r="Q174" s="888"/>
      <c r="R174" s="888"/>
      <c r="S174" s="888"/>
      <c r="T174" s="888"/>
      <c r="U174" s="888"/>
      <c r="V174" s="888"/>
      <c r="W174" s="888"/>
      <c r="X174" s="888"/>
      <c r="Y174" s="888"/>
      <c r="Z174" s="888"/>
      <c r="AA174" s="888"/>
      <c r="AB174" s="888"/>
      <c r="AC174" s="888"/>
      <c r="AD174" s="888"/>
      <c r="AE174" s="888"/>
      <c r="AF174" s="888"/>
      <c r="AG174" s="888"/>
      <c r="AH174" s="888"/>
      <c r="AI174" s="888"/>
      <c r="AJ174" s="888"/>
      <c r="AK174" s="888"/>
      <c r="AL174" s="888"/>
      <c r="AM174" s="888"/>
      <c r="AN174" s="888"/>
      <c r="AO174" s="888"/>
      <c r="AP174" s="888"/>
      <c r="AQ174" s="888"/>
      <c r="AR174" s="888"/>
      <c r="AS174" s="888"/>
      <c r="AT174" s="888"/>
      <c r="AU174" s="888"/>
      <c r="AV174" s="888"/>
      <c r="AW174" s="888"/>
      <c r="AX174" s="888"/>
      <c r="AY174" s="888"/>
      <c r="AZ174" s="567"/>
      <c r="BA174" s="567"/>
      <c r="BB174" s="567"/>
      <c r="BC174" s="567"/>
      <c r="BD174" s="567"/>
      <c r="BE174" s="567"/>
      <c r="BF174" s="567"/>
      <c r="BG174" s="567"/>
      <c r="BH174" s="567"/>
      <c r="BI174" s="567"/>
      <c r="BJ174" s="567"/>
      <c r="BK174" s="567"/>
      <c r="BL174" s="567"/>
      <c r="BM174" s="567"/>
      <c r="BN174" s="567"/>
      <c r="BO174" s="567"/>
      <c r="BP174" s="567"/>
      <c r="BQ174" s="567"/>
      <c r="BR174" s="567"/>
      <c r="BS174" s="567"/>
      <c r="BT174" s="567"/>
      <c r="BU174" s="567"/>
      <c r="BV174" s="567"/>
      <c r="BW174" s="567"/>
      <c r="BX174" s="567"/>
      <c r="BY174" s="567"/>
      <c r="BZ174" s="567"/>
      <c r="CA174" s="567"/>
      <c r="CB174" s="567"/>
      <c r="CC174" s="567"/>
      <c r="CD174" s="567"/>
      <c r="CE174" s="567"/>
      <c r="CF174" s="567"/>
      <c r="CG174" s="567"/>
      <c r="CH174" s="567"/>
      <c r="CI174" s="567"/>
      <c r="CJ174" s="567"/>
      <c r="CK174" s="567"/>
      <c r="CL174" s="567"/>
      <c r="CM174" s="567"/>
      <c r="CN174" s="567"/>
      <c r="CO174" s="567"/>
      <c r="CP174" s="567"/>
      <c r="CQ174" s="567"/>
      <c r="CR174" s="567"/>
      <c r="CS174" s="567"/>
      <c r="CT174" s="567"/>
      <c r="CU174" s="567"/>
      <c r="CV174" s="567"/>
      <c r="CW174" s="567"/>
      <c r="CX174" s="567"/>
      <c r="CY174" s="567"/>
      <c r="CZ174" s="567"/>
      <c r="DA174" s="567"/>
      <c r="DB174" s="567"/>
      <c r="DC174" s="567"/>
      <c r="DD174" s="567"/>
      <c r="DE174" s="567"/>
      <c r="DF174" s="567"/>
      <c r="DG174" s="567"/>
      <c r="DH174" s="567"/>
      <c r="DI174" s="567"/>
      <c r="DJ174" s="567"/>
      <c r="DK174" s="567"/>
      <c r="DL174" s="567"/>
      <c r="DM174" s="567"/>
      <c r="DN174" s="567"/>
      <c r="DO174" s="567"/>
      <c r="DP174" s="567"/>
      <c r="DQ174" s="567"/>
    </row>
    <row r="175" spans="1:121" s="487" customFormat="1">
      <c r="A175" s="588"/>
      <c r="B175" s="588"/>
      <c r="C175" s="588"/>
      <c r="D175" s="588"/>
      <c r="E175" s="588"/>
      <c r="F175" s="588"/>
      <c r="G175" s="588"/>
      <c r="H175" s="588"/>
      <c r="I175" s="588"/>
      <c r="J175" s="588"/>
      <c r="K175" s="588"/>
      <c r="L175" s="702"/>
      <c r="M175" s="888"/>
      <c r="N175" s="888"/>
      <c r="O175" s="888"/>
      <c r="P175" s="888"/>
      <c r="Q175" s="888"/>
      <c r="R175" s="888"/>
      <c r="S175" s="888"/>
      <c r="T175" s="888"/>
      <c r="U175" s="888"/>
      <c r="V175" s="888"/>
      <c r="W175" s="888"/>
      <c r="X175" s="888"/>
      <c r="Y175" s="888"/>
      <c r="Z175" s="888"/>
      <c r="AA175" s="888"/>
      <c r="AB175" s="888"/>
      <c r="AC175" s="888"/>
      <c r="AD175" s="888"/>
      <c r="AE175" s="888"/>
      <c r="AF175" s="888"/>
      <c r="AG175" s="888"/>
      <c r="AH175" s="888"/>
      <c r="AI175" s="888"/>
      <c r="AJ175" s="888"/>
      <c r="AK175" s="888"/>
      <c r="AL175" s="888"/>
      <c r="AM175" s="888"/>
      <c r="AN175" s="888"/>
      <c r="AO175" s="888"/>
      <c r="AP175" s="888"/>
      <c r="AQ175" s="888"/>
      <c r="AR175" s="888"/>
      <c r="AS175" s="888"/>
      <c r="AT175" s="888"/>
      <c r="AU175" s="888"/>
      <c r="AV175" s="888"/>
      <c r="AW175" s="888"/>
      <c r="AX175" s="888"/>
      <c r="AY175" s="888"/>
      <c r="AZ175" s="567"/>
      <c r="BA175" s="567"/>
      <c r="BB175" s="567"/>
      <c r="BC175" s="567"/>
      <c r="BD175" s="567"/>
      <c r="BE175" s="567"/>
      <c r="BF175" s="567"/>
      <c r="BG175" s="567"/>
      <c r="BH175" s="567"/>
      <c r="BI175" s="567"/>
      <c r="BJ175" s="567"/>
      <c r="BK175" s="567"/>
      <c r="BL175" s="567"/>
      <c r="BM175" s="567"/>
      <c r="BN175" s="567"/>
      <c r="BO175" s="567"/>
      <c r="BP175" s="567"/>
      <c r="BQ175" s="567"/>
      <c r="BR175" s="567"/>
      <c r="BS175" s="567"/>
      <c r="BT175" s="567"/>
      <c r="BU175" s="567"/>
      <c r="BV175" s="567"/>
      <c r="BW175" s="567"/>
      <c r="BX175" s="567"/>
      <c r="BY175" s="567"/>
      <c r="BZ175" s="567"/>
      <c r="CA175" s="567"/>
      <c r="CB175" s="567"/>
      <c r="CC175" s="567"/>
      <c r="CD175" s="567"/>
      <c r="CE175" s="567"/>
      <c r="CF175" s="567"/>
      <c r="CG175" s="567"/>
      <c r="CH175" s="567"/>
      <c r="CI175" s="567"/>
      <c r="CJ175" s="567"/>
      <c r="CK175" s="567"/>
      <c r="CL175" s="567"/>
      <c r="CM175" s="567"/>
      <c r="CN175" s="567"/>
      <c r="CO175" s="567"/>
      <c r="CP175" s="567"/>
      <c r="CQ175" s="567"/>
      <c r="CR175" s="567"/>
      <c r="CS175" s="567"/>
      <c r="CT175" s="567"/>
      <c r="CU175" s="567"/>
      <c r="CV175" s="567"/>
      <c r="CW175" s="567"/>
      <c r="CX175" s="567"/>
      <c r="CY175" s="567"/>
      <c r="CZ175" s="567"/>
      <c r="DA175" s="567"/>
      <c r="DB175" s="567"/>
      <c r="DC175" s="567"/>
      <c r="DD175" s="567"/>
      <c r="DE175" s="567"/>
      <c r="DF175" s="567"/>
      <c r="DG175" s="567"/>
      <c r="DH175" s="567"/>
      <c r="DI175" s="567"/>
      <c r="DJ175" s="567"/>
      <c r="DK175" s="567"/>
      <c r="DL175" s="567"/>
      <c r="DM175" s="567"/>
      <c r="DN175" s="567"/>
      <c r="DO175" s="567"/>
      <c r="DP175" s="567"/>
      <c r="DQ175" s="567"/>
    </row>
    <row r="176" spans="1:121" s="487" customFormat="1">
      <c r="A176" s="588"/>
      <c r="B176" s="588"/>
      <c r="C176" s="588"/>
      <c r="D176" s="588"/>
      <c r="E176" s="588"/>
      <c r="F176" s="588"/>
      <c r="G176" s="588"/>
      <c r="H176" s="588"/>
      <c r="I176" s="588"/>
      <c r="J176" s="588"/>
      <c r="K176" s="588"/>
      <c r="L176" s="702"/>
      <c r="M176" s="888"/>
      <c r="N176" s="888"/>
      <c r="O176" s="888"/>
      <c r="P176" s="888"/>
      <c r="Q176" s="888"/>
      <c r="R176" s="888"/>
      <c r="S176" s="888"/>
      <c r="T176" s="888"/>
      <c r="U176" s="888"/>
      <c r="V176" s="888"/>
      <c r="W176" s="888"/>
      <c r="X176" s="888"/>
      <c r="Y176" s="888"/>
      <c r="Z176" s="888"/>
      <c r="AA176" s="888"/>
      <c r="AB176" s="888"/>
      <c r="AC176" s="888"/>
      <c r="AD176" s="888"/>
      <c r="AE176" s="888"/>
      <c r="AF176" s="888"/>
      <c r="AG176" s="888"/>
      <c r="AH176" s="888"/>
      <c r="AI176" s="888"/>
      <c r="AJ176" s="888"/>
      <c r="AK176" s="888"/>
      <c r="AL176" s="888"/>
      <c r="AM176" s="888"/>
      <c r="AN176" s="888"/>
      <c r="AO176" s="888"/>
      <c r="AP176" s="888"/>
      <c r="AQ176" s="888"/>
      <c r="AR176" s="888"/>
      <c r="AS176" s="888"/>
      <c r="AT176" s="888"/>
      <c r="AU176" s="888"/>
      <c r="AV176" s="888"/>
      <c r="AW176" s="888"/>
      <c r="AX176" s="888"/>
      <c r="AY176" s="888"/>
      <c r="AZ176" s="567"/>
      <c r="BA176" s="567"/>
      <c r="BB176" s="567"/>
      <c r="BC176" s="567"/>
      <c r="BD176" s="567"/>
      <c r="BE176" s="567"/>
      <c r="BF176" s="567"/>
      <c r="BG176" s="567"/>
      <c r="BH176" s="567"/>
      <c r="BI176" s="567"/>
      <c r="BJ176" s="567"/>
      <c r="BK176" s="567"/>
      <c r="BL176" s="567"/>
      <c r="BM176" s="567"/>
      <c r="BN176" s="567"/>
      <c r="BO176" s="567"/>
      <c r="BP176" s="567"/>
      <c r="BQ176" s="567"/>
      <c r="BR176" s="567"/>
      <c r="BS176" s="567"/>
      <c r="BT176" s="567"/>
      <c r="BU176" s="567"/>
      <c r="BV176" s="567"/>
      <c r="BW176" s="567"/>
      <c r="BX176" s="567"/>
      <c r="BY176" s="567"/>
      <c r="BZ176" s="567"/>
      <c r="CA176" s="567"/>
      <c r="CB176" s="567"/>
      <c r="CC176" s="567"/>
      <c r="CD176" s="567"/>
      <c r="CE176" s="567"/>
      <c r="CF176" s="567"/>
      <c r="CG176" s="567"/>
      <c r="CH176" s="567"/>
      <c r="CI176" s="567"/>
      <c r="CJ176" s="567"/>
      <c r="CK176" s="567"/>
      <c r="CL176" s="567"/>
      <c r="CM176" s="567"/>
      <c r="CN176" s="567"/>
      <c r="CO176" s="567"/>
      <c r="CP176" s="567"/>
      <c r="CQ176" s="567"/>
      <c r="CR176" s="567"/>
      <c r="CS176" s="567"/>
      <c r="CT176" s="567"/>
      <c r="CU176" s="567"/>
      <c r="CV176" s="567"/>
      <c r="CW176" s="567"/>
      <c r="CX176" s="567"/>
      <c r="CY176" s="567"/>
      <c r="CZ176" s="567"/>
      <c r="DA176" s="567"/>
      <c r="DB176" s="567"/>
      <c r="DC176" s="567"/>
      <c r="DD176" s="567"/>
      <c r="DE176" s="567"/>
      <c r="DF176" s="567"/>
      <c r="DG176" s="567"/>
      <c r="DH176" s="567"/>
      <c r="DI176" s="567"/>
      <c r="DJ176" s="567"/>
      <c r="DK176" s="567"/>
      <c r="DL176" s="567"/>
      <c r="DM176" s="567"/>
      <c r="DN176" s="567"/>
      <c r="DO176" s="567"/>
      <c r="DP176" s="567"/>
      <c r="DQ176" s="567"/>
    </row>
    <row r="177" spans="1:121" s="487" customFormat="1">
      <c r="A177" s="588"/>
      <c r="B177" s="588"/>
      <c r="C177" s="588"/>
      <c r="D177" s="588"/>
      <c r="E177" s="588"/>
      <c r="F177" s="588"/>
      <c r="G177" s="588"/>
      <c r="H177" s="588"/>
      <c r="I177" s="588"/>
      <c r="J177" s="588"/>
      <c r="K177" s="588"/>
      <c r="L177" s="702"/>
      <c r="M177" s="888"/>
      <c r="N177" s="888"/>
      <c r="O177" s="888"/>
      <c r="P177" s="888"/>
      <c r="Q177" s="888"/>
      <c r="R177" s="888"/>
      <c r="S177" s="888"/>
      <c r="T177" s="888"/>
      <c r="U177" s="888"/>
      <c r="V177" s="888"/>
      <c r="W177" s="888"/>
      <c r="X177" s="888"/>
      <c r="Y177" s="888"/>
      <c r="Z177" s="888"/>
      <c r="AA177" s="888"/>
      <c r="AB177" s="888"/>
      <c r="AC177" s="888"/>
      <c r="AD177" s="888"/>
      <c r="AE177" s="888"/>
      <c r="AF177" s="888"/>
      <c r="AG177" s="888"/>
      <c r="AH177" s="888"/>
      <c r="AI177" s="888"/>
      <c r="AJ177" s="888"/>
      <c r="AK177" s="888"/>
      <c r="AL177" s="888"/>
      <c r="AM177" s="888"/>
      <c r="AN177" s="888"/>
      <c r="AO177" s="888"/>
      <c r="AP177" s="888"/>
      <c r="AQ177" s="888"/>
      <c r="AR177" s="888"/>
      <c r="AS177" s="888"/>
      <c r="AT177" s="888"/>
      <c r="AU177" s="888"/>
      <c r="AV177" s="888"/>
      <c r="AW177" s="888"/>
      <c r="AX177" s="888"/>
      <c r="AY177" s="888"/>
      <c r="AZ177" s="567"/>
      <c r="BA177" s="567"/>
      <c r="BB177" s="567"/>
      <c r="BC177" s="567"/>
      <c r="BD177" s="567"/>
      <c r="BE177" s="567"/>
      <c r="BF177" s="567"/>
      <c r="BG177" s="567"/>
      <c r="BH177" s="567"/>
      <c r="BI177" s="567"/>
      <c r="BJ177" s="567"/>
      <c r="BK177" s="567"/>
      <c r="BL177" s="567"/>
      <c r="BM177" s="567"/>
      <c r="BN177" s="567"/>
      <c r="BO177" s="567"/>
      <c r="BP177" s="567"/>
      <c r="BQ177" s="567"/>
      <c r="BR177" s="567"/>
      <c r="BS177" s="567"/>
      <c r="BT177" s="567"/>
      <c r="BU177" s="567"/>
      <c r="BV177" s="567"/>
      <c r="BW177" s="567"/>
      <c r="BX177" s="567"/>
      <c r="BY177" s="567"/>
      <c r="BZ177" s="567"/>
      <c r="CA177" s="567"/>
      <c r="CB177" s="567"/>
      <c r="CC177" s="567"/>
      <c r="CD177" s="567"/>
      <c r="CE177" s="567"/>
      <c r="CF177" s="567"/>
      <c r="CG177" s="567"/>
      <c r="CH177" s="567"/>
      <c r="CI177" s="567"/>
      <c r="CJ177" s="567"/>
      <c r="CK177" s="567"/>
      <c r="CL177" s="567"/>
      <c r="CM177" s="567"/>
      <c r="CN177" s="567"/>
      <c r="CO177" s="567"/>
      <c r="CP177" s="567"/>
      <c r="CQ177" s="567"/>
      <c r="CR177" s="567"/>
      <c r="CS177" s="567"/>
      <c r="CT177" s="567"/>
      <c r="CU177" s="567"/>
      <c r="CV177" s="567"/>
      <c r="CW177" s="567"/>
      <c r="CX177" s="567"/>
      <c r="CY177" s="567"/>
      <c r="CZ177" s="567"/>
      <c r="DA177" s="567"/>
      <c r="DB177" s="567"/>
      <c r="DC177" s="567"/>
      <c r="DD177" s="567"/>
      <c r="DE177" s="567"/>
      <c r="DF177" s="567"/>
      <c r="DG177" s="567"/>
      <c r="DH177" s="567"/>
      <c r="DI177" s="567"/>
      <c r="DJ177" s="567"/>
      <c r="DK177" s="567"/>
      <c r="DL177" s="567"/>
      <c r="DM177" s="567"/>
      <c r="DN177" s="567"/>
      <c r="DO177" s="567"/>
      <c r="DP177" s="567"/>
      <c r="DQ177" s="567"/>
    </row>
    <row r="178" spans="1:121" s="487" customFormat="1">
      <c r="A178" s="588"/>
      <c r="B178" s="588"/>
      <c r="C178" s="588"/>
      <c r="D178" s="588"/>
      <c r="E178" s="588"/>
      <c r="F178" s="588"/>
      <c r="G178" s="588"/>
      <c r="H178" s="588"/>
      <c r="I178" s="588"/>
      <c r="J178" s="588"/>
      <c r="K178" s="588"/>
      <c r="L178" s="702"/>
      <c r="M178" s="888"/>
      <c r="N178" s="888"/>
      <c r="O178" s="888"/>
      <c r="P178" s="888"/>
      <c r="Q178" s="888"/>
      <c r="R178" s="888"/>
      <c r="S178" s="888"/>
      <c r="T178" s="888"/>
      <c r="U178" s="888"/>
      <c r="V178" s="888"/>
      <c r="W178" s="888"/>
      <c r="X178" s="888"/>
      <c r="Y178" s="888"/>
      <c r="Z178" s="888"/>
      <c r="AA178" s="888"/>
      <c r="AB178" s="888"/>
      <c r="AC178" s="888"/>
      <c r="AD178" s="888"/>
      <c r="AE178" s="888"/>
      <c r="AF178" s="888"/>
      <c r="AG178" s="888"/>
      <c r="AH178" s="888"/>
      <c r="AI178" s="888"/>
      <c r="AJ178" s="888"/>
      <c r="AK178" s="888"/>
      <c r="AL178" s="888"/>
      <c r="AM178" s="888"/>
      <c r="AN178" s="888"/>
      <c r="AO178" s="888"/>
      <c r="AP178" s="888"/>
      <c r="AQ178" s="888"/>
      <c r="AR178" s="888"/>
      <c r="AS178" s="888"/>
      <c r="AT178" s="888"/>
      <c r="AU178" s="888"/>
      <c r="AV178" s="888"/>
      <c r="AW178" s="888"/>
      <c r="AX178" s="888"/>
      <c r="AY178" s="888"/>
      <c r="AZ178" s="567"/>
      <c r="BA178" s="567"/>
      <c r="BB178" s="567"/>
      <c r="BC178" s="567"/>
      <c r="BD178" s="567"/>
      <c r="BE178" s="567"/>
      <c r="BF178" s="567"/>
      <c r="BG178" s="567"/>
      <c r="BH178" s="567"/>
      <c r="BI178" s="567"/>
      <c r="BJ178" s="567"/>
      <c r="BK178" s="567"/>
      <c r="BL178" s="567"/>
      <c r="BM178" s="567"/>
      <c r="BN178" s="567"/>
      <c r="BO178" s="567"/>
      <c r="BP178" s="567"/>
      <c r="BQ178" s="567"/>
      <c r="BR178" s="567"/>
      <c r="BS178" s="567"/>
      <c r="BT178" s="567"/>
      <c r="BU178" s="567"/>
      <c r="BV178" s="567"/>
      <c r="BW178" s="567"/>
      <c r="BX178" s="567"/>
      <c r="BY178" s="567"/>
      <c r="BZ178" s="567"/>
      <c r="CA178" s="567"/>
      <c r="CB178" s="567"/>
      <c r="CC178" s="567"/>
      <c r="CD178" s="567"/>
      <c r="CE178" s="567"/>
      <c r="CF178" s="567"/>
      <c r="CG178" s="567"/>
      <c r="CH178" s="567"/>
      <c r="CI178" s="567"/>
      <c r="CJ178" s="567"/>
      <c r="CK178" s="567"/>
      <c r="CL178" s="567"/>
      <c r="CM178" s="567"/>
      <c r="CN178" s="567"/>
      <c r="CO178" s="567"/>
      <c r="CP178" s="567"/>
      <c r="CQ178" s="567"/>
      <c r="CR178" s="567"/>
      <c r="CS178" s="567"/>
      <c r="CT178" s="567"/>
      <c r="CU178" s="567"/>
      <c r="CV178" s="567"/>
      <c r="CW178" s="567"/>
      <c r="CX178" s="567"/>
      <c r="CY178" s="567"/>
      <c r="CZ178" s="567"/>
      <c r="DA178" s="567"/>
      <c r="DB178" s="567"/>
      <c r="DC178" s="567"/>
      <c r="DD178" s="567"/>
      <c r="DE178" s="567"/>
      <c r="DF178" s="567"/>
      <c r="DG178" s="567"/>
      <c r="DH178" s="567"/>
      <c r="DI178" s="567"/>
      <c r="DJ178" s="567"/>
      <c r="DK178" s="567"/>
      <c r="DL178" s="567"/>
      <c r="DM178" s="567"/>
      <c r="DN178" s="567"/>
      <c r="DO178" s="567"/>
      <c r="DP178" s="567"/>
      <c r="DQ178" s="567"/>
    </row>
    <row r="179" spans="1:121" s="487" customFormat="1">
      <c r="A179" s="588"/>
      <c r="B179" s="588"/>
      <c r="C179" s="588"/>
      <c r="D179" s="588"/>
      <c r="E179" s="588"/>
      <c r="F179" s="588"/>
      <c r="G179" s="588"/>
      <c r="H179" s="588"/>
      <c r="I179" s="588"/>
      <c r="J179" s="588"/>
      <c r="K179" s="588"/>
      <c r="L179" s="702"/>
      <c r="M179" s="888"/>
      <c r="N179" s="888"/>
      <c r="O179" s="888"/>
      <c r="P179" s="888"/>
      <c r="Q179" s="888"/>
      <c r="R179" s="888"/>
      <c r="S179" s="888"/>
      <c r="T179" s="888"/>
      <c r="U179" s="888"/>
      <c r="V179" s="888"/>
      <c r="W179" s="888"/>
      <c r="X179" s="888"/>
      <c r="Y179" s="888"/>
      <c r="Z179" s="888"/>
      <c r="AA179" s="888"/>
      <c r="AB179" s="888"/>
      <c r="AC179" s="888"/>
      <c r="AD179" s="888"/>
      <c r="AE179" s="888"/>
      <c r="AF179" s="888"/>
      <c r="AG179" s="888"/>
      <c r="AH179" s="888"/>
      <c r="AI179" s="888"/>
      <c r="AJ179" s="888"/>
      <c r="AK179" s="888"/>
      <c r="AL179" s="888"/>
      <c r="AM179" s="888"/>
      <c r="AN179" s="888"/>
      <c r="AO179" s="888"/>
      <c r="AP179" s="888"/>
      <c r="AQ179" s="888"/>
      <c r="AR179" s="888"/>
      <c r="AS179" s="888"/>
      <c r="AT179" s="888"/>
      <c r="AU179" s="888"/>
      <c r="AV179" s="888"/>
      <c r="AW179" s="888"/>
      <c r="AX179" s="888"/>
      <c r="AY179" s="888"/>
      <c r="AZ179" s="567"/>
      <c r="BA179" s="567"/>
      <c r="BB179" s="567"/>
      <c r="BC179" s="567"/>
      <c r="BD179" s="567"/>
      <c r="BE179" s="567"/>
      <c r="BF179" s="567"/>
      <c r="BG179" s="567"/>
      <c r="BH179" s="567"/>
      <c r="BI179" s="567"/>
      <c r="BJ179" s="567"/>
      <c r="BK179" s="567"/>
      <c r="BL179" s="567"/>
      <c r="BM179" s="567"/>
      <c r="BN179" s="567"/>
      <c r="BO179" s="567"/>
      <c r="BP179" s="567"/>
      <c r="BQ179" s="567"/>
      <c r="BR179" s="567"/>
      <c r="BS179" s="567"/>
      <c r="BT179" s="567"/>
      <c r="BU179" s="567"/>
      <c r="BV179" s="567"/>
      <c r="BW179" s="567"/>
      <c r="BX179" s="567"/>
      <c r="BY179" s="567"/>
      <c r="BZ179" s="567"/>
      <c r="CA179" s="567"/>
      <c r="CB179" s="567"/>
      <c r="CC179" s="567"/>
      <c r="CD179" s="567"/>
      <c r="CE179" s="567"/>
      <c r="CF179" s="567"/>
      <c r="CG179" s="567"/>
      <c r="CH179" s="567"/>
      <c r="CI179" s="567"/>
      <c r="CJ179" s="567"/>
      <c r="CK179" s="567"/>
      <c r="CL179" s="567"/>
      <c r="CM179" s="567"/>
      <c r="CN179" s="567"/>
      <c r="CO179" s="567"/>
      <c r="CP179" s="567"/>
      <c r="CQ179" s="567"/>
      <c r="CR179" s="567"/>
      <c r="CS179" s="567"/>
      <c r="CT179" s="567"/>
      <c r="CU179" s="567"/>
      <c r="CV179" s="567"/>
      <c r="CW179" s="567"/>
      <c r="CX179" s="567"/>
      <c r="CY179" s="567"/>
      <c r="CZ179" s="567"/>
      <c r="DA179" s="567"/>
      <c r="DB179" s="567"/>
      <c r="DC179" s="567"/>
      <c r="DD179" s="567"/>
      <c r="DE179" s="567"/>
      <c r="DF179" s="567"/>
      <c r="DG179" s="567"/>
      <c r="DH179" s="567"/>
      <c r="DI179" s="567"/>
      <c r="DJ179" s="567"/>
      <c r="DK179" s="567"/>
      <c r="DL179" s="567"/>
      <c r="DM179" s="567"/>
      <c r="DN179" s="567"/>
      <c r="DO179" s="567"/>
      <c r="DP179" s="567"/>
      <c r="DQ179" s="567"/>
    </row>
    <row r="180" spans="1:121" s="487" customFormat="1">
      <c r="A180" s="588"/>
      <c r="B180" s="588"/>
      <c r="C180" s="588"/>
      <c r="D180" s="588"/>
      <c r="E180" s="588"/>
      <c r="F180" s="588"/>
      <c r="G180" s="588"/>
      <c r="H180" s="588"/>
      <c r="I180" s="588"/>
      <c r="J180" s="588"/>
      <c r="K180" s="588"/>
      <c r="L180" s="702"/>
      <c r="M180" s="888"/>
      <c r="N180" s="888"/>
      <c r="O180" s="888"/>
      <c r="P180" s="888"/>
      <c r="Q180" s="888"/>
      <c r="R180" s="888"/>
      <c r="S180" s="888"/>
      <c r="T180" s="888"/>
      <c r="U180" s="888"/>
      <c r="V180" s="888"/>
      <c r="W180" s="888"/>
      <c r="X180" s="888"/>
      <c r="Y180" s="888"/>
      <c r="Z180" s="888"/>
      <c r="AA180" s="888"/>
      <c r="AB180" s="888"/>
      <c r="AC180" s="888"/>
      <c r="AD180" s="888"/>
      <c r="AE180" s="888"/>
      <c r="AF180" s="888"/>
      <c r="AG180" s="888"/>
      <c r="AH180" s="888"/>
      <c r="AI180" s="888"/>
      <c r="AJ180" s="888"/>
      <c r="AK180" s="888"/>
      <c r="AL180" s="888"/>
      <c r="AM180" s="888"/>
      <c r="AN180" s="888"/>
      <c r="AO180" s="888"/>
      <c r="AP180" s="888"/>
      <c r="AQ180" s="888"/>
      <c r="AR180" s="888"/>
      <c r="AS180" s="888"/>
      <c r="AT180" s="888"/>
      <c r="AU180" s="888"/>
      <c r="AV180" s="888"/>
      <c r="AW180" s="888"/>
      <c r="AX180" s="888"/>
      <c r="AY180" s="888"/>
      <c r="AZ180" s="567"/>
      <c r="BA180" s="567"/>
      <c r="BB180" s="567"/>
      <c r="BC180" s="567"/>
      <c r="BD180" s="567"/>
      <c r="BE180" s="567"/>
      <c r="BF180" s="567"/>
      <c r="BG180" s="567"/>
      <c r="BH180" s="567"/>
      <c r="BI180" s="567"/>
      <c r="BJ180" s="567"/>
      <c r="BK180" s="567"/>
      <c r="BL180" s="567"/>
      <c r="BM180" s="567"/>
      <c r="BN180" s="567"/>
      <c r="BO180" s="567"/>
      <c r="BP180" s="567"/>
      <c r="BQ180" s="567"/>
      <c r="BR180" s="567"/>
      <c r="BS180" s="567"/>
      <c r="BT180" s="567"/>
      <c r="BU180" s="567"/>
      <c r="BV180" s="567"/>
      <c r="BW180" s="567"/>
      <c r="BX180" s="567"/>
      <c r="BY180" s="567"/>
      <c r="BZ180" s="567"/>
      <c r="CA180" s="567"/>
      <c r="CB180" s="567"/>
      <c r="CC180" s="567"/>
      <c r="CD180" s="567"/>
      <c r="CE180" s="567"/>
      <c r="CF180" s="567"/>
      <c r="CG180" s="567"/>
      <c r="CH180" s="567"/>
      <c r="CI180" s="567"/>
      <c r="CJ180" s="567"/>
      <c r="CK180" s="567"/>
      <c r="CL180" s="567"/>
      <c r="CM180" s="567"/>
      <c r="CN180" s="567"/>
      <c r="CO180" s="567"/>
      <c r="CP180" s="567"/>
      <c r="CQ180" s="567"/>
      <c r="CR180" s="567"/>
      <c r="CS180" s="567"/>
      <c r="CT180" s="567"/>
      <c r="CU180" s="567"/>
      <c r="CV180" s="567"/>
      <c r="CW180" s="567"/>
      <c r="CX180" s="567"/>
      <c r="CY180" s="567"/>
      <c r="CZ180" s="567"/>
      <c r="DA180" s="567"/>
      <c r="DB180" s="567"/>
      <c r="DC180" s="567"/>
      <c r="DD180" s="567"/>
      <c r="DE180" s="567"/>
      <c r="DF180" s="567"/>
      <c r="DG180" s="567"/>
      <c r="DH180" s="567"/>
      <c r="DI180" s="567"/>
      <c r="DJ180" s="567"/>
      <c r="DK180" s="567"/>
      <c r="DL180" s="567"/>
      <c r="DM180" s="567"/>
      <c r="DN180" s="567"/>
      <c r="DO180" s="567"/>
      <c r="DP180" s="567"/>
      <c r="DQ180" s="567"/>
    </row>
    <row r="181" spans="1:121" s="487" customFormat="1">
      <c r="A181" s="588"/>
      <c r="B181" s="588"/>
      <c r="C181" s="588"/>
      <c r="D181" s="588"/>
      <c r="E181" s="588"/>
      <c r="F181" s="588"/>
      <c r="G181" s="588"/>
      <c r="H181" s="588"/>
      <c r="I181" s="588"/>
      <c r="J181" s="588"/>
      <c r="K181" s="588"/>
      <c r="L181" s="702"/>
      <c r="M181" s="888"/>
      <c r="N181" s="888"/>
      <c r="O181" s="888"/>
      <c r="P181" s="888"/>
      <c r="Q181" s="888"/>
      <c r="R181" s="888"/>
      <c r="S181" s="888"/>
      <c r="T181" s="888"/>
      <c r="U181" s="888"/>
      <c r="V181" s="888"/>
      <c r="W181" s="888"/>
      <c r="X181" s="888"/>
      <c r="Y181" s="888"/>
      <c r="Z181" s="888"/>
      <c r="AA181" s="888"/>
      <c r="AB181" s="888"/>
      <c r="AC181" s="888"/>
      <c r="AD181" s="888"/>
      <c r="AE181" s="888"/>
      <c r="AF181" s="888"/>
      <c r="AG181" s="888"/>
      <c r="AH181" s="888"/>
      <c r="AI181" s="888"/>
      <c r="AJ181" s="888"/>
      <c r="AK181" s="888"/>
      <c r="AL181" s="888"/>
      <c r="AM181" s="888"/>
      <c r="AN181" s="888"/>
      <c r="AO181" s="888"/>
      <c r="AP181" s="888"/>
      <c r="AQ181" s="888"/>
      <c r="AR181" s="888"/>
      <c r="AS181" s="888"/>
      <c r="AT181" s="888"/>
      <c r="AU181" s="888"/>
      <c r="AV181" s="888"/>
      <c r="AW181" s="888"/>
      <c r="AX181" s="888"/>
      <c r="AY181" s="888"/>
      <c r="AZ181" s="567"/>
      <c r="BA181" s="567"/>
      <c r="BB181" s="567"/>
      <c r="BC181" s="567"/>
      <c r="BD181" s="567"/>
      <c r="BE181" s="567"/>
      <c r="BF181" s="567"/>
      <c r="BG181" s="567"/>
      <c r="BH181" s="567"/>
      <c r="BI181" s="567"/>
      <c r="BJ181" s="567"/>
      <c r="BK181" s="567"/>
      <c r="BL181" s="567"/>
      <c r="BM181" s="567"/>
      <c r="BN181" s="567"/>
      <c r="BO181" s="567"/>
      <c r="BP181" s="567"/>
      <c r="BQ181" s="567"/>
      <c r="BR181" s="567"/>
      <c r="BS181" s="567"/>
      <c r="BT181" s="567"/>
      <c r="BU181" s="567"/>
      <c r="BV181" s="567"/>
      <c r="BW181" s="567"/>
      <c r="BX181" s="567"/>
      <c r="BY181" s="567"/>
      <c r="BZ181" s="567"/>
      <c r="CA181" s="567"/>
      <c r="CB181" s="567"/>
      <c r="CC181" s="567"/>
      <c r="CD181" s="567"/>
      <c r="CE181" s="567"/>
      <c r="CF181" s="567"/>
      <c r="CG181" s="567"/>
      <c r="CH181" s="567"/>
      <c r="CI181" s="567"/>
      <c r="CJ181" s="567"/>
      <c r="CK181" s="567"/>
      <c r="CL181" s="567"/>
      <c r="CM181" s="567"/>
      <c r="CN181" s="567"/>
      <c r="CO181" s="567"/>
      <c r="CP181" s="567"/>
      <c r="CQ181" s="567"/>
      <c r="CR181" s="567"/>
      <c r="CS181" s="567"/>
      <c r="CT181" s="567"/>
      <c r="CU181" s="567"/>
      <c r="CV181" s="567"/>
      <c r="CW181" s="567"/>
      <c r="CX181" s="567"/>
      <c r="CY181" s="567"/>
      <c r="CZ181" s="567"/>
      <c r="DA181" s="567"/>
      <c r="DB181" s="567"/>
      <c r="DC181" s="567"/>
      <c r="DD181" s="567"/>
      <c r="DE181" s="567"/>
      <c r="DF181" s="567"/>
      <c r="DG181" s="567"/>
      <c r="DH181" s="567"/>
      <c r="DI181" s="567"/>
      <c r="DJ181" s="567"/>
      <c r="DK181" s="567"/>
      <c r="DL181" s="567"/>
      <c r="DM181" s="567"/>
      <c r="DN181" s="567"/>
      <c r="DO181" s="567"/>
      <c r="DP181" s="567"/>
      <c r="DQ181" s="567"/>
    </row>
    <row r="182" spans="1:121" s="487" customFormat="1">
      <c r="A182" s="588"/>
      <c r="B182" s="588"/>
      <c r="C182" s="588"/>
      <c r="D182" s="588"/>
      <c r="E182" s="588"/>
      <c r="F182" s="588"/>
      <c r="G182" s="588"/>
      <c r="H182" s="588"/>
      <c r="I182" s="588"/>
      <c r="J182" s="588"/>
      <c r="K182" s="588"/>
      <c r="L182" s="702"/>
      <c r="M182" s="888"/>
      <c r="N182" s="888"/>
      <c r="O182" s="888"/>
      <c r="P182" s="888"/>
      <c r="Q182" s="888"/>
      <c r="R182" s="888"/>
      <c r="S182" s="888"/>
      <c r="T182" s="888"/>
      <c r="U182" s="888"/>
      <c r="V182" s="888"/>
      <c r="W182" s="888"/>
      <c r="X182" s="888"/>
      <c r="Y182" s="888"/>
      <c r="Z182" s="888"/>
      <c r="AA182" s="888"/>
      <c r="AB182" s="888"/>
      <c r="AC182" s="888"/>
      <c r="AD182" s="888"/>
      <c r="AE182" s="888"/>
      <c r="AF182" s="888"/>
      <c r="AG182" s="888"/>
      <c r="AH182" s="888"/>
      <c r="AI182" s="888"/>
      <c r="AJ182" s="888"/>
      <c r="AK182" s="888"/>
      <c r="AL182" s="888"/>
      <c r="AM182" s="888"/>
      <c r="AN182" s="888"/>
      <c r="AO182" s="888"/>
      <c r="AP182" s="888"/>
      <c r="AQ182" s="888"/>
      <c r="AR182" s="888"/>
      <c r="AS182" s="888"/>
      <c r="AT182" s="888"/>
      <c r="AU182" s="888"/>
      <c r="AV182" s="888"/>
      <c r="AW182" s="888"/>
      <c r="AX182" s="888"/>
      <c r="AY182" s="888"/>
      <c r="AZ182" s="567"/>
      <c r="BA182" s="567"/>
      <c r="BB182" s="567"/>
      <c r="BC182" s="567"/>
      <c r="BD182" s="567"/>
      <c r="BE182" s="567"/>
      <c r="BF182" s="567"/>
      <c r="BG182" s="567"/>
      <c r="BH182" s="567"/>
      <c r="BI182" s="567"/>
      <c r="BJ182" s="567"/>
      <c r="BK182" s="567"/>
      <c r="BL182" s="567"/>
      <c r="BM182" s="567"/>
      <c r="BN182" s="567"/>
      <c r="BO182" s="567"/>
      <c r="BP182" s="567"/>
      <c r="BQ182" s="567"/>
      <c r="BR182" s="567"/>
      <c r="BS182" s="567"/>
      <c r="BT182" s="567"/>
      <c r="BU182" s="567"/>
      <c r="BV182" s="567"/>
      <c r="BW182" s="567"/>
      <c r="BX182" s="567"/>
      <c r="BY182" s="567"/>
      <c r="BZ182" s="567"/>
      <c r="CA182" s="567"/>
      <c r="CB182" s="567"/>
      <c r="CC182" s="567"/>
      <c r="CD182" s="567"/>
      <c r="CE182" s="567"/>
      <c r="CF182" s="567"/>
      <c r="CG182" s="567"/>
      <c r="CH182" s="567"/>
      <c r="CI182" s="567"/>
      <c r="CJ182" s="567"/>
      <c r="CK182" s="567"/>
      <c r="CL182" s="567"/>
      <c r="CM182" s="567"/>
      <c r="CN182" s="567"/>
      <c r="CO182" s="567"/>
      <c r="CP182" s="567"/>
      <c r="CQ182" s="567"/>
      <c r="CR182" s="567"/>
      <c r="CS182" s="567"/>
      <c r="CT182" s="567"/>
      <c r="CU182" s="567"/>
      <c r="CV182" s="567"/>
      <c r="CW182" s="567"/>
      <c r="CX182" s="567"/>
      <c r="CY182" s="567"/>
      <c r="CZ182" s="567"/>
      <c r="DA182" s="567"/>
      <c r="DB182" s="567"/>
      <c r="DC182" s="567"/>
      <c r="DD182" s="567"/>
      <c r="DE182" s="567"/>
      <c r="DF182" s="567"/>
      <c r="DG182" s="567"/>
      <c r="DH182" s="567"/>
      <c r="DI182" s="567"/>
      <c r="DJ182" s="567"/>
      <c r="DK182" s="567"/>
      <c r="DL182" s="567"/>
      <c r="DM182" s="567"/>
      <c r="DN182" s="567"/>
      <c r="DO182" s="567"/>
      <c r="DP182" s="567"/>
      <c r="DQ182" s="567"/>
    </row>
    <row r="183" spans="1:121" s="487" customFormat="1">
      <c r="A183" s="588"/>
      <c r="B183" s="588"/>
      <c r="C183" s="588"/>
      <c r="D183" s="588"/>
      <c r="E183" s="588"/>
      <c r="F183" s="588"/>
      <c r="G183" s="588"/>
      <c r="H183" s="588"/>
      <c r="I183" s="588"/>
      <c r="J183" s="588"/>
      <c r="K183" s="588"/>
      <c r="L183" s="702"/>
      <c r="M183" s="888"/>
      <c r="N183" s="888"/>
      <c r="O183" s="888"/>
      <c r="P183" s="888"/>
      <c r="Q183" s="888"/>
      <c r="R183" s="888"/>
      <c r="S183" s="888"/>
      <c r="T183" s="888"/>
      <c r="U183" s="888"/>
      <c r="V183" s="888"/>
      <c r="W183" s="888"/>
      <c r="X183" s="888"/>
      <c r="Y183" s="888"/>
      <c r="Z183" s="888"/>
      <c r="AA183" s="888"/>
      <c r="AB183" s="888"/>
      <c r="AC183" s="888"/>
      <c r="AD183" s="888"/>
      <c r="AE183" s="888"/>
      <c r="AF183" s="888"/>
      <c r="AG183" s="888"/>
      <c r="AH183" s="888"/>
      <c r="AI183" s="888"/>
      <c r="AJ183" s="888"/>
      <c r="AK183" s="888"/>
      <c r="AL183" s="888"/>
      <c r="AM183" s="888"/>
      <c r="AN183" s="888"/>
      <c r="AO183" s="888"/>
      <c r="AP183" s="888"/>
      <c r="AQ183" s="888"/>
      <c r="AR183" s="888"/>
      <c r="AS183" s="888"/>
      <c r="AT183" s="888"/>
      <c r="AU183" s="888"/>
      <c r="AV183" s="888"/>
      <c r="AW183" s="888"/>
      <c r="AX183" s="888"/>
      <c r="AY183" s="888"/>
      <c r="AZ183" s="567"/>
      <c r="BA183" s="567"/>
      <c r="BB183" s="567"/>
      <c r="BC183" s="567"/>
      <c r="BD183" s="567"/>
      <c r="BE183" s="567"/>
      <c r="BF183" s="567"/>
      <c r="BG183" s="567"/>
      <c r="BH183" s="567"/>
      <c r="BI183" s="567"/>
      <c r="BJ183" s="567"/>
      <c r="BK183" s="567"/>
      <c r="BL183" s="567"/>
      <c r="BM183" s="567"/>
      <c r="BN183" s="567"/>
      <c r="BO183" s="567"/>
      <c r="BP183" s="567"/>
      <c r="BQ183" s="567"/>
      <c r="BR183" s="567"/>
      <c r="BS183" s="567"/>
      <c r="BT183" s="567"/>
      <c r="BU183" s="567"/>
      <c r="BV183" s="567"/>
      <c r="BW183" s="567"/>
      <c r="BX183" s="567"/>
      <c r="BY183" s="567"/>
      <c r="BZ183" s="567"/>
      <c r="CA183" s="567"/>
      <c r="CB183" s="567"/>
      <c r="CC183" s="567"/>
      <c r="CD183" s="567"/>
      <c r="CE183" s="567"/>
      <c r="CF183" s="567"/>
      <c r="CG183" s="567"/>
      <c r="CH183" s="567"/>
      <c r="CI183" s="567"/>
      <c r="CJ183" s="567"/>
      <c r="CK183" s="567"/>
      <c r="CL183" s="567"/>
      <c r="CM183" s="567"/>
      <c r="CN183" s="567"/>
      <c r="CO183" s="567"/>
      <c r="CP183" s="567"/>
      <c r="CQ183" s="567"/>
      <c r="CR183" s="567"/>
      <c r="CS183" s="567"/>
      <c r="CT183" s="567"/>
      <c r="CU183" s="567"/>
      <c r="CV183" s="567"/>
      <c r="CW183" s="567"/>
      <c r="CX183" s="567"/>
      <c r="CY183" s="567"/>
      <c r="CZ183" s="567"/>
      <c r="DA183" s="567"/>
      <c r="DB183" s="567"/>
      <c r="DC183" s="567"/>
      <c r="DD183" s="567"/>
      <c r="DE183" s="567"/>
      <c r="DF183" s="567"/>
      <c r="DG183" s="567"/>
      <c r="DH183" s="567"/>
      <c r="DI183" s="567"/>
      <c r="DJ183" s="567"/>
      <c r="DK183" s="567"/>
      <c r="DL183" s="567"/>
      <c r="DM183" s="567"/>
      <c r="DN183" s="567"/>
      <c r="DO183" s="567"/>
      <c r="DP183" s="567"/>
      <c r="DQ183" s="567"/>
    </row>
    <row r="184" spans="1:121" s="487" customFormat="1">
      <c r="A184" s="588"/>
      <c r="B184" s="588"/>
      <c r="C184" s="588"/>
      <c r="D184" s="588"/>
      <c r="E184" s="588"/>
      <c r="F184" s="588"/>
      <c r="G184" s="588"/>
      <c r="H184" s="588"/>
      <c r="I184" s="588"/>
      <c r="J184" s="588"/>
      <c r="K184" s="588"/>
      <c r="L184" s="702"/>
      <c r="M184" s="888"/>
      <c r="N184" s="888"/>
      <c r="O184" s="888"/>
      <c r="P184" s="888"/>
      <c r="Q184" s="888"/>
      <c r="R184" s="888"/>
      <c r="S184" s="888"/>
      <c r="T184" s="888"/>
      <c r="U184" s="888"/>
      <c r="V184" s="888"/>
      <c r="W184" s="888"/>
      <c r="X184" s="888"/>
      <c r="Y184" s="888"/>
      <c r="Z184" s="888"/>
      <c r="AA184" s="888"/>
      <c r="AB184" s="888"/>
      <c r="AC184" s="888"/>
      <c r="AD184" s="888"/>
      <c r="AE184" s="888"/>
      <c r="AF184" s="888"/>
      <c r="AG184" s="888"/>
      <c r="AH184" s="888"/>
      <c r="AI184" s="888"/>
      <c r="AJ184" s="888"/>
      <c r="AK184" s="888"/>
      <c r="AL184" s="888"/>
      <c r="AM184" s="888"/>
      <c r="AN184" s="888"/>
      <c r="AO184" s="888"/>
      <c r="AP184" s="888"/>
      <c r="AQ184" s="888"/>
      <c r="AR184" s="888"/>
      <c r="AS184" s="888"/>
      <c r="AT184" s="888"/>
      <c r="AU184" s="888"/>
      <c r="AV184" s="888"/>
      <c r="AW184" s="888"/>
      <c r="AX184" s="888"/>
      <c r="AY184" s="888"/>
      <c r="AZ184" s="567"/>
      <c r="BA184" s="567"/>
      <c r="BB184" s="567"/>
      <c r="BC184" s="567"/>
      <c r="BD184" s="567"/>
      <c r="BE184" s="567"/>
      <c r="BF184" s="567"/>
      <c r="BG184" s="567"/>
      <c r="BH184" s="567"/>
      <c r="BI184" s="567"/>
      <c r="BJ184" s="567"/>
      <c r="BK184" s="567"/>
      <c r="BL184" s="567"/>
      <c r="BM184" s="567"/>
      <c r="BN184" s="567"/>
      <c r="BO184" s="567"/>
      <c r="BP184" s="567"/>
      <c r="BQ184" s="567"/>
      <c r="BR184" s="567"/>
      <c r="BS184" s="567"/>
      <c r="BT184" s="567"/>
      <c r="BU184" s="567"/>
      <c r="BV184" s="567"/>
      <c r="BW184" s="567"/>
      <c r="BX184" s="567"/>
      <c r="BY184" s="567"/>
      <c r="BZ184" s="567"/>
      <c r="CA184" s="567"/>
      <c r="CB184" s="567"/>
      <c r="CC184" s="567"/>
      <c r="CD184" s="567"/>
      <c r="CE184" s="567"/>
      <c r="CF184" s="567"/>
      <c r="CG184" s="567"/>
      <c r="CH184" s="567"/>
      <c r="CI184" s="567"/>
      <c r="CJ184" s="567"/>
      <c r="CK184" s="567"/>
      <c r="CL184" s="567"/>
      <c r="CM184" s="567"/>
      <c r="CN184" s="567"/>
      <c r="CO184" s="567"/>
      <c r="CP184" s="567"/>
      <c r="CQ184" s="567"/>
      <c r="CR184" s="567"/>
      <c r="CS184" s="567"/>
      <c r="CT184" s="567"/>
      <c r="CU184" s="567"/>
      <c r="CV184" s="567"/>
      <c r="CW184" s="567"/>
      <c r="CX184" s="567"/>
      <c r="CY184" s="567"/>
      <c r="CZ184" s="567"/>
      <c r="DA184" s="567"/>
      <c r="DB184" s="567"/>
      <c r="DC184" s="567"/>
      <c r="DD184" s="567"/>
      <c r="DE184" s="567"/>
      <c r="DF184" s="567"/>
      <c r="DG184" s="567"/>
      <c r="DH184" s="567"/>
      <c r="DI184" s="567"/>
      <c r="DJ184" s="567"/>
      <c r="DK184" s="567"/>
      <c r="DL184" s="567"/>
      <c r="DM184" s="567"/>
      <c r="DN184" s="567"/>
      <c r="DO184" s="567"/>
      <c r="DP184" s="567"/>
      <c r="DQ184" s="567"/>
    </row>
    <row r="185" spans="1:121" s="487" customFormat="1">
      <c r="A185" s="588"/>
      <c r="B185" s="588"/>
      <c r="C185" s="588"/>
      <c r="D185" s="588"/>
      <c r="E185" s="588"/>
      <c r="F185" s="588"/>
      <c r="G185" s="588"/>
      <c r="H185" s="588"/>
      <c r="I185" s="588"/>
      <c r="J185" s="588"/>
      <c r="K185" s="588"/>
      <c r="L185" s="702"/>
      <c r="M185" s="888"/>
      <c r="N185" s="888"/>
      <c r="O185" s="888"/>
      <c r="P185" s="888"/>
      <c r="Q185" s="888"/>
      <c r="R185" s="888"/>
      <c r="S185" s="888"/>
      <c r="T185" s="888"/>
      <c r="U185" s="888"/>
      <c r="V185" s="888"/>
      <c r="W185" s="888"/>
      <c r="X185" s="888"/>
      <c r="Y185" s="888"/>
      <c r="Z185" s="888"/>
      <c r="AA185" s="888"/>
      <c r="AB185" s="888"/>
      <c r="AC185" s="888"/>
      <c r="AD185" s="888"/>
      <c r="AE185" s="888"/>
      <c r="AF185" s="888"/>
      <c r="AG185" s="888"/>
      <c r="AH185" s="888"/>
      <c r="AI185" s="888"/>
      <c r="AJ185" s="888"/>
      <c r="AK185" s="888"/>
      <c r="AL185" s="888"/>
      <c r="AM185" s="888"/>
      <c r="AN185" s="888"/>
      <c r="AO185" s="888"/>
      <c r="AP185" s="888"/>
      <c r="AQ185" s="888"/>
      <c r="AR185" s="888"/>
      <c r="AS185" s="888"/>
      <c r="AT185" s="888"/>
      <c r="AU185" s="888"/>
      <c r="AV185" s="888"/>
      <c r="AW185" s="888"/>
      <c r="AX185" s="888"/>
      <c r="AY185" s="888"/>
      <c r="AZ185" s="567"/>
      <c r="BA185" s="567"/>
      <c r="BB185" s="567"/>
      <c r="BC185" s="567"/>
      <c r="BD185" s="567"/>
      <c r="BE185" s="567"/>
      <c r="BF185" s="567"/>
      <c r="BG185" s="567"/>
      <c r="BH185" s="567"/>
      <c r="BI185" s="567"/>
      <c r="BJ185" s="567"/>
      <c r="BK185" s="567"/>
      <c r="BL185" s="567"/>
      <c r="BM185" s="567"/>
      <c r="BN185" s="567"/>
      <c r="BO185" s="567"/>
      <c r="BP185" s="567"/>
      <c r="BQ185" s="567"/>
      <c r="BR185" s="567"/>
      <c r="BS185" s="567"/>
      <c r="BT185" s="567"/>
      <c r="BU185" s="567"/>
      <c r="BV185" s="567"/>
      <c r="BW185" s="567"/>
      <c r="BX185" s="567"/>
      <c r="BY185" s="567"/>
      <c r="BZ185" s="567"/>
      <c r="CA185" s="567"/>
      <c r="CB185" s="567"/>
      <c r="CC185" s="567"/>
      <c r="CD185" s="567"/>
      <c r="CE185" s="567"/>
      <c r="CF185" s="567"/>
      <c r="CG185" s="567"/>
      <c r="CH185" s="567"/>
      <c r="CI185" s="567"/>
      <c r="CJ185" s="567"/>
      <c r="CK185" s="567"/>
      <c r="CL185" s="567"/>
      <c r="CM185" s="567"/>
      <c r="CN185" s="567"/>
      <c r="CO185" s="567"/>
      <c r="CP185" s="567"/>
      <c r="CQ185" s="567"/>
      <c r="CR185" s="567"/>
      <c r="CS185" s="567"/>
      <c r="CT185" s="567"/>
      <c r="CU185" s="567"/>
      <c r="CV185" s="567"/>
      <c r="CW185" s="567"/>
      <c r="CX185" s="567"/>
      <c r="CY185" s="567"/>
      <c r="CZ185" s="567"/>
      <c r="DA185" s="567"/>
      <c r="DB185" s="567"/>
      <c r="DC185" s="567"/>
      <c r="DD185" s="567"/>
      <c r="DE185" s="567"/>
      <c r="DF185" s="567"/>
      <c r="DG185" s="567"/>
      <c r="DH185" s="567"/>
      <c r="DI185" s="567"/>
      <c r="DJ185" s="567"/>
      <c r="DK185" s="567"/>
      <c r="DL185" s="567"/>
      <c r="DM185" s="567"/>
      <c r="DN185" s="567"/>
      <c r="DO185" s="567"/>
      <c r="DP185" s="567"/>
      <c r="DQ185" s="567"/>
    </row>
    <row r="186" spans="1:121" s="487" customFormat="1">
      <c r="A186" s="588"/>
      <c r="B186" s="588"/>
      <c r="C186" s="588"/>
      <c r="D186" s="588"/>
      <c r="E186" s="588"/>
      <c r="F186" s="588"/>
      <c r="G186" s="588"/>
      <c r="H186" s="588"/>
      <c r="I186" s="588"/>
      <c r="J186" s="588"/>
      <c r="K186" s="588"/>
      <c r="L186" s="702"/>
      <c r="M186" s="888"/>
      <c r="N186" s="888"/>
      <c r="O186" s="888"/>
      <c r="P186" s="888"/>
      <c r="Q186" s="888"/>
      <c r="R186" s="888"/>
      <c r="S186" s="888"/>
      <c r="T186" s="888"/>
      <c r="U186" s="888"/>
      <c r="V186" s="888"/>
      <c r="W186" s="888"/>
      <c r="X186" s="888"/>
      <c r="Y186" s="888"/>
      <c r="Z186" s="888"/>
      <c r="AA186" s="888"/>
      <c r="AB186" s="888"/>
      <c r="AC186" s="888"/>
      <c r="AD186" s="888"/>
      <c r="AE186" s="888"/>
      <c r="AF186" s="888"/>
      <c r="AG186" s="888"/>
      <c r="AH186" s="888"/>
      <c r="AI186" s="888"/>
      <c r="AJ186" s="888"/>
      <c r="AK186" s="888"/>
      <c r="AL186" s="888"/>
      <c r="AM186" s="888"/>
      <c r="AN186" s="888"/>
      <c r="AO186" s="888"/>
      <c r="AP186" s="888"/>
      <c r="AQ186" s="888"/>
      <c r="AR186" s="888"/>
      <c r="AS186" s="888"/>
      <c r="AT186" s="888"/>
      <c r="AU186" s="888"/>
      <c r="AV186" s="888"/>
      <c r="AW186" s="888"/>
      <c r="AX186" s="888"/>
      <c r="AY186" s="888"/>
      <c r="AZ186" s="567"/>
      <c r="BA186" s="567"/>
      <c r="BB186" s="567"/>
      <c r="BC186" s="567"/>
      <c r="BD186" s="567"/>
      <c r="BE186" s="567"/>
      <c r="BF186" s="567"/>
      <c r="BG186" s="567"/>
      <c r="BH186" s="567"/>
      <c r="BI186" s="567"/>
      <c r="BJ186" s="567"/>
      <c r="BK186" s="567"/>
      <c r="BL186" s="567"/>
      <c r="BM186" s="567"/>
      <c r="BN186" s="567"/>
      <c r="BO186" s="567"/>
      <c r="BP186" s="567"/>
      <c r="BQ186" s="567"/>
      <c r="BR186" s="567"/>
      <c r="BS186" s="567"/>
      <c r="BT186" s="567"/>
      <c r="BU186" s="567"/>
      <c r="BV186" s="567"/>
      <c r="BW186" s="567"/>
      <c r="BX186" s="567"/>
      <c r="BY186" s="567"/>
      <c r="BZ186" s="567"/>
      <c r="CA186" s="567"/>
      <c r="CB186" s="567"/>
      <c r="CC186" s="567"/>
      <c r="CD186" s="567"/>
      <c r="CE186" s="567"/>
      <c r="CF186" s="567"/>
      <c r="CG186" s="567"/>
      <c r="CH186" s="567"/>
      <c r="CI186" s="567"/>
      <c r="CJ186" s="567"/>
      <c r="CK186" s="567"/>
      <c r="CL186" s="567"/>
      <c r="CM186" s="567"/>
      <c r="CN186" s="567"/>
      <c r="CO186" s="567"/>
      <c r="CP186" s="567"/>
      <c r="CQ186" s="567"/>
      <c r="CR186" s="567"/>
      <c r="CS186" s="567"/>
      <c r="CT186" s="567"/>
      <c r="CU186" s="567"/>
      <c r="CV186" s="567"/>
      <c r="CW186" s="567"/>
      <c r="CX186" s="567"/>
      <c r="CY186" s="567"/>
      <c r="CZ186" s="567"/>
      <c r="DA186" s="567"/>
      <c r="DB186" s="567"/>
      <c r="DC186" s="567"/>
      <c r="DD186" s="567"/>
      <c r="DE186" s="567"/>
      <c r="DF186" s="567"/>
      <c r="DG186" s="567"/>
      <c r="DH186" s="567"/>
      <c r="DI186" s="567"/>
      <c r="DJ186" s="567"/>
      <c r="DK186" s="567"/>
      <c r="DL186" s="567"/>
      <c r="DM186" s="567"/>
      <c r="DN186" s="567"/>
      <c r="DO186" s="567"/>
      <c r="DP186" s="567"/>
      <c r="DQ186" s="567"/>
    </row>
    <row r="187" spans="1:121" s="487" customFormat="1">
      <c r="A187" s="588"/>
      <c r="B187" s="588"/>
      <c r="C187" s="588"/>
      <c r="D187" s="588"/>
      <c r="E187" s="588"/>
      <c r="F187" s="588"/>
      <c r="G187" s="588"/>
      <c r="H187" s="588"/>
      <c r="I187" s="588"/>
      <c r="J187" s="588"/>
      <c r="K187" s="588"/>
      <c r="L187" s="702"/>
      <c r="M187" s="888"/>
      <c r="N187" s="888"/>
      <c r="O187" s="888"/>
      <c r="P187" s="888"/>
      <c r="Q187" s="888"/>
      <c r="R187" s="888"/>
      <c r="S187" s="888"/>
      <c r="T187" s="888"/>
      <c r="U187" s="888"/>
      <c r="V187" s="888"/>
      <c r="W187" s="888"/>
      <c r="X187" s="888"/>
      <c r="Y187" s="888"/>
      <c r="Z187" s="888"/>
      <c r="AA187" s="888"/>
      <c r="AB187" s="888"/>
      <c r="AC187" s="888"/>
      <c r="AD187" s="888"/>
      <c r="AE187" s="888"/>
      <c r="AF187" s="888"/>
      <c r="AG187" s="888"/>
      <c r="AH187" s="888"/>
      <c r="AI187" s="888"/>
      <c r="AJ187" s="888"/>
      <c r="AK187" s="888"/>
      <c r="AL187" s="888"/>
      <c r="AM187" s="888"/>
      <c r="AN187" s="888"/>
      <c r="AO187" s="888"/>
      <c r="AP187" s="888"/>
      <c r="AQ187" s="888"/>
      <c r="AR187" s="888"/>
      <c r="AS187" s="888"/>
      <c r="AT187" s="888"/>
      <c r="AU187" s="888"/>
      <c r="AV187" s="888"/>
      <c r="AW187" s="888"/>
      <c r="AX187" s="888"/>
      <c r="AY187" s="888"/>
      <c r="AZ187" s="567"/>
      <c r="BA187" s="567"/>
      <c r="BB187" s="567"/>
      <c r="BC187" s="567"/>
      <c r="BD187" s="567"/>
      <c r="BE187" s="567"/>
      <c r="BF187" s="567"/>
      <c r="BG187" s="567"/>
      <c r="BH187" s="567"/>
      <c r="BI187" s="567"/>
      <c r="BJ187" s="567"/>
      <c r="BK187" s="567"/>
      <c r="BL187" s="567"/>
      <c r="BM187" s="567"/>
      <c r="BN187" s="567"/>
      <c r="BO187" s="567"/>
      <c r="BP187" s="567"/>
      <c r="BQ187" s="567"/>
      <c r="BR187" s="567"/>
      <c r="BS187" s="567"/>
      <c r="BT187" s="567"/>
      <c r="BU187" s="567"/>
      <c r="BV187" s="567"/>
      <c r="BW187" s="567"/>
      <c r="BX187" s="567"/>
      <c r="BY187" s="567"/>
      <c r="BZ187" s="567"/>
      <c r="CA187" s="567"/>
      <c r="CB187" s="567"/>
      <c r="CC187" s="567"/>
      <c r="CD187" s="567"/>
      <c r="CE187" s="567"/>
      <c r="CF187" s="567"/>
      <c r="CG187" s="567"/>
      <c r="CH187" s="567"/>
      <c r="CI187" s="567"/>
      <c r="CJ187" s="567"/>
      <c r="CK187" s="567"/>
      <c r="CL187" s="567"/>
      <c r="CM187" s="567"/>
      <c r="CN187" s="567"/>
      <c r="CO187" s="567"/>
      <c r="CP187" s="567"/>
      <c r="CQ187" s="567"/>
      <c r="CR187" s="567"/>
      <c r="CS187" s="567"/>
      <c r="CT187" s="567"/>
      <c r="CU187" s="567"/>
      <c r="CV187" s="567"/>
      <c r="CW187" s="567"/>
      <c r="CX187" s="567"/>
      <c r="CY187" s="567"/>
      <c r="CZ187" s="567"/>
      <c r="DA187" s="567"/>
      <c r="DB187" s="567"/>
      <c r="DC187" s="567"/>
      <c r="DD187" s="567"/>
      <c r="DE187" s="567"/>
      <c r="DF187" s="567"/>
      <c r="DG187" s="567"/>
      <c r="DH187" s="567"/>
      <c r="DI187" s="567"/>
      <c r="DJ187" s="567"/>
      <c r="DK187" s="567"/>
      <c r="DL187" s="567"/>
      <c r="DM187" s="567"/>
      <c r="DN187" s="567"/>
      <c r="DO187" s="567"/>
      <c r="DP187" s="567"/>
      <c r="DQ187" s="567"/>
    </row>
    <row r="188" spans="1:121" s="487" customFormat="1">
      <c r="A188" s="588"/>
      <c r="B188" s="588"/>
      <c r="C188" s="588"/>
      <c r="D188" s="588"/>
      <c r="E188" s="588"/>
      <c r="F188" s="588"/>
      <c r="G188" s="588"/>
      <c r="H188" s="588"/>
      <c r="I188" s="588"/>
      <c r="J188" s="588"/>
      <c r="K188" s="588"/>
      <c r="L188" s="702"/>
      <c r="M188" s="888"/>
      <c r="N188" s="888"/>
      <c r="O188" s="888"/>
      <c r="P188" s="888"/>
      <c r="Q188" s="888"/>
      <c r="R188" s="888"/>
      <c r="S188" s="888"/>
      <c r="T188" s="888"/>
      <c r="U188" s="888"/>
      <c r="V188" s="888"/>
      <c r="W188" s="888"/>
      <c r="X188" s="888"/>
      <c r="Y188" s="888"/>
      <c r="Z188" s="888"/>
      <c r="AA188" s="888"/>
      <c r="AB188" s="888"/>
      <c r="AC188" s="888"/>
      <c r="AD188" s="888"/>
      <c r="AE188" s="888"/>
      <c r="AF188" s="888"/>
      <c r="AG188" s="888"/>
      <c r="AH188" s="888"/>
      <c r="AI188" s="888"/>
      <c r="AJ188" s="888"/>
      <c r="AK188" s="888"/>
      <c r="AL188" s="888"/>
      <c r="AM188" s="888"/>
      <c r="AN188" s="888"/>
      <c r="AO188" s="888"/>
      <c r="AP188" s="888"/>
      <c r="AQ188" s="888"/>
      <c r="AR188" s="888"/>
      <c r="AS188" s="888"/>
      <c r="AT188" s="888"/>
      <c r="AU188" s="888"/>
      <c r="AV188" s="888"/>
      <c r="AW188" s="888"/>
      <c r="AX188" s="888"/>
      <c r="AY188" s="888"/>
      <c r="AZ188" s="567"/>
      <c r="BA188" s="567"/>
      <c r="BB188" s="567"/>
      <c r="BC188" s="567"/>
      <c r="BD188" s="567"/>
      <c r="BE188" s="567"/>
      <c r="BF188" s="567"/>
      <c r="BG188" s="567"/>
      <c r="BH188" s="567"/>
      <c r="BI188" s="567"/>
      <c r="BJ188" s="567"/>
      <c r="BK188" s="567"/>
      <c r="BL188" s="567"/>
      <c r="BM188" s="567"/>
      <c r="BN188" s="567"/>
      <c r="BO188" s="567"/>
      <c r="BP188" s="567"/>
      <c r="BQ188" s="567"/>
      <c r="BR188" s="567"/>
      <c r="BS188" s="567"/>
      <c r="BT188" s="567"/>
      <c r="BU188" s="567"/>
      <c r="BV188" s="567"/>
      <c r="BW188" s="567"/>
      <c r="BX188" s="567"/>
      <c r="BY188" s="567"/>
      <c r="BZ188" s="567"/>
      <c r="CA188" s="567"/>
      <c r="CB188" s="567"/>
      <c r="CC188" s="567"/>
      <c r="CD188" s="567"/>
      <c r="CE188" s="567"/>
      <c r="CF188" s="567"/>
      <c r="CG188" s="567"/>
      <c r="CH188" s="567"/>
      <c r="CI188" s="567"/>
      <c r="CJ188" s="567"/>
      <c r="CK188" s="567"/>
      <c r="CL188" s="567"/>
      <c r="CM188" s="567"/>
      <c r="CN188" s="567"/>
      <c r="CO188" s="567"/>
      <c r="CP188" s="567"/>
      <c r="CQ188" s="567"/>
      <c r="CR188" s="567"/>
      <c r="CS188" s="567"/>
      <c r="CT188" s="567"/>
      <c r="CU188" s="567"/>
      <c r="CV188" s="567"/>
      <c r="CW188" s="567"/>
      <c r="CX188" s="567"/>
      <c r="CY188" s="567"/>
      <c r="CZ188" s="567"/>
      <c r="DA188" s="567"/>
      <c r="DB188" s="567"/>
      <c r="DC188" s="567"/>
      <c r="DD188" s="567"/>
      <c r="DE188" s="567"/>
      <c r="DF188" s="567"/>
      <c r="DG188" s="567"/>
      <c r="DH188" s="567"/>
      <c r="DI188" s="567"/>
      <c r="DJ188" s="567"/>
      <c r="DK188" s="567"/>
      <c r="DL188" s="567"/>
      <c r="DM188" s="567"/>
      <c r="DN188" s="567"/>
      <c r="DO188" s="567"/>
      <c r="DP188" s="567"/>
      <c r="DQ188" s="567"/>
    </row>
    <row r="189" spans="1:121" s="487" customFormat="1">
      <c r="A189" s="588"/>
      <c r="B189" s="588"/>
      <c r="C189" s="588"/>
      <c r="D189" s="588"/>
      <c r="E189" s="588"/>
      <c r="F189" s="588"/>
      <c r="G189" s="588"/>
      <c r="H189" s="588"/>
      <c r="I189" s="588"/>
      <c r="J189" s="588"/>
      <c r="K189" s="588"/>
      <c r="L189" s="702"/>
      <c r="M189" s="888"/>
      <c r="N189" s="888"/>
      <c r="O189" s="888"/>
      <c r="P189" s="888"/>
      <c r="Q189" s="888"/>
      <c r="R189" s="888"/>
      <c r="S189" s="888"/>
      <c r="T189" s="888"/>
      <c r="U189" s="888"/>
      <c r="V189" s="888"/>
      <c r="W189" s="888"/>
      <c r="X189" s="888"/>
      <c r="Y189" s="888"/>
      <c r="Z189" s="888"/>
      <c r="AA189" s="888"/>
      <c r="AB189" s="888"/>
      <c r="AC189" s="888"/>
      <c r="AD189" s="888"/>
      <c r="AE189" s="888"/>
      <c r="AF189" s="888"/>
      <c r="AG189" s="888"/>
      <c r="AH189" s="888"/>
      <c r="AI189" s="888"/>
      <c r="AJ189" s="888"/>
      <c r="AK189" s="888"/>
      <c r="AL189" s="888"/>
      <c r="AM189" s="888"/>
      <c r="AN189" s="888"/>
      <c r="AO189" s="888"/>
      <c r="AP189" s="888"/>
      <c r="AQ189" s="888"/>
      <c r="AR189" s="888"/>
      <c r="AS189" s="888"/>
      <c r="AT189" s="888"/>
      <c r="AU189" s="888"/>
      <c r="AV189" s="888"/>
      <c r="AW189" s="888"/>
      <c r="AX189" s="888"/>
      <c r="AY189" s="888"/>
      <c r="AZ189" s="567"/>
      <c r="BA189" s="567"/>
      <c r="BB189" s="567"/>
      <c r="BC189" s="567"/>
      <c r="BD189" s="567"/>
      <c r="BE189" s="567"/>
      <c r="BF189" s="567"/>
      <c r="BG189" s="567"/>
      <c r="BH189" s="567"/>
      <c r="BI189" s="567"/>
      <c r="BJ189" s="567"/>
      <c r="BK189" s="567"/>
      <c r="BL189" s="567"/>
      <c r="BM189" s="567"/>
      <c r="BN189" s="567"/>
      <c r="BO189" s="567"/>
      <c r="BP189" s="567"/>
      <c r="BQ189" s="567"/>
      <c r="BR189" s="567"/>
      <c r="BS189" s="567"/>
      <c r="BT189" s="567"/>
      <c r="BU189" s="567"/>
      <c r="BV189" s="567"/>
      <c r="BW189" s="567"/>
      <c r="BX189" s="567"/>
      <c r="BY189" s="567"/>
      <c r="BZ189" s="567"/>
      <c r="CA189" s="567"/>
      <c r="CB189" s="567"/>
      <c r="CC189" s="567"/>
      <c r="CD189" s="567"/>
      <c r="CE189" s="567"/>
      <c r="CF189" s="567"/>
      <c r="CG189" s="567"/>
      <c r="CH189" s="567"/>
      <c r="CI189" s="567"/>
      <c r="CJ189" s="567"/>
      <c r="CK189" s="567"/>
      <c r="CL189" s="567"/>
      <c r="CM189" s="567"/>
      <c r="CN189" s="567"/>
      <c r="CO189" s="567"/>
      <c r="CP189" s="567"/>
      <c r="CQ189" s="567"/>
      <c r="CR189" s="567"/>
      <c r="CS189" s="567"/>
      <c r="CT189" s="567"/>
      <c r="CU189" s="567"/>
      <c r="CV189" s="567"/>
      <c r="CW189" s="567"/>
      <c r="CX189" s="567"/>
      <c r="CY189" s="567"/>
      <c r="CZ189" s="567"/>
      <c r="DA189" s="567"/>
      <c r="DB189" s="567"/>
      <c r="DC189" s="567"/>
      <c r="DD189" s="567"/>
      <c r="DE189" s="567"/>
      <c r="DF189" s="567"/>
      <c r="DG189" s="567"/>
      <c r="DH189" s="567"/>
      <c r="DI189" s="567"/>
      <c r="DJ189" s="567"/>
      <c r="DK189" s="567"/>
      <c r="DL189" s="567"/>
      <c r="DM189" s="567"/>
      <c r="DN189" s="567"/>
      <c r="DO189" s="567"/>
      <c r="DP189" s="567"/>
      <c r="DQ189" s="567"/>
    </row>
    <row r="190" spans="1:121" s="487" customFormat="1">
      <c r="A190" s="588"/>
      <c r="B190" s="588"/>
      <c r="C190" s="588"/>
      <c r="D190" s="588"/>
      <c r="E190" s="588"/>
      <c r="F190" s="588"/>
      <c r="G190" s="588"/>
      <c r="H190" s="588"/>
      <c r="I190" s="588"/>
      <c r="J190" s="588"/>
      <c r="K190" s="588"/>
      <c r="L190" s="702"/>
      <c r="M190" s="888"/>
      <c r="N190" s="888"/>
      <c r="O190" s="888"/>
      <c r="P190" s="888"/>
      <c r="Q190" s="888"/>
      <c r="R190" s="888"/>
      <c r="S190" s="888"/>
      <c r="T190" s="888"/>
      <c r="U190" s="888"/>
      <c r="V190" s="888"/>
      <c r="W190" s="888"/>
      <c r="X190" s="888"/>
      <c r="Y190" s="888"/>
      <c r="Z190" s="888"/>
      <c r="AA190" s="888"/>
      <c r="AB190" s="888"/>
      <c r="AC190" s="888"/>
      <c r="AD190" s="888"/>
      <c r="AE190" s="888"/>
      <c r="AF190" s="888"/>
      <c r="AG190" s="888"/>
      <c r="AH190" s="888"/>
      <c r="AI190" s="888"/>
      <c r="AJ190" s="888"/>
      <c r="AK190" s="888"/>
      <c r="AL190" s="888"/>
      <c r="AM190" s="888"/>
      <c r="AN190" s="888"/>
      <c r="AO190" s="888"/>
      <c r="AP190" s="888"/>
      <c r="AQ190" s="888"/>
      <c r="AR190" s="888"/>
      <c r="AS190" s="888"/>
      <c r="AT190" s="888"/>
      <c r="AU190" s="888"/>
      <c r="AV190" s="888"/>
      <c r="AW190" s="888"/>
      <c r="AX190" s="888"/>
      <c r="AY190" s="888"/>
      <c r="AZ190" s="567"/>
      <c r="BA190" s="567"/>
      <c r="BB190" s="567"/>
      <c r="BC190" s="567"/>
      <c r="BD190" s="567"/>
      <c r="BE190" s="567"/>
      <c r="BF190" s="567"/>
      <c r="BG190" s="567"/>
      <c r="BH190" s="567"/>
      <c r="BI190" s="567"/>
      <c r="BJ190" s="567"/>
      <c r="BK190" s="567"/>
      <c r="BL190" s="567"/>
      <c r="BM190" s="567"/>
      <c r="BN190" s="567"/>
      <c r="BO190" s="567"/>
      <c r="BP190" s="567"/>
      <c r="BQ190" s="567"/>
      <c r="BR190" s="567"/>
      <c r="BS190" s="567"/>
      <c r="BT190" s="567"/>
      <c r="BU190" s="567"/>
      <c r="BV190" s="567"/>
      <c r="BW190" s="567"/>
      <c r="BX190" s="567"/>
      <c r="BY190" s="567"/>
      <c r="BZ190" s="567"/>
      <c r="CA190" s="567"/>
      <c r="CB190" s="567"/>
      <c r="CC190" s="567"/>
      <c r="CD190" s="567"/>
      <c r="CE190" s="567"/>
      <c r="CF190" s="567"/>
      <c r="CG190" s="567"/>
      <c r="CH190" s="567"/>
      <c r="CI190" s="567"/>
      <c r="CJ190" s="567"/>
      <c r="CK190" s="567"/>
      <c r="CL190" s="567"/>
      <c r="CM190" s="567"/>
      <c r="CN190" s="567"/>
      <c r="CO190" s="567"/>
      <c r="CP190" s="567"/>
      <c r="CQ190" s="567"/>
      <c r="CR190" s="567"/>
      <c r="CS190" s="567"/>
      <c r="CT190" s="567"/>
      <c r="CU190" s="567"/>
      <c r="CV190" s="567"/>
      <c r="CW190" s="567"/>
      <c r="CX190" s="567"/>
      <c r="CY190" s="567"/>
      <c r="CZ190" s="567"/>
      <c r="DA190" s="567"/>
      <c r="DB190" s="567"/>
      <c r="DC190" s="567"/>
      <c r="DD190" s="567"/>
      <c r="DE190" s="567"/>
      <c r="DF190" s="567"/>
      <c r="DG190" s="567"/>
      <c r="DH190" s="567"/>
      <c r="DI190" s="567"/>
      <c r="DJ190" s="567"/>
      <c r="DK190" s="567"/>
      <c r="DL190" s="567"/>
      <c r="DM190" s="567"/>
      <c r="DN190" s="567"/>
      <c r="DO190" s="567"/>
      <c r="DP190" s="567"/>
      <c r="DQ190" s="567"/>
    </row>
    <row r="191" spans="1:121" s="487" customFormat="1">
      <c r="A191" s="588"/>
      <c r="B191" s="588"/>
      <c r="C191" s="588"/>
      <c r="D191" s="588"/>
      <c r="E191" s="588"/>
      <c r="F191" s="588"/>
      <c r="G191" s="588"/>
      <c r="H191" s="588"/>
      <c r="I191" s="588"/>
      <c r="J191" s="588"/>
      <c r="K191" s="588"/>
      <c r="L191" s="702"/>
      <c r="M191" s="888"/>
      <c r="N191" s="888"/>
      <c r="O191" s="888"/>
      <c r="P191" s="888"/>
      <c r="Q191" s="888"/>
      <c r="R191" s="888"/>
      <c r="S191" s="888"/>
      <c r="T191" s="888"/>
      <c r="U191" s="888"/>
      <c r="V191" s="888"/>
      <c r="W191" s="888"/>
      <c r="X191" s="888"/>
      <c r="Y191" s="888"/>
      <c r="Z191" s="888"/>
      <c r="AA191" s="888"/>
      <c r="AB191" s="888"/>
      <c r="AC191" s="888"/>
      <c r="AD191" s="888"/>
      <c r="AE191" s="888"/>
      <c r="AF191" s="888"/>
      <c r="AG191" s="888"/>
      <c r="AH191" s="888"/>
      <c r="AI191" s="888"/>
      <c r="AJ191" s="888"/>
      <c r="AK191" s="888"/>
      <c r="AL191" s="888"/>
      <c r="AM191" s="888"/>
      <c r="AN191" s="888"/>
      <c r="AO191" s="888"/>
      <c r="AP191" s="888"/>
      <c r="AQ191" s="888"/>
      <c r="AR191" s="888"/>
      <c r="AS191" s="888"/>
      <c r="AT191" s="888"/>
      <c r="AU191" s="888"/>
      <c r="AV191" s="888"/>
      <c r="AW191" s="888"/>
      <c r="AX191" s="888"/>
      <c r="AY191" s="888"/>
      <c r="AZ191" s="567"/>
      <c r="BA191" s="567"/>
      <c r="BB191" s="567"/>
      <c r="BC191" s="567"/>
      <c r="BD191" s="567"/>
      <c r="BE191" s="567"/>
      <c r="BF191" s="567"/>
      <c r="BG191" s="567"/>
      <c r="BH191" s="567"/>
      <c r="BI191" s="567"/>
      <c r="BJ191" s="567"/>
      <c r="BK191" s="567"/>
      <c r="BL191" s="567"/>
      <c r="BM191" s="567"/>
      <c r="BN191" s="567"/>
      <c r="BO191" s="567"/>
      <c r="BP191" s="567"/>
      <c r="BQ191" s="567"/>
      <c r="BR191" s="567"/>
      <c r="BS191" s="567"/>
      <c r="BT191" s="567"/>
      <c r="BU191" s="567"/>
      <c r="BV191" s="567"/>
      <c r="BW191" s="567"/>
      <c r="BX191" s="567"/>
      <c r="BY191" s="567"/>
      <c r="BZ191" s="567"/>
      <c r="CA191" s="567"/>
      <c r="CB191" s="567"/>
      <c r="CC191" s="567"/>
      <c r="CD191" s="567"/>
      <c r="CE191" s="567"/>
      <c r="CF191" s="567"/>
      <c r="CG191" s="567"/>
      <c r="CH191" s="567"/>
      <c r="CI191" s="567"/>
      <c r="CJ191" s="567"/>
      <c r="CK191" s="567"/>
      <c r="CL191" s="567"/>
      <c r="CM191" s="567"/>
      <c r="CN191" s="567"/>
      <c r="CO191" s="567"/>
      <c r="CP191" s="567"/>
      <c r="CQ191" s="567"/>
      <c r="CR191" s="567"/>
      <c r="CS191" s="567"/>
      <c r="CT191" s="567"/>
      <c r="CU191" s="567"/>
      <c r="CV191" s="567"/>
      <c r="CW191" s="567"/>
      <c r="CX191" s="567"/>
      <c r="CY191" s="567"/>
      <c r="CZ191" s="567"/>
      <c r="DA191" s="567"/>
      <c r="DB191" s="567"/>
      <c r="DC191" s="567"/>
      <c r="DD191" s="567"/>
      <c r="DE191" s="567"/>
      <c r="DF191" s="567"/>
      <c r="DG191" s="567"/>
      <c r="DH191" s="567"/>
      <c r="DI191" s="567"/>
      <c r="DJ191" s="567"/>
      <c r="DK191" s="567"/>
      <c r="DL191" s="567"/>
      <c r="DM191" s="567"/>
      <c r="DN191" s="567"/>
      <c r="DO191" s="567"/>
      <c r="DP191" s="567"/>
      <c r="DQ191" s="567"/>
    </row>
    <row r="192" spans="1:121" s="487" customFormat="1">
      <c r="A192" s="588"/>
      <c r="B192" s="588"/>
      <c r="C192" s="588"/>
      <c r="D192" s="588"/>
      <c r="E192" s="588"/>
      <c r="F192" s="588"/>
      <c r="G192" s="588"/>
      <c r="H192" s="588"/>
      <c r="I192" s="588"/>
      <c r="J192" s="588"/>
      <c r="K192" s="588"/>
      <c r="L192" s="702"/>
      <c r="M192" s="888"/>
      <c r="N192" s="888"/>
      <c r="O192" s="888"/>
      <c r="P192" s="888"/>
      <c r="Q192" s="888"/>
      <c r="R192" s="888"/>
      <c r="S192" s="888"/>
      <c r="T192" s="888"/>
      <c r="U192" s="888"/>
      <c r="V192" s="888"/>
      <c r="W192" s="888"/>
      <c r="X192" s="888"/>
      <c r="Y192" s="888"/>
      <c r="Z192" s="888"/>
      <c r="AA192" s="888"/>
      <c r="AB192" s="888"/>
      <c r="AC192" s="888"/>
      <c r="AD192" s="888"/>
      <c r="AE192" s="888"/>
      <c r="AF192" s="888"/>
      <c r="AG192" s="888"/>
      <c r="AH192" s="888"/>
      <c r="AI192" s="888"/>
      <c r="AJ192" s="888"/>
      <c r="AK192" s="888"/>
      <c r="AL192" s="888"/>
      <c r="AM192" s="888"/>
      <c r="AN192" s="888"/>
      <c r="AO192" s="888"/>
      <c r="AP192" s="888"/>
      <c r="AQ192" s="888"/>
      <c r="AR192" s="888"/>
      <c r="AS192" s="888"/>
      <c r="AT192" s="888"/>
      <c r="AU192" s="888"/>
      <c r="AV192" s="888"/>
      <c r="AW192" s="888"/>
      <c r="AX192" s="888"/>
      <c r="AY192" s="888"/>
      <c r="AZ192" s="567"/>
      <c r="BA192" s="567"/>
      <c r="BB192" s="567"/>
      <c r="BC192" s="567"/>
      <c r="BD192" s="567"/>
      <c r="BE192" s="567"/>
      <c r="BF192" s="567"/>
      <c r="BG192" s="567"/>
      <c r="BH192" s="567"/>
      <c r="BI192" s="567"/>
      <c r="BJ192" s="567"/>
      <c r="BK192" s="567"/>
      <c r="BL192" s="567"/>
      <c r="BM192" s="567"/>
      <c r="BN192" s="567"/>
      <c r="BO192" s="567"/>
      <c r="BP192" s="567"/>
      <c r="BQ192" s="567"/>
      <c r="BR192" s="567"/>
      <c r="BS192" s="567"/>
      <c r="BT192" s="567"/>
      <c r="BU192" s="567"/>
      <c r="BV192" s="567"/>
      <c r="BW192" s="567"/>
      <c r="BX192" s="567"/>
      <c r="BY192" s="567"/>
      <c r="BZ192" s="567"/>
      <c r="CA192" s="567"/>
      <c r="CB192" s="567"/>
      <c r="CC192" s="567"/>
      <c r="CD192" s="567"/>
      <c r="CE192" s="567"/>
      <c r="CF192" s="567"/>
      <c r="CG192" s="567"/>
      <c r="CH192" s="567"/>
      <c r="CI192" s="567"/>
      <c r="CJ192" s="567"/>
      <c r="CK192" s="567"/>
      <c r="CL192" s="567"/>
      <c r="CM192" s="567"/>
      <c r="CN192" s="567"/>
      <c r="CO192" s="567"/>
      <c r="CP192" s="567"/>
      <c r="CQ192" s="567"/>
      <c r="CR192" s="567"/>
      <c r="CS192" s="567"/>
      <c r="CT192" s="567"/>
      <c r="CU192" s="567"/>
      <c r="CV192" s="567"/>
      <c r="CW192" s="567"/>
      <c r="CX192" s="567"/>
      <c r="CY192" s="567"/>
      <c r="CZ192" s="567"/>
      <c r="DA192" s="567"/>
      <c r="DB192" s="567"/>
      <c r="DC192" s="567"/>
      <c r="DD192" s="567"/>
      <c r="DE192" s="567"/>
      <c r="DF192" s="567"/>
      <c r="DG192" s="567"/>
      <c r="DH192" s="567"/>
      <c r="DI192" s="567"/>
      <c r="DJ192" s="567"/>
      <c r="DK192" s="567"/>
      <c r="DL192" s="567"/>
      <c r="DM192" s="567"/>
      <c r="DN192" s="567"/>
      <c r="DO192" s="567"/>
      <c r="DP192" s="567"/>
      <c r="DQ192" s="567"/>
    </row>
    <row r="193" spans="1:121" s="487" customFormat="1">
      <c r="A193" s="588"/>
      <c r="B193" s="588"/>
      <c r="C193" s="588"/>
      <c r="D193" s="588"/>
      <c r="E193" s="588"/>
      <c r="F193" s="588"/>
      <c r="G193" s="588"/>
      <c r="H193" s="588"/>
      <c r="I193" s="588"/>
      <c r="J193" s="588"/>
      <c r="K193" s="588"/>
      <c r="L193" s="702"/>
      <c r="M193" s="888"/>
      <c r="N193" s="888"/>
      <c r="O193" s="888"/>
      <c r="P193" s="888"/>
      <c r="Q193" s="888"/>
      <c r="R193" s="888"/>
      <c r="S193" s="888"/>
      <c r="T193" s="888"/>
      <c r="U193" s="888"/>
      <c r="V193" s="888"/>
      <c r="W193" s="888"/>
      <c r="X193" s="888"/>
      <c r="Y193" s="888"/>
      <c r="Z193" s="888"/>
      <c r="AA193" s="888"/>
      <c r="AB193" s="888"/>
      <c r="AC193" s="888"/>
      <c r="AD193" s="888"/>
      <c r="AE193" s="888"/>
      <c r="AF193" s="888"/>
      <c r="AG193" s="888"/>
      <c r="AH193" s="888"/>
      <c r="AI193" s="888"/>
      <c r="AJ193" s="888"/>
      <c r="AK193" s="888"/>
      <c r="AL193" s="888"/>
      <c r="AM193" s="888"/>
      <c r="AN193" s="888"/>
      <c r="AO193" s="888"/>
      <c r="AP193" s="888"/>
      <c r="AQ193" s="888"/>
      <c r="AR193" s="888"/>
      <c r="AS193" s="888"/>
      <c r="AT193" s="888"/>
      <c r="AU193" s="888"/>
      <c r="AV193" s="888"/>
      <c r="AW193" s="888"/>
      <c r="AX193" s="888"/>
      <c r="AY193" s="888"/>
      <c r="AZ193" s="567"/>
      <c r="BA193" s="567"/>
      <c r="BB193" s="567"/>
      <c r="BC193" s="567"/>
      <c r="BD193" s="567"/>
      <c r="BE193" s="567"/>
      <c r="BF193" s="567"/>
      <c r="BG193" s="567"/>
      <c r="BH193" s="567"/>
      <c r="BI193" s="567"/>
      <c r="BJ193" s="567"/>
      <c r="BK193" s="567"/>
      <c r="BL193" s="567"/>
      <c r="BM193" s="567"/>
      <c r="BN193" s="567"/>
      <c r="BO193" s="567"/>
      <c r="BP193" s="567"/>
      <c r="BQ193" s="567"/>
      <c r="BR193" s="567"/>
      <c r="BS193" s="567"/>
      <c r="BT193" s="567"/>
      <c r="BU193" s="567"/>
      <c r="BV193" s="567"/>
      <c r="BW193" s="567"/>
      <c r="BX193" s="567"/>
      <c r="BY193" s="567"/>
      <c r="BZ193" s="567"/>
      <c r="CA193" s="567"/>
      <c r="CB193" s="567"/>
      <c r="CC193" s="567"/>
      <c r="CD193" s="567"/>
      <c r="CE193" s="567"/>
      <c r="CF193" s="567"/>
      <c r="CG193" s="567"/>
      <c r="CH193" s="567"/>
      <c r="CI193" s="567"/>
      <c r="CJ193" s="567"/>
      <c r="CK193" s="567"/>
      <c r="CL193" s="567"/>
      <c r="CM193" s="567"/>
      <c r="CN193" s="567"/>
      <c r="CO193" s="567"/>
      <c r="CP193" s="567"/>
      <c r="CQ193" s="567"/>
      <c r="CR193" s="567"/>
      <c r="CS193" s="567"/>
      <c r="CT193" s="567"/>
      <c r="CU193" s="567"/>
      <c r="CV193" s="567"/>
      <c r="CW193" s="567"/>
      <c r="CX193" s="567"/>
      <c r="CY193" s="567"/>
      <c r="CZ193" s="567"/>
      <c r="DA193" s="567"/>
      <c r="DB193" s="567"/>
      <c r="DC193" s="567"/>
      <c r="DD193" s="567"/>
      <c r="DE193" s="567"/>
      <c r="DF193" s="567"/>
      <c r="DG193" s="567"/>
      <c r="DH193" s="567"/>
      <c r="DI193" s="567"/>
      <c r="DJ193" s="567"/>
      <c r="DK193" s="567"/>
      <c r="DL193" s="567"/>
      <c r="DM193" s="567"/>
      <c r="DN193" s="567"/>
      <c r="DO193" s="567"/>
      <c r="DP193" s="567"/>
      <c r="DQ193" s="567"/>
    </row>
    <row r="194" spans="1:121" s="487" customFormat="1">
      <c r="A194" s="588"/>
      <c r="B194" s="588"/>
      <c r="C194" s="588"/>
      <c r="D194" s="588"/>
      <c r="E194" s="588"/>
      <c r="F194" s="588"/>
      <c r="G194" s="588"/>
      <c r="H194" s="588"/>
      <c r="I194" s="588"/>
      <c r="J194" s="588"/>
      <c r="K194" s="588"/>
      <c r="L194" s="702"/>
      <c r="M194" s="888"/>
      <c r="N194" s="888"/>
      <c r="O194" s="888"/>
      <c r="P194" s="888"/>
      <c r="Q194" s="888"/>
      <c r="R194" s="888"/>
      <c r="S194" s="888"/>
      <c r="T194" s="888"/>
      <c r="U194" s="888"/>
      <c r="V194" s="888"/>
      <c r="W194" s="888"/>
      <c r="X194" s="888"/>
      <c r="Y194" s="888"/>
      <c r="Z194" s="888"/>
      <c r="AA194" s="888"/>
      <c r="AB194" s="888"/>
      <c r="AC194" s="888"/>
      <c r="AD194" s="888"/>
      <c r="AE194" s="888"/>
      <c r="AF194" s="888"/>
      <c r="AG194" s="888"/>
      <c r="AH194" s="888"/>
      <c r="AI194" s="888"/>
      <c r="AJ194" s="888"/>
      <c r="AK194" s="888"/>
      <c r="AL194" s="888"/>
      <c r="AM194" s="888"/>
      <c r="AN194" s="888"/>
      <c r="AO194" s="888"/>
      <c r="AP194" s="888"/>
      <c r="AQ194" s="888"/>
      <c r="AR194" s="888"/>
      <c r="AS194" s="888"/>
      <c r="AT194" s="888"/>
      <c r="AU194" s="888"/>
      <c r="AV194" s="888"/>
      <c r="AW194" s="888"/>
      <c r="AX194" s="888"/>
      <c r="AY194" s="888"/>
      <c r="AZ194" s="567"/>
      <c r="BA194" s="567"/>
      <c r="BB194" s="567"/>
      <c r="BC194" s="567"/>
      <c r="BD194" s="567"/>
      <c r="BE194" s="567"/>
      <c r="BF194" s="567"/>
      <c r="BG194" s="567"/>
      <c r="BH194" s="567"/>
      <c r="BI194" s="567"/>
      <c r="BJ194" s="567"/>
      <c r="BK194" s="567"/>
      <c r="BL194" s="567"/>
      <c r="BM194" s="567"/>
      <c r="BN194" s="567"/>
      <c r="BO194" s="567"/>
      <c r="BP194" s="567"/>
      <c r="BQ194" s="567"/>
      <c r="BR194" s="567"/>
      <c r="BS194" s="567"/>
      <c r="BT194" s="567"/>
      <c r="BU194" s="567"/>
      <c r="BV194" s="567"/>
      <c r="BW194" s="567"/>
      <c r="BX194" s="567"/>
      <c r="BY194" s="567"/>
      <c r="BZ194" s="567"/>
      <c r="CA194" s="567"/>
      <c r="CB194" s="567"/>
      <c r="CC194" s="567"/>
      <c r="CD194" s="567"/>
      <c r="CE194" s="567"/>
      <c r="CF194" s="567"/>
      <c r="CG194" s="567"/>
      <c r="CH194" s="567"/>
      <c r="CI194" s="567"/>
      <c r="CJ194" s="567"/>
      <c r="CK194" s="567"/>
      <c r="CL194" s="567"/>
      <c r="CM194" s="567"/>
      <c r="CN194" s="567"/>
      <c r="CO194" s="567"/>
      <c r="CP194" s="567"/>
      <c r="CQ194" s="567"/>
      <c r="CR194" s="567"/>
      <c r="CS194" s="567"/>
      <c r="CT194" s="567"/>
      <c r="CU194" s="567"/>
      <c r="CV194" s="567"/>
      <c r="CW194" s="567"/>
      <c r="CX194" s="567"/>
      <c r="CY194" s="567"/>
      <c r="CZ194" s="567"/>
      <c r="DA194" s="567"/>
      <c r="DB194" s="567"/>
      <c r="DC194" s="567"/>
      <c r="DD194" s="567"/>
      <c r="DE194" s="567"/>
      <c r="DF194" s="567"/>
      <c r="DG194" s="567"/>
      <c r="DH194" s="567"/>
      <c r="DI194" s="567"/>
      <c r="DJ194" s="567"/>
      <c r="DK194" s="567"/>
      <c r="DL194" s="567"/>
      <c r="DM194" s="567"/>
      <c r="DN194" s="567"/>
      <c r="DO194" s="567"/>
      <c r="DP194" s="567"/>
      <c r="DQ194" s="567"/>
    </row>
    <row r="195" spans="1:121" s="487" customFormat="1">
      <c r="A195" s="588"/>
      <c r="B195" s="588"/>
      <c r="C195" s="588"/>
      <c r="D195" s="588"/>
      <c r="E195" s="588"/>
      <c r="F195" s="588"/>
      <c r="G195" s="588"/>
      <c r="H195" s="588"/>
      <c r="I195" s="588"/>
      <c r="J195" s="588"/>
      <c r="K195" s="588"/>
      <c r="L195" s="702"/>
      <c r="M195" s="888"/>
      <c r="N195" s="888"/>
      <c r="O195" s="888"/>
      <c r="P195" s="888"/>
      <c r="Q195" s="888"/>
      <c r="R195" s="888"/>
      <c r="S195" s="888"/>
      <c r="T195" s="888"/>
      <c r="U195" s="888"/>
      <c r="V195" s="888"/>
      <c r="W195" s="888"/>
      <c r="X195" s="888"/>
      <c r="Y195" s="888"/>
      <c r="Z195" s="888"/>
      <c r="AA195" s="888"/>
      <c r="AB195" s="888"/>
      <c r="AC195" s="888"/>
      <c r="AD195" s="888"/>
      <c r="AE195" s="888"/>
      <c r="AF195" s="888"/>
      <c r="AG195" s="888"/>
      <c r="AH195" s="888"/>
      <c r="AI195" s="888"/>
      <c r="AJ195" s="888"/>
      <c r="AK195" s="888"/>
      <c r="AL195" s="888"/>
      <c r="AM195" s="888"/>
      <c r="AN195" s="888"/>
      <c r="AO195" s="888"/>
      <c r="AP195" s="888"/>
      <c r="AQ195" s="888"/>
      <c r="AR195" s="888"/>
      <c r="AS195" s="888"/>
      <c r="AT195" s="888"/>
      <c r="AU195" s="888"/>
      <c r="AV195" s="888"/>
      <c r="AW195" s="888"/>
      <c r="AX195" s="888"/>
      <c r="AY195" s="888"/>
      <c r="AZ195" s="567"/>
      <c r="BA195" s="567"/>
      <c r="BB195" s="567"/>
      <c r="BC195" s="567"/>
      <c r="BD195" s="567"/>
      <c r="BE195" s="567"/>
      <c r="BF195" s="567"/>
      <c r="BG195" s="567"/>
      <c r="BH195" s="567"/>
      <c r="BI195" s="567"/>
      <c r="BJ195" s="567"/>
      <c r="BK195" s="567"/>
      <c r="BL195" s="567"/>
      <c r="BM195" s="567"/>
      <c r="BN195" s="567"/>
      <c r="BO195" s="567"/>
      <c r="BP195" s="567"/>
      <c r="BQ195" s="567"/>
      <c r="BR195" s="567"/>
      <c r="BS195" s="567"/>
      <c r="BT195" s="567"/>
      <c r="BU195" s="567"/>
      <c r="BV195" s="567"/>
      <c r="BW195" s="567"/>
      <c r="BX195" s="567"/>
      <c r="BY195" s="567"/>
      <c r="BZ195" s="567"/>
      <c r="CA195" s="567"/>
      <c r="CB195" s="567"/>
      <c r="CC195" s="567"/>
      <c r="CD195" s="567"/>
      <c r="CE195" s="567"/>
      <c r="CF195" s="567"/>
      <c r="CG195" s="567"/>
      <c r="CH195" s="567"/>
      <c r="CI195" s="567"/>
      <c r="CJ195" s="567"/>
      <c r="CK195" s="567"/>
      <c r="CL195" s="567"/>
      <c r="CM195" s="567"/>
      <c r="CN195" s="567"/>
      <c r="CO195" s="567"/>
      <c r="CP195" s="567"/>
      <c r="CQ195" s="567"/>
      <c r="CR195" s="567"/>
      <c r="CS195" s="567"/>
      <c r="CT195" s="567"/>
      <c r="CU195" s="567"/>
      <c r="CV195" s="567"/>
      <c r="CW195" s="567"/>
      <c r="CX195" s="567"/>
      <c r="CY195" s="567"/>
      <c r="CZ195" s="567"/>
      <c r="DA195" s="567"/>
      <c r="DB195" s="567"/>
      <c r="DC195" s="567"/>
      <c r="DD195" s="567"/>
      <c r="DE195" s="567"/>
      <c r="DF195" s="567"/>
      <c r="DG195" s="567"/>
      <c r="DH195" s="567"/>
      <c r="DI195" s="567"/>
      <c r="DJ195" s="567"/>
      <c r="DK195" s="567"/>
      <c r="DL195" s="567"/>
      <c r="DM195" s="567"/>
      <c r="DN195" s="567"/>
      <c r="DO195" s="567"/>
      <c r="DP195" s="567"/>
      <c r="DQ195" s="567"/>
    </row>
    <row r="196" spans="1:121" s="487" customFormat="1">
      <c r="A196" s="588"/>
      <c r="B196" s="588"/>
      <c r="C196" s="588"/>
      <c r="D196" s="588"/>
      <c r="E196" s="588"/>
      <c r="F196" s="588"/>
      <c r="G196" s="588"/>
      <c r="H196" s="588"/>
      <c r="I196" s="588"/>
      <c r="J196" s="588"/>
      <c r="K196" s="588"/>
      <c r="L196" s="702"/>
      <c r="M196" s="888"/>
      <c r="N196" s="888"/>
      <c r="O196" s="888"/>
      <c r="P196" s="888"/>
      <c r="Q196" s="888"/>
      <c r="R196" s="888"/>
      <c r="S196" s="888"/>
      <c r="T196" s="888"/>
      <c r="U196" s="888"/>
      <c r="V196" s="888"/>
      <c r="W196" s="888"/>
      <c r="X196" s="888"/>
      <c r="Y196" s="888"/>
      <c r="Z196" s="888"/>
      <c r="AA196" s="888"/>
      <c r="AB196" s="888"/>
      <c r="AC196" s="888"/>
      <c r="AD196" s="888"/>
      <c r="AE196" s="888"/>
      <c r="AF196" s="888"/>
      <c r="AG196" s="888"/>
      <c r="AH196" s="888"/>
      <c r="AI196" s="888"/>
      <c r="AJ196" s="888"/>
      <c r="AK196" s="888"/>
      <c r="AL196" s="888"/>
      <c r="AM196" s="888"/>
      <c r="AN196" s="888"/>
      <c r="AO196" s="888"/>
      <c r="AP196" s="888"/>
      <c r="AQ196" s="888"/>
      <c r="AR196" s="888"/>
      <c r="AS196" s="888"/>
      <c r="AT196" s="888"/>
      <c r="AU196" s="888"/>
      <c r="AV196" s="888"/>
      <c r="AW196" s="888"/>
      <c r="AX196" s="888"/>
      <c r="AY196" s="888"/>
      <c r="AZ196" s="567"/>
      <c r="BA196" s="567"/>
      <c r="BB196" s="567"/>
      <c r="BC196" s="567"/>
      <c r="BD196" s="567"/>
      <c r="BE196" s="567"/>
      <c r="BF196" s="567"/>
      <c r="BG196" s="567"/>
      <c r="BH196" s="567"/>
      <c r="BI196" s="567"/>
      <c r="BJ196" s="567"/>
      <c r="BK196" s="567"/>
      <c r="BL196" s="567"/>
      <c r="BM196" s="567"/>
      <c r="BN196" s="567"/>
      <c r="BO196" s="567"/>
      <c r="BP196" s="567"/>
      <c r="BQ196" s="567"/>
      <c r="BR196" s="567"/>
      <c r="BS196" s="567"/>
      <c r="BT196" s="567"/>
      <c r="BU196" s="567"/>
      <c r="BV196" s="567"/>
      <c r="BW196" s="567"/>
      <c r="BX196" s="567"/>
      <c r="BY196" s="567"/>
      <c r="BZ196" s="567"/>
      <c r="CA196" s="567"/>
      <c r="CB196" s="567"/>
      <c r="CC196" s="567"/>
      <c r="CD196" s="567"/>
      <c r="CE196" s="567"/>
      <c r="CF196" s="567"/>
      <c r="CG196" s="567"/>
      <c r="CH196" s="567"/>
      <c r="CI196" s="567"/>
      <c r="CJ196" s="567"/>
      <c r="CK196" s="567"/>
      <c r="CL196" s="567"/>
      <c r="CM196" s="567"/>
      <c r="CN196" s="567"/>
      <c r="CO196" s="567"/>
      <c r="CP196" s="567"/>
      <c r="CQ196" s="567"/>
      <c r="CR196" s="567"/>
      <c r="CS196" s="567"/>
      <c r="CT196" s="567"/>
      <c r="CU196" s="567"/>
      <c r="CV196" s="567"/>
      <c r="CW196" s="567"/>
      <c r="CX196" s="567"/>
      <c r="CY196" s="567"/>
      <c r="CZ196" s="567"/>
      <c r="DA196" s="567"/>
      <c r="DB196" s="567"/>
      <c r="DC196" s="567"/>
      <c r="DD196" s="567"/>
      <c r="DE196" s="567"/>
      <c r="DF196" s="567"/>
      <c r="DG196" s="567"/>
      <c r="DH196" s="567"/>
      <c r="DI196" s="567"/>
      <c r="DJ196" s="567"/>
      <c r="DK196" s="567"/>
      <c r="DL196" s="567"/>
      <c r="DM196" s="567"/>
      <c r="DN196" s="567"/>
      <c r="DO196" s="567"/>
      <c r="DP196" s="567"/>
      <c r="DQ196" s="567"/>
    </row>
    <row r="197" spans="1:121" s="487" customFormat="1">
      <c r="A197" s="588"/>
      <c r="B197" s="588"/>
      <c r="C197" s="588"/>
      <c r="D197" s="588"/>
      <c r="E197" s="588"/>
      <c r="F197" s="588"/>
      <c r="G197" s="588"/>
      <c r="H197" s="588"/>
      <c r="I197" s="588"/>
      <c r="J197" s="588"/>
      <c r="K197" s="588"/>
      <c r="L197" s="702"/>
      <c r="M197" s="888"/>
      <c r="N197" s="888"/>
      <c r="O197" s="888"/>
      <c r="P197" s="888"/>
      <c r="Q197" s="888"/>
      <c r="R197" s="888"/>
      <c r="S197" s="888"/>
      <c r="T197" s="888"/>
      <c r="U197" s="888"/>
      <c r="V197" s="888"/>
      <c r="W197" s="888"/>
      <c r="X197" s="888"/>
      <c r="Y197" s="888"/>
      <c r="Z197" s="888"/>
      <c r="AA197" s="888"/>
      <c r="AB197" s="888"/>
      <c r="AC197" s="888"/>
      <c r="AD197" s="888"/>
      <c r="AE197" s="888"/>
      <c r="AF197" s="888"/>
      <c r="AG197" s="888"/>
      <c r="AH197" s="888"/>
      <c r="AI197" s="888"/>
      <c r="AJ197" s="888"/>
      <c r="AK197" s="888"/>
      <c r="AL197" s="888"/>
      <c r="AM197" s="888"/>
      <c r="AN197" s="888"/>
      <c r="AO197" s="888"/>
      <c r="AP197" s="888"/>
      <c r="AQ197" s="888"/>
      <c r="AR197" s="888"/>
      <c r="AS197" s="888"/>
      <c r="AT197" s="888"/>
      <c r="AU197" s="888"/>
      <c r="AV197" s="888"/>
      <c r="AW197" s="888"/>
      <c r="AX197" s="888"/>
      <c r="AY197" s="888"/>
      <c r="AZ197" s="567"/>
      <c r="BA197" s="567"/>
      <c r="BB197" s="567"/>
      <c r="BC197" s="567"/>
      <c r="BD197" s="567"/>
      <c r="BE197" s="567"/>
      <c r="BF197" s="567"/>
      <c r="BG197" s="567"/>
      <c r="BH197" s="567"/>
      <c r="BI197" s="567"/>
      <c r="BJ197" s="567"/>
      <c r="BK197" s="567"/>
      <c r="BL197" s="567"/>
      <c r="BM197" s="567"/>
      <c r="BN197" s="567"/>
      <c r="BO197" s="567"/>
      <c r="BP197" s="567"/>
      <c r="BQ197" s="567"/>
      <c r="BR197" s="567"/>
      <c r="BS197" s="567"/>
      <c r="BT197" s="567"/>
      <c r="BU197" s="567"/>
      <c r="BV197" s="567"/>
      <c r="BW197" s="567"/>
      <c r="BX197" s="567"/>
      <c r="BY197" s="567"/>
      <c r="BZ197" s="567"/>
      <c r="CA197" s="567"/>
      <c r="CB197" s="567"/>
      <c r="CC197" s="567"/>
      <c r="CD197" s="567"/>
      <c r="CE197" s="567"/>
      <c r="CF197" s="567"/>
      <c r="CG197" s="567"/>
      <c r="CH197" s="567"/>
      <c r="CI197" s="567"/>
      <c r="CJ197" s="567"/>
      <c r="CK197" s="567"/>
      <c r="CL197" s="567"/>
      <c r="CM197" s="567"/>
      <c r="CN197" s="567"/>
      <c r="CO197" s="567"/>
      <c r="CP197" s="567"/>
      <c r="CQ197" s="567"/>
      <c r="CR197" s="567"/>
      <c r="CS197" s="567"/>
      <c r="CT197" s="567"/>
      <c r="CU197" s="567"/>
      <c r="CV197" s="567"/>
      <c r="CW197" s="567"/>
      <c r="CX197" s="567"/>
      <c r="CY197" s="567"/>
      <c r="CZ197" s="567"/>
      <c r="DA197" s="567"/>
      <c r="DB197" s="567"/>
      <c r="DC197" s="567"/>
      <c r="DD197" s="567"/>
      <c r="DE197" s="567"/>
      <c r="DF197" s="567"/>
      <c r="DG197" s="567"/>
      <c r="DH197" s="567"/>
      <c r="DI197" s="567"/>
      <c r="DJ197" s="567"/>
      <c r="DK197" s="567"/>
      <c r="DL197" s="567"/>
      <c r="DM197" s="567"/>
      <c r="DN197" s="567"/>
      <c r="DO197" s="567"/>
      <c r="DP197" s="567"/>
      <c r="DQ197" s="567"/>
    </row>
    <row r="198" spans="1:121" s="487" customFormat="1">
      <c r="A198" s="588"/>
      <c r="B198" s="588"/>
      <c r="C198" s="588"/>
      <c r="D198" s="588"/>
      <c r="E198" s="588"/>
      <c r="F198" s="588"/>
      <c r="G198" s="588"/>
      <c r="H198" s="588"/>
      <c r="I198" s="588"/>
      <c r="J198" s="588"/>
      <c r="K198" s="588"/>
      <c r="L198" s="702"/>
      <c r="M198" s="888"/>
      <c r="N198" s="888"/>
      <c r="O198" s="888"/>
      <c r="P198" s="888"/>
      <c r="Q198" s="888"/>
      <c r="R198" s="888"/>
      <c r="S198" s="888"/>
      <c r="T198" s="888"/>
      <c r="U198" s="888"/>
      <c r="V198" s="888"/>
      <c r="W198" s="888"/>
      <c r="X198" s="888"/>
      <c r="Y198" s="888"/>
      <c r="Z198" s="888"/>
      <c r="AA198" s="888"/>
      <c r="AB198" s="888"/>
      <c r="AC198" s="888"/>
      <c r="AD198" s="888"/>
      <c r="AE198" s="888"/>
      <c r="AF198" s="888"/>
      <c r="AG198" s="888"/>
      <c r="AH198" s="888"/>
      <c r="AI198" s="888"/>
      <c r="AJ198" s="888"/>
      <c r="AK198" s="888"/>
      <c r="AL198" s="888"/>
      <c r="AM198" s="888"/>
      <c r="AN198" s="888"/>
      <c r="AO198" s="888"/>
      <c r="AP198" s="888"/>
      <c r="AQ198" s="888"/>
      <c r="AR198" s="888"/>
      <c r="AS198" s="888"/>
      <c r="AT198" s="888"/>
      <c r="AU198" s="888"/>
      <c r="AV198" s="888"/>
      <c r="AW198" s="888"/>
      <c r="AX198" s="888"/>
      <c r="AY198" s="888"/>
      <c r="AZ198" s="567"/>
      <c r="BA198" s="567"/>
      <c r="BB198" s="567"/>
      <c r="BC198" s="567"/>
      <c r="BD198" s="567"/>
      <c r="BE198" s="567"/>
      <c r="BF198" s="567"/>
      <c r="BG198" s="567"/>
      <c r="BH198" s="567"/>
      <c r="BI198" s="567"/>
      <c r="BJ198" s="567"/>
      <c r="BK198" s="567"/>
      <c r="BL198" s="567"/>
      <c r="BM198" s="567"/>
      <c r="BN198" s="567"/>
      <c r="BO198" s="567"/>
      <c r="BP198" s="567"/>
      <c r="BQ198" s="567"/>
      <c r="BR198" s="567"/>
      <c r="BS198" s="567"/>
      <c r="BT198" s="567"/>
      <c r="BU198" s="567"/>
      <c r="BV198" s="567"/>
      <c r="BW198" s="567"/>
      <c r="BX198" s="567"/>
      <c r="BY198" s="567"/>
      <c r="BZ198" s="567"/>
      <c r="CA198" s="567"/>
      <c r="CB198" s="567"/>
      <c r="CC198" s="567"/>
      <c r="CD198" s="567"/>
      <c r="CE198" s="567"/>
      <c r="CF198" s="567"/>
      <c r="CG198" s="567"/>
      <c r="CH198" s="567"/>
      <c r="CI198" s="567"/>
      <c r="CJ198" s="567"/>
      <c r="CK198" s="567"/>
      <c r="CL198" s="567"/>
      <c r="CM198" s="567"/>
      <c r="CN198" s="567"/>
      <c r="CO198" s="567"/>
      <c r="CP198" s="567"/>
      <c r="CQ198" s="567"/>
      <c r="CR198" s="567"/>
      <c r="CS198" s="567"/>
      <c r="CT198" s="567"/>
      <c r="CU198" s="567"/>
      <c r="CV198" s="567"/>
      <c r="CW198" s="567"/>
      <c r="CX198" s="567"/>
      <c r="CY198" s="567"/>
      <c r="CZ198" s="567"/>
      <c r="DA198" s="567"/>
      <c r="DB198" s="567"/>
      <c r="DC198" s="567"/>
      <c r="DD198" s="567"/>
      <c r="DE198" s="567"/>
      <c r="DF198" s="567"/>
      <c r="DG198" s="567"/>
      <c r="DH198" s="567"/>
      <c r="DI198" s="567"/>
      <c r="DJ198" s="567"/>
      <c r="DK198" s="567"/>
      <c r="DL198" s="567"/>
      <c r="DM198" s="567"/>
      <c r="DN198" s="567"/>
      <c r="DO198" s="567"/>
      <c r="DP198" s="567"/>
      <c r="DQ198" s="567"/>
    </row>
    <row r="199" spans="1:121" s="487" customFormat="1">
      <c r="A199" s="588"/>
      <c r="B199" s="588"/>
      <c r="C199" s="588"/>
      <c r="D199" s="588"/>
      <c r="E199" s="588"/>
      <c r="F199" s="588"/>
      <c r="G199" s="588"/>
      <c r="H199" s="588"/>
      <c r="I199" s="588"/>
      <c r="J199" s="588"/>
      <c r="K199" s="588"/>
      <c r="L199" s="702"/>
      <c r="M199" s="888"/>
      <c r="N199" s="888"/>
      <c r="O199" s="888"/>
      <c r="P199" s="888"/>
      <c r="Q199" s="888"/>
      <c r="R199" s="888"/>
      <c r="S199" s="888"/>
      <c r="T199" s="888"/>
      <c r="U199" s="888"/>
      <c r="V199" s="888"/>
      <c r="W199" s="888"/>
      <c r="X199" s="888"/>
      <c r="Y199" s="888"/>
      <c r="Z199" s="888"/>
      <c r="AA199" s="888"/>
      <c r="AB199" s="888"/>
      <c r="AC199" s="888"/>
      <c r="AD199" s="888"/>
      <c r="AE199" s="888"/>
      <c r="AF199" s="888"/>
      <c r="AG199" s="888"/>
      <c r="AH199" s="888"/>
      <c r="AI199" s="888"/>
      <c r="AJ199" s="888"/>
      <c r="AK199" s="888"/>
      <c r="AL199" s="888"/>
      <c r="AM199" s="888"/>
      <c r="AN199" s="888"/>
      <c r="AO199" s="888"/>
      <c r="AP199" s="888"/>
      <c r="AQ199" s="888"/>
      <c r="AR199" s="888"/>
      <c r="AS199" s="888"/>
      <c r="AT199" s="888"/>
      <c r="AU199" s="888"/>
      <c r="AV199" s="888"/>
      <c r="AW199" s="888"/>
      <c r="AX199" s="888"/>
      <c r="AY199" s="888"/>
      <c r="AZ199" s="567"/>
      <c r="BA199" s="567"/>
      <c r="BB199" s="567"/>
      <c r="BC199" s="567"/>
      <c r="BD199" s="567"/>
      <c r="BE199" s="567"/>
      <c r="BF199" s="567"/>
      <c r="BG199" s="567"/>
      <c r="BH199" s="567"/>
      <c r="BI199" s="567"/>
      <c r="BJ199" s="567"/>
      <c r="BK199" s="567"/>
      <c r="BL199" s="567"/>
      <c r="BM199" s="567"/>
      <c r="BN199" s="567"/>
      <c r="BO199" s="567"/>
      <c r="BP199" s="567"/>
      <c r="BQ199" s="567"/>
      <c r="BR199" s="567"/>
      <c r="BS199" s="567"/>
      <c r="BT199" s="567"/>
      <c r="BU199" s="567"/>
      <c r="BV199" s="567"/>
      <c r="BW199" s="567"/>
      <c r="BX199" s="567"/>
      <c r="BY199" s="567"/>
      <c r="BZ199" s="567"/>
      <c r="CA199" s="567"/>
      <c r="CB199" s="567"/>
      <c r="CC199" s="567"/>
      <c r="CD199" s="567"/>
      <c r="CE199" s="567"/>
      <c r="CF199" s="567"/>
      <c r="CG199" s="567"/>
      <c r="CH199" s="567"/>
      <c r="CI199" s="567"/>
      <c r="CJ199" s="567"/>
      <c r="CK199" s="567"/>
      <c r="CL199" s="567"/>
      <c r="CM199" s="567"/>
      <c r="CN199" s="567"/>
      <c r="CO199" s="567"/>
      <c r="CP199" s="567"/>
      <c r="CQ199" s="567"/>
      <c r="CR199" s="567"/>
      <c r="CS199" s="567"/>
      <c r="CT199" s="567"/>
      <c r="CU199" s="567"/>
      <c r="CV199" s="567"/>
      <c r="CW199" s="567"/>
      <c r="CX199" s="567"/>
      <c r="CY199" s="567"/>
      <c r="CZ199" s="567"/>
      <c r="DA199" s="567"/>
      <c r="DB199" s="567"/>
      <c r="DC199" s="567"/>
      <c r="DD199" s="567"/>
      <c r="DE199" s="567"/>
      <c r="DF199" s="567"/>
      <c r="DG199" s="567"/>
      <c r="DH199" s="567"/>
      <c r="DI199" s="567"/>
      <c r="DJ199" s="567"/>
      <c r="DK199" s="567"/>
      <c r="DL199" s="567"/>
      <c r="DM199" s="567"/>
      <c r="DN199" s="567"/>
      <c r="DO199" s="567"/>
      <c r="DP199" s="567"/>
      <c r="DQ199" s="567"/>
    </row>
    <row r="200" spans="1:121" s="487" customFormat="1">
      <c r="A200" s="588"/>
      <c r="B200" s="588"/>
      <c r="C200" s="588"/>
      <c r="D200" s="588"/>
      <c r="E200" s="588"/>
      <c r="F200" s="588"/>
      <c r="G200" s="588"/>
      <c r="H200" s="588"/>
      <c r="I200" s="588"/>
      <c r="J200" s="588"/>
      <c r="K200" s="588"/>
      <c r="L200" s="702"/>
      <c r="M200" s="888"/>
      <c r="N200" s="888"/>
      <c r="O200" s="888"/>
      <c r="P200" s="888"/>
      <c r="Q200" s="888"/>
      <c r="R200" s="888"/>
      <c r="S200" s="888"/>
      <c r="T200" s="888"/>
      <c r="U200" s="888"/>
      <c r="V200" s="888"/>
      <c r="W200" s="888"/>
      <c r="X200" s="888"/>
      <c r="Y200" s="888"/>
      <c r="Z200" s="888"/>
      <c r="AA200" s="888"/>
      <c r="AB200" s="888"/>
      <c r="AC200" s="888"/>
      <c r="AD200" s="888"/>
      <c r="AE200" s="888"/>
      <c r="AF200" s="888"/>
      <c r="AG200" s="888"/>
      <c r="AH200" s="888"/>
      <c r="AI200" s="888"/>
      <c r="AJ200" s="888"/>
      <c r="AK200" s="888"/>
      <c r="AL200" s="888"/>
      <c r="AM200" s="888"/>
      <c r="AN200" s="888"/>
      <c r="AO200" s="888"/>
      <c r="AP200" s="888"/>
      <c r="AQ200" s="888"/>
      <c r="AR200" s="888"/>
      <c r="AS200" s="888"/>
      <c r="AT200" s="888"/>
      <c r="AU200" s="888"/>
      <c r="AV200" s="888"/>
      <c r="AW200" s="888"/>
      <c r="AX200" s="888"/>
      <c r="AY200" s="888"/>
      <c r="AZ200" s="567"/>
      <c r="BA200" s="567"/>
      <c r="BB200" s="567"/>
      <c r="BC200" s="567"/>
      <c r="BD200" s="567"/>
      <c r="BE200" s="567"/>
      <c r="BF200" s="567"/>
      <c r="BG200" s="567"/>
      <c r="BH200" s="567"/>
      <c r="BI200" s="567"/>
      <c r="BJ200" s="567"/>
      <c r="BK200" s="567"/>
      <c r="BL200" s="567"/>
      <c r="BM200" s="567"/>
      <c r="BN200" s="567"/>
      <c r="BO200" s="567"/>
      <c r="BP200" s="567"/>
      <c r="BQ200" s="567"/>
      <c r="BR200" s="567"/>
      <c r="BS200" s="567"/>
      <c r="BT200" s="567"/>
      <c r="BU200" s="567"/>
      <c r="BV200" s="567"/>
      <c r="BW200" s="567"/>
      <c r="BX200" s="567"/>
      <c r="BY200" s="567"/>
      <c r="BZ200" s="567"/>
      <c r="CA200" s="567"/>
      <c r="CB200" s="567"/>
      <c r="CC200" s="567"/>
      <c r="CD200" s="567"/>
      <c r="CE200" s="567"/>
      <c r="CF200" s="567"/>
      <c r="CG200" s="567"/>
      <c r="CH200" s="567"/>
      <c r="CI200" s="567"/>
      <c r="CJ200" s="567"/>
      <c r="CK200" s="567"/>
      <c r="CL200" s="567"/>
      <c r="CM200" s="567"/>
      <c r="CN200" s="567"/>
      <c r="CO200" s="567"/>
      <c r="CP200" s="567"/>
      <c r="CQ200" s="567"/>
      <c r="CR200" s="567"/>
      <c r="CS200" s="567"/>
      <c r="CT200" s="567"/>
      <c r="CU200" s="567"/>
      <c r="CV200" s="567"/>
      <c r="CW200" s="567"/>
      <c r="CX200" s="567"/>
      <c r="CY200" s="567"/>
      <c r="CZ200" s="567"/>
      <c r="DA200" s="567"/>
      <c r="DB200" s="567"/>
      <c r="DC200" s="567"/>
      <c r="DD200" s="567"/>
      <c r="DE200" s="567"/>
      <c r="DF200" s="567"/>
      <c r="DG200" s="567"/>
      <c r="DH200" s="567"/>
      <c r="DI200" s="567"/>
      <c r="DJ200" s="567"/>
      <c r="DK200" s="567"/>
      <c r="DL200" s="567"/>
      <c r="DM200" s="567"/>
      <c r="DN200" s="567"/>
      <c r="DO200" s="567"/>
      <c r="DP200" s="567"/>
      <c r="DQ200" s="567"/>
    </row>
    <row r="201" spans="1:121" s="487" customFormat="1">
      <c r="A201" s="588"/>
      <c r="B201" s="588"/>
      <c r="C201" s="588"/>
      <c r="D201" s="588"/>
      <c r="E201" s="588"/>
      <c r="F201" s="588"/>
      <c r="G201" s="588"/>
      <c r="H201" s="588"/>
      <c r="I201" s="588"/>
      <c r="J201" s="588"/>
      <c r="K201" s="588"/>
      <c r="L201" s="702"/>
      <c r="M201" s="888"/>
      <c r="N201" s="888"/>
      <c r="O201" s="888"/>
      <c r="P201" s="888"/>
      <c r="Q201" s="888"/>
      <c r="R201" s="888"/>
      <c r="S201" s="888"/>
      <c r="T201" s="888"/>
      <c r="U201" s="888"/>
      <c r="V201" s="888"/>
      <c r="W201" s="888"/>
      <c r="X201" s="888"/>
      <c r="Y201" s="888"/>
      <c r="Z201" s="888"/>
      <c r="AA201" s="888"/>
      <c r="AB201" s="888"/>
      <c r="AC201" s="888"/>
      <c r="AD201" s="888"/>
      <c r="AE201" s="888"/>
      <c r="AF201" s="888"/>
      <c r="AG201" s="888"/>
      <c r="AH201" s="888"/>
      <c r="AI201" s="888"/>
      <c r="AJ201" s="888"/>
      <c r="AK201" s="888"/>
      <c r="AL201" s="888"/>
      <c r="AM201" s="888"/>
      <c r="AN201" s="888"/>
      <c r="AO201" s="888"/>
      <c r="AP201" s="888"/>
      <c r="AQ201" s="888"/>
      <c r="AR201" s="888"/>
      <c r="AS201" s="888"/>
      <c r="AT201" s="888"/>
      <c r="AU201" s="888"/>
      <c r="AV201" s="888"/>
      <c r="AW201" s="888"/>
      <c r="AX201" s="888"/>
      <c r="AY201" s="888"/>
      <c r="AZ201" s="567"/>
      <c r="BA201" s="567"/>
      <c r="BB201" s="567"/>
      <c r="BC201" s="567"/>
      <c r="BD201" s="567"/>
      <c r="BE201" s="567"/>
      <c r="BF201" s="567"/>
      <c r="BG201" s="567"/>
      <c r="BH201" s="567"/>
      <c r="BI201" s="567"/>
      <c r="BJ201" s="567"/>
      <c r="BK201" s="567"/>
      <c r="BL201" s="567"/>
      <c r="BM201" s="567"/>
      <c r="BN201" s="567"/>
      <c r="BO201" s="567"/>
      <c r="BP201" s="567"/>
      <c r="BQ201" s="567"/>
      <c r="BR201" s="567"/>
      <c r="BS201" s="567"/>
      <c r="BT201" s="567"/>
      <c r="BU201" s="567"/>
      <c r="BV201" s="567"/>
      <c r="BW201" s="567"/>
      <c r="BX201" s="567"/>
      <c r="BY201" s="567"/>
      <c r="BZ201" s="567"/>
      <c r="CA201" s="567"/>
      <c r="CB201" s="567"/>
      <c r="CC201" s="567"/>
      <c r="CD201" s="567"/>
      <c r="CE201" s="567"/>
      <c r="CF201" s="567"/>
      <c r="CG201" s="567"/>
      <c r="CH201" s="567"/>
      <c r="CI201" s="567"/>
      <c r="CJ201" s="567"/>
      <c r="CK201" s="567"/>
      <c r="CL201" s="567"/>
      <c r="CM201" s="567"/>
      <c r="CN201" s="567"/>
      <c r="CO201" s="567"/>
      <c r="CP201" s="567"/>
      <c r="CQ201" s="567"/>
      <c r="CR201" s="567"/>
      <c r="CS201" s="567"/>
      <c r="CT201" s="567"/>
      <c r="CU201" s="567"/>
      <c r="CV201" s="567"/>
      <c r="CW201" s="567"/>
      <c r="CX201" s="567"/>
      <c r="CY201" s="567"/>
      <c r="CZ201" s="567"/>
      <c r="DA201" s="567"/>
      <c r="DB201" s="567"/>
      <c r="DC201" s="567"/>
      <c r="DD201" s="567"/>
      <c r="DE201" s="567"/>
      <c r="DF201" s="567"/>
      <c r="DG201" s="567"/>
      <c r="DH201" s="567"/>
      <c r="DI201" s="567"/>
      <c r="DJ201" s="567"/>
      <c r="DK201" s="567"/>
      <c r="DL201" s="567"/>
      <c r="DM201" s="567"/>
      <c r="DN201" s="567"/>
      <c r="DO201" s="567"/>
      <c r="DP201" s="567"/>
      <c r="DQ201" s="567"/>
    </row>
    <row r="202" spans="1:121" s="487" customFormat="1">
      <c r="A202" s="588"/>
      <c r="B202" s="588"/>
      <c r="C202" s="588"/>
      <c r="D202" s="588"/>
      <c r="E202" s="588"/>
      <c r="F202" s="588"/>
      <c r="G202" s="588"/>
      <c r="H202" s="588"/>
      <c r="I202" s="588"/>
      <c r="J202" s="588"/>
      <c r="K202" s="588"/>
      <c r="L202" s="702"/>
      <c r="M202" s="888"/>
      <c r="N202" s="888"/>
      <c r="O202" s="888"/>
      <c r="P202" s="888"/>
      <c r="Q202" s="888"/>
      <c r="R202" s="888"/>
      <c r="S202" s="888"/>
      <c r="T202" s="888"/>
      <c r="U202" s="888"/>
      <c r="V202" s="888"/>
      <c r="W202" s="888"/>
      <c r="X202" s="888"/>
      <c r="Y202" s="888"/>
      <c r="Z202" s="888"/>
      <c r="AA202" s="888"/>
      <c r="AB202" s="888"/>
      <c r="AC202" s="888"/>
      <c r="AD202" s="888"/>
      <c r="AE202" s="888"/>
      <c r="AF202" s="888"/>
      <c r="AG202" s="888"/>
      <c r="AH202" s="888"/>
      <c r="AI202" s="888"/>
      <c r="AJ202" s="888"/>
      <c r="AK202" s="888"/>
      <c r="AL202" s="888"/>
      <c r="AM202" s="888"/>
      <c r="AN202" s="888"/>
      <c r="AO202" s="888"/>
      <c r="AP202" s="888"/>
      <c r="AQ202" s="888"/>
      <c r="AR202" s="888"/>
      <c r="AS202" s="888"/>
      <c r="AT202" s="888"/>
      <c r="AU202" s="888"/>
      <c r="AV202" s="888"/>
      <c r="AW202" s="888"/>
      <c r="AX202" s="888"/>
      <c r="AY202" s="888"/>
      <c r="AZ202" s="567"/>
      <c r="BA202" s="567"/>
      <c r="BB202" s="567"/>
      <c r="BC202" s="567"/>
      <c r="BD202" s="567"/>
      <c r="BE202" s="567"/>
      <c r="BF202" s="567"/>
      <c r="BG202" s="567"/>
      <c r="BH202" s="567"/>
      <c r="BI202" s="567"/>
      <c r="BJ202" s="567"/>
      <c r="BK202" s="567"/>
      <c r="BL202" s="567"/>
      <c r="BM202" s="567"/>
      <c r="BN202" s="567"/>
      <c r="BO202" s="567"/>
      <c r="BP202" s="567"/>
      <c r="BQ202" s="567"/>
      <c r="BR202" s="567"/>
      <c r="BS202" s="567"/>
      <c r="BT202" s="567"/>
      <c r="BU202" s="567"/>
      <c r="BV202" s="567"/>
      <c r="BW202" s="567"/>
      <c r="BX202" s="567"/>
      <c r="BY202" s="567"/>
      <c r="BZ202" s="567"/>
      <c r="CA202" s="567"/>
      <c r="CB202" s="567"/>
      <c r="CC202" s="567"/>
      <c r="CD202" s="567"/>
      <c r="CE202" s="567"/>
      <c r="CF202" s="567"/>
      <c r="CG202" s="567"/>
      <c r="CH202" s="567"/>
      <c r="CI202" s="567"/>
      <c r="CJ202" s="567"/>
      <c r="CK202" s="567"/>
      <c r="CL202" s="567"/>
      <c r="CM202" s="567"/>
      <c r="CN202" s="567"/>
      <c r="CO202" s="567"/>
      <c r="CP202" s="567"/>
      <c r="CQ202" s="567"/>
      <c r="CR202" s="567"/>
      <c r="CS202" s="567"/>
      <c r="CT202" s="567"/>
      <c r="CU202" s="567"/>
      <c r="CV202" s="567"/>
      <c r="CW202" s="567"/>
      <c r="CX202" s="567"/>
      <c r="CY202" s="567"/>
      <c r="CZ202" s="567"/>
      <c r="DA202" s="567"/>
      <c r="DB202" s="567"/>
      <c r="DC202" s="567"/>
      <c r="DD202" s="567"/>
      <c r="DE202" s="567"/>
      <c r="DF202" s="567"/>
      <c r="DG202" s="567"/>
      <c r="DH202" s="567"/>
      <c r="DI202" s="567"/>
      <c r="DJ202" s="567"/>
      <c r="DK202" s="567"/>
      <c r="DL202" s="567"/>
      <c r="DM202" s="567"/>
      <c r="DN202" s="567"/>
      <c r="DO202" s="567"/>
      <c r="DP202" s="567"/>
      <c r="DQ202" s="567"/>
    </row>
    <row r="203" spans="1:121" s="487" customFormat="1">
      <c r="A203" s="588"/>
      <c r="B203" s="588"/>
      <c r="C203" s="588"/>
      <c r="D203" s="588"/>
      <c r="E203" s="588"/>
      <c r="F203" s="588"/>
      <c r="G203" s="588"/>
      <c r="H203" s="588"/>
      <c r="I203" s="588"/>
      <c r="J203" s="588"/>
      <c r="K203" s="588"/>
      <c r="L203" s="702"/>
      <c r="M203" s="888"/>
      <c r="N203" s="888"/>
      <c r="O203" s="888"/>
      <c r="P203" s="888"/>
      <c r="Q203" s="888"/>
      <c r="R203" s="888"/>
      <c r="S203" s="888"/>
      <c r="T203" s="888"/>
      <c r="U203" s="888"/>
      <c r="V203" s="888"/>
      <c r="W203" s="888"/>
      <c r="X203" s="888"/>
      <c r="Y203" s="888"/>
      <c r="Z203" s="888"/>
      <c r="AA203" s="888"/>
      <c r="AB203" s="888"/>
      <c r="AC203" s="888"/>
      <c r="AD203" s="888"/>
      <c r="AE203" s="888"/>
      <c r="AF203" s="888"/>
      <c r="AG203" s="888"/>
      <c r="AH203" s="888"/>
      <c r="AI203" s="888"/>
      <c r="AJ203" s="888"/>
      <c r="AK203" s="888"/>
      <c r="AL203" s="888"/>
      <c r="AM203" s="888"/>
      <c r="AN203" s="888"/>
      <c r="AO203" s="888"/>
      <c r="AP203" s="888"/>
      <c r="AQ203" s="888"/>
      <c r="AR203" s="888"/>
      <c r="AS203" s="888"/>
      <c r="AT203" s="888"/>
      <c r="AU203" s="888"/>
      <c r="AV203" s="888"/>
      <c r="AW203" s="888"/>
      <c r="AX203" s="888"/>
      <c r="AY203" s="888"/>
      <c r="AZ203" s="567"/>
      <c r="BA203" s="567"/>
      <c r="BB203" s="567"/>
      <c r="BC203" s="567"/>
      <c r="BD203" s="567"/>
      <c r="BE203" s="567"/>
      <c r="BF203" s="567"/>
      <c r="BG203" s="567"/>
      <c r="BH203" s="567"/>
      <c r="BI203" s="567"/>
      <c r="BJ203" s="567"/>
      <c r="BK203" s="567"/>
      <c r="BL203" s="567"/>
      <c r="BM203" s="567"/>
      <c r="BN203" s="567"/>
      <c r="BO203" s="567"/>
      <c r="BP203" s="567"/>
      <c r="BQ203" s="567"/>
      <c r="BR203" s="567"/>
      <c r="BS203" s="567"/>
      <c r="BT203" s="567"/>
      <c r="BU203" s="567"/>
      <c r="BV203" s="567"/>
      <c r="BW203" s="567"/>
      <c r="BX203" s="567"/>
      <c r="BY203" s="567"/>
      <c r="BZ203" s="567"/>
      <c r="CA203" s="567"/>
      <c r="CB203" s="567"/>
      <c r="CC203" s="567"/>
      <c r="CD203" s="567"/>
      <c r="CE203" s="567"/>
      <c r="CF203" s="567"/>
      <c r="CG203" s="567"/>
      <c r="CH203" s="567"/>
      <c r="CI203" s="567"/>
      <c r="CJ203" s="567"/>
      <c r="CK203" s="567"/>
      <c r="CL203" s="567"/>
      <c r="CM203" s="567"/>
      <c r="CN203" s="567"/>
      <c r="CO203" s="567"/>
      <c r="CP203" s="567"/>
      <c r="CQ203" s="567"/>
      <c r="CR203" s="567"/>
      <c r="CS203" s="567"/>
      <c r="CT203" s="567"/>
      <c r="CU203" s="567"/>
      <c r="CV203" s="567"/>
      <c r="CW203" s="567"/>
      <c r="CX203" s="567"/>
      <c r="CY203" s="567"/>
      <c r="CZ203" s="567"/>
      <c r="DA203" s="567"/>
      <c r="DB203" s="567"/>
      <c r="DC203" s="567"/>
      <c r="DD203" s="567"/>
      <c r="DE203" s="567"/>
      <c r="DF203" s="567"/>
      <c r="DG203" s="567"/>
      <c r="DH203" s="567"/>
      <c r="DI203" s="567"/>
      <c r="DJ203" s="567"/>
      <c r="DK203" s="567"/>
      <c r="DL203" s="567"/>
      <c r="DM203" s="567"/>
      <c r="DN203" s="567"/>
      <c r="DO203" s="567"/>
      <c r="DP203" s="567"/>
      <c r="DQ203" s="567"/>
    </row>
    <row r="204" spans="1:121" s="487" customFormat="1">
      <c r="A204" s="588"/>
      <c r="B204" s="588"/>
      <c r="C204" s="588"/>
      <c r="D204" s="588"/>
      <c r="E204" s="588"/>
      <c r="F204" s="588"/>
      <c r="G204" s="588"/>
      <c r="H204" s="588"/>
      <c r="I204" s="588"/>
      <c r="J204" s="588"/>
      <c r="K204" s="588"/>
      <c r="L204" s="702"/>
      <c r="M204" s="888"/>
      <c r="N204" s="888"/>
      <c r="O204" s="888"/>
      <c r="P204" s="888"/>
      <c r="Q204" s="888"/>
      <c r="R204" s="888"/>
      <c r="S204" s="888"/>
      <c r="T204" s="888"/>
      <c r="U204" s="888"/>
      <c r="V204" s="888"/>
      <c r="W204" s="888"/>
      <c r="X204" s="888"/>
      <c r="Y204" s="888"/>
      <c r="Z204" s="888"/>
      <c r="AA204" s="888"/>
      <c r="AB204" s="888"/>
      <c r="AC204" s="888"/>
      <c r="AD204" s="888"/>
      <c r="AE204" s="888"/>
      <c r="AF204" s="888"/>
      <c r="AG204" s="888"/>
      <c r="AH204" s="888"/>
      <c r="AI204" s="888"/>
      <c r="AJ204" s="888"/>
      <c r="AK204" s="888"/>
      <c r="AL204" s="888"/>
      <c r="AM204" s="888"/>
      <c r="AN204" s="888"/>
      <c r="AO204" s="888"/>
      <c r="AP204" s="888"/>
      <c r="AQ204" s="888"/>
      <c r="AR204" s="888"/>
      <c r="AS204" s="888"/>
      <c r="AT204" s="888"/>
      <c r="AU204" s="888"/>
      <c r="AV204" s="888"/>
      <c r="AW204" s="888"/>
      <c r="AX204" s="888"/>
      <c r="AY204" s="888"/>
      <c r="AZ204" s="567"/>
      <c r="BA204" s="567"/>
      <c r="BB204" s="567"/>
      <c r="BC204" s="567"/>
      <c r="BD204" s="567"/>
      <c r="BE204" s="567"/>
      <c r="BF204" s="567"/>
      <c r="BG204" s="567"/>
      <c r="BH204" s="567"/>
      <c r="BI204" s="567"/>
      <c r="BJ204" s="567"/>
      <c r="BK204" s="567"/>
      <c r="BL204" s="567"/>
      <c r="BM204" s="567"/>
      <c r="BN204" s="567"/>
      <c r="BO204" s="567"/>
      <c r="BP204" s="567"/>
      <c r="BQ204" s="567"/>
      <c r="BR204" s="567"/>
      <c r="BS204" s="567"/>
      <c r="BT204" s="567"/>
      <c r="BU204" s="567"/>
      <c r="BV204" s="567"/>
      <c r="BW204" s="567"/>
      <c r="BX204" s="567"/>
      <c r="BY204" s="567"/>
      <c r="BZ204" s="567"/>
      <c r="CA204" s="567"/>
      <c r="CB204" s="567"/>
      <c r="CC204" s="567"/>
      <c r="CD204" s="567"/>
      <c r="CE204" s="567"/>
      <c r="CF204" s="567"/>
      <c r="CG204" s="567"/>
      <c r="CH204" s="567"/>
      <c r="CI204" s="567"/>
      <c r="CJ204" s="567"/>
      <c r="CK204" s="567"/>
      <c r="CL204" s="567"/>
      <c r="CM204" s="567"/>
      <c r="CN204" s="567"/>
      <c r="CO204" s="567"/>
      <c r="CP204" s="567"/>
      <c r="CQ204" s="567"/>
      <c r="CR204" s="567"/>
      <c r="CS204" s="567"/>
      <c r="CT204" s="567"/>
      <c r="CU204" s="567"/>
      <c r="CV204" s="567"/>
      <c r="CW204" s="567"/>
      <c r="CX204" s="567"/>
      <c r="CY204" s="567"/>
      <c r="CZ204" s="567"/>
      <c r="DA204" s="567"/>
      <c r="DB204" s="567"/>
      <c r="DC204" s="567"/>
      <c r="DD204" s="567"/>
      <c r="DE204" s="567"/>
      <c r="DF204" s="567"/>
      <c r="DG204" s="567"/>
      <c r="DH204" s="567"/>
      <c r="DI204" s="567"/>
      <c r="DJ204" s="567"/>
      <c r="DK204" s="567"/>
      <c r="DL204" s="567"/>
      <c r="DM204" s="567"/>
      <c r="DN204" s="567"/>
      <c r="DO204" s="567"/>
      <c r="DP204" s="567"/>
      <c r="DQ204" s="567"/>
    </row>
    <row r="205" spans="1:121" s="487" customFormat="1">
      <c r="A205" s="588"/>
      <c r="B205" s="588"/>
      <c r="C205" s="588"/>
      <c r="D205" s="588"/>
      <c r="E205" s="588"/>
      <c r="F205" s="588"/>
      <c r="G205" s="588"/>
      <c r="H205" s="588"/>
      <c r="I205" s="588"/>
      <c r="J205" s="588"/>
      <c r="K205" s="588"/>
      <c r="L205" s="702"/>
      <c r="M205" s="888"/>
      <c r="N205" s="888"/>
      <c r="O205" s="888"/>
      <c r="P205" s="888"/>
      <c r="Q205" s="888"/>
      <c r="R205" s="888"/>
      <c r="S205" s="888"/>
      <c r="T205" s="888"/>
      <c r="U205" s="888"/>
      <c r="V205" s="888"/>
      <c r="W205" s="888"/>
      <c r="X205" s="888"/>
      <c r="Y205" s="888"/>
      <c r="Z205" s="888"/>
      <c r="AA205" s="888"/>
      <c r="AB205" s="888"/>
      <c r="AC205" s="888"/>
      <c r="AD205" s="888"/>
      <c r="AE205" s="888"/>
      <c r="AF205" s="888"/>
      <c r="AG205" s="888"/>
      <c r="AH205" s="888"/>
      <c r="AI205" s="888"/>
      <c r="AJ205" s="888"/>
      <c r="AK205" s="888"/>
      <c r="AL205" s="888"/>
      <c r="AM205" s="888"/>
      <c r="AN205" s="888"/>
      <c r="AO205" s="888"/>
      <c r="AP205" s="888"/>
      <c r="AQ205" s="888"/>
      <c r="AR205" s="888"/>
      <c r="AS205" s="888"/>
      <c r="AT205" s="888"/>
      <c r="AU205" s="888"/>
      <c r="AV205" s="888"/>
      <c r="AW205" s="888"/>
      <c r="AX205" s="888"/>
      <c r="AY205" s="888"/>
      <c r="AZ205" s="567"/>
      <c r="BA205" s="567"/>
      <c r="BB205" s="567"/>
      <c r="BC205" s="567"/>
      <c r="BD205" s="567"/>
      <c r="BE205" s="567"/>
      <c r="BF205" s="567"/>
      <c r="BG205" s="567"/>
      <c r="BH205" s="567"/>
      <c r="BI205" s="567"/>
      <c r="BJ205" s="567"/>
      <c r="BK205" s="567"/>
      <c r="BL205" s="567"/>
      <c r="BM205" s="567"/>
      <c r="BN205" s="567"/>
      <c r="BO205" s="567"/>
      <c r="BP205" s="567"/>
      <c r="BQ205" s="567"/>
      <c r="BR205" s="567"/>
      <c r="BS205" s="567"/>
      <c r="BT205" s="567"/>
      <c r="BU205" s="567"/>
      <c r="BV205" s="567"/>
      <c r="BW205" s="567"/>
      <c r="BX205" s="567"/>
      <c r="BY205" s="567"/>
      <c r="BZ205" s="567"/>
      <c r="CA205" s="567"/>
      <c r="CB205" s="567"/>
      <c r="CC205" s="567"/>
      <c r="CD205" s="567"/>
      <c r="CE205" s="567"/>
      <c r="CF205" s="567"/>
      <c r="CG205" s="567"/>
      <c r="CH205" s="567"/>
      <c r="CI205" s="567"/>
      <c r="CJ205" s="567"/>
      <c r="CK205" s="567"/>
      <c r="CL205" s="567"/>
      <c r="CM205" s="567"/>
      <c r="CN205" s="567"/>
      <c r="CO205" s="567"/>
      <c r="CP205" s="567"/>
      <c r="CQ205" s="567"/>
      <c r="CR205" s="567"/>
      <c r="CS205" s="567"/>
      <c r="CT205" s="567"/>
      <c r="CU205" s="567"/>
      <c r="CV205" s="567"/>
      <c r="CW205" s="567"/>
      <c r="CX205" s="567"/>
      <c r="CY205" s="567"/>
      <c r="CZ205" s="567"/>
      <c r="DA205" s="567"/>
      <c r="DB205" s="567"/>
      <c r="DC205" s="567"/>
      <c r="DD205" s="567"/>
      <c r="DE205" s="567"/>
      <c r="DF205" s="567"/>
      <c r="DG205" s="567"/>
      <c r="DH205" s="567"/>
      <c r="DI205" s="567"/>
      <c r="DJ205" s="567"/>
      <c r="DK205" s="567"/>
      <c r="DL205" s="567"/>
      <c r="DM205" s="567"/>
      <c r="DN205" s="567"/>
      <c r="DO205" s="567"/>
      <c r="DP205" s="567"/>
      <c r="DQ205" s="567"/>
    </row>
    <row r="206" spans="1:121" s="487" customFormat="1">
      <c r="A206" s="588"/>
      <c r="B206" s="588"/>
      <c r="C206" s="588"/>
      <c r="D206" s="588"/>
      <c r="E206" s="588"/>
      <c r="F206" s="588"/>
      <c r="G206" s="588"/>
      <c r="H206" s="588"/>
      <c r="I206" s="588"/>
      <c r="J206" s="588"/>
      <c r="K206" s="588"/>
      <c r="L206" s="702"/>
      <c r="M206" s="888"/>
      <c r="N206" s="888"/>
      <c r="O206" s="888"/>
      <c r="P206" s="888"/>
      <c r="Q206" s="888"/>
      <c r="R206" s="888"/>
      <c r="S206" s="888"/>
      <c r="T206" s="888"/>
      <c r="U206" s="888"/>
      <c r="V206" s="888"/>
      <c r="W206" s="888"/>
      <c r="X206" s="888"/>
      <c r="Y206" s="888"/>
      <c r="Z206" s="888"/>
      <c r="AA206" s="888"/>
      <c r="AB206" s="888"/>
      <c r="AC206" s="888"/>
      <c r="AD206" s="888"/>
      <c r="AE206" s="888"/>
      <c r="AF206" s="888"/>
      <c r="AG206" s="888"/>
      <c r="AH206" s="888"/>
      <c r="AI206" s="888"/>
      <c r="AJ206" s="888"/>
      <c r="AK206" s="888"/>
      <c r="AL206" s="888"/>
      <c r="AM206" s="888"/>
      <c r="AN206" s="888"/>
      <c r="AO206" s="888"/>
      <c r="AP206" s="888"/>
      <c r="AQ206" s="888"/>
      <c r="AR206" s="888"/>
      <c r="AS206" s="888"/>
      <c r="AT206" s="888"/>
      <c r="AU206" s="888"/>
      <c r="AV206" s="888"/>
      <c r="AW206" s="888"/>
      <c r="AX206" s="888"/>
      <c r="AY206" s="888"/>
      <c r="AZ206" s="567"/>
      <c r="BA206" s="567"/>
      <c r="BB206" s="567"/>
      <c r="BC206" s="567"/>
      <c r="BD206" s="567"/>
      <c r="BE206" s="567"/>
      <c r="BF206" s="567"/>
      <c r="BG206" s="567"/>
      <c r="BH206" s="567"/>
      <c r="BI206" s="567"/>
      <c r="BJ206" s="567"/>
      <c r="BK206" s="567"/>
      <c r="BL206" s="567"/>
      <c r="BM206" s="567"/>
      <c r="BN206" s="567"/>
      <c r="BO206" s="567"/>
      <c r="BP206" s="567"/>
      <c r="BQ206" s="567"/>
      <c r="BR206" s="567"/>
      <c r="BS206" s="567"/>
      <c r="BT206" s="567"/>
      <c r="BU206" s="567"/>
      <c r="BV206" s="567"/>
      <c r="BW206" s="567"/>
      <c r="BX206" s="567"/>
      <c r="BY206" s="567"/>
      <c r="BZ206" s="567"/>
      <c r="CA206" s="567"/>
      <c r="CB206" s="567"/>
      <c r="CC206" s="567"/>
      <c r="CD206" s="567"/>
      <c r="CE206" s="567"/>
      <c r="CF206" s="567"/>
      <c r="CG206" s="567"/>
      <c r="CH206" s="567"/>
      <c r="CI206" s="567"/>
      <c r="CJ206" s="567"/>
      <c r="CK206" s="567"/>
      <c r="CL206" s="567"/>
      <c r="CM206" s="567"/>
      <c r="CN206" s="567"/>
      <c r="CO206" s="567"/>
      <c r="CP206" s="567"/>
      <c r="CQ206" s="567"/>
      <c r="CR206" s="567"/>
      <c r="CS206" s="567"/>
      <c r="CT206" s="567"/>
      <c r="CU206" s="567"/>
      <c r="CV206" s="567"/>
      <c r="CW206" s="567"/>
      <c r="CX206" s="567"/>
      <c r="CY206" s="567"/>
      <c r="CZ206" s="567"/>
      <c r="DA206" s="567"/>
      <c r="DB206" s="567"/>
      <c r="DC206" s="567"/>
      <c r="DD206" s="567"/>
      <c r="DE206" s="567"/>
      <c r="DF206" s="567"/>
      <c r="DG206" s="567"/>
      <c r="DH206" s="567"/>
      <c r="DI206" s="567"/>
      <c r="DJ206" s="567"/>
      <c r="DK206" s="567"/>
      <c r="DL206" s="567"/>
      <c r="DM206" s="567"/>
      <c r="DN206" s="567"/>
      <c r="DO206" s="567"/>
      <c r="DP206" s="567"/>
      <c r="DQ206" s="567"/>
    </row>
    <row r="207" spans="1:121" s="487" customFormat="1">
      <c r="A207" s="588"/>
      <c r="B207" s="588"/>
      <c r="C207" s="588"/>
      <c r="D207" s="588"/>
      <c r="E207" s="588"/>
      <c r="F207" s="588"/>
      <c r="G207" s="588"/>
      <c r="H207" s="588"/>
      <c r="I207" s="588"/>
      <c r="J207" s="588"/>
      <c r="K207" s="588"/>
      <c r="L207" s="702"/>
      <c r="M207" s="888"/>
      <c r="N207" s="888"/>
      <c r="O207" s="888"/>
      <c r="P207" s="888"/>
      <c r="Q207" s="888"/>
      <c r="R207" s="888"/>
      <c r="S207" s="888"/>
      <c r="T207" s="888"/>
      <c r="U207" s="888"/>
      <c r="V207" s="888"/>
      <c r="W207" s="888"/>
      <c r="X207" s="888"/>
      <c r="Y207" s="888"/>
      <c r="Z207" s="888"/>
      <c r="AA207" s="888"/>
      <c r="AB207" s="888"/>
      <c r="AC207" s="888"/>
      <c r="AD207" s="888"/>
      <c r="AE207" s="888"/>
      <c r="AF207" s="888"/>
      <c r="AG207" s="888"/>
      <c r="AH207" s="888"/>
      <c r="AI207" s="888"/>
      <c r="AJ207" s="888"/>
      <c r="AK207" s="888"/>
      <c r="AL207" s="888"/>
      <c r="AM207" s="888"/>
      <c r="AN207" s="888"/>
      <c r="AO207" s="888"/>
      <c r="AP207" s="888"/>
      <c r="AQ207" s="888"/>
      <c r="AR207" s="888"/>
      <c r="AS207" s="888"/>
      <c r="AT207" s="888"/>
      <c r="AU207" s="888"/>
      <c r="AV207" s="888"/>
      <c r="AW207" s="888"/>
      <c r="AX207" s="888"/>
      <c r="AY207" s="888"/>
      <c r="AZ207" s="567"/>
      <c r="BA207" s="567"/>
      <c r="BB207" s="567"/>
      <c r="BC207" s="567"/>
      <c r="BD207" s="567"/>
      <c r="BE207" s="567"/>
      <c r="BF207" s="567"/>
      <c r="BG207" s="567"/>
      <c r="BH207" s="567"/>
      <c r="BI207" s="567"/>
      <c r="BJ207" s="567"/>
      <c r="BK207" s="567"/>
      <c r="BL207" s="567"/>
      <c r="BM207" s="567"/>
      <c r="BN207" s="567"/>
      <c r="BO207" s="567"/>
      <c r="BP207" s="567"/>
      <c r="BQ207" s="567"/>
      <c r="BR207" s="567"/>
      <c r="BS207" s="567"/>
      <c r="BT207" s="567"/>
      <c r="BU207" s="567"/>
      <c r="BV207" s="567"/>
      <c r="BW207" s="567"/>
      <c r="BX207" s="567"/>
      <c r="BY207" s="567"/>
      <c r="BZ207" s="567"/>
      <c r="CA207" s="567"/>
      <c r="CB207" s="567"/>
      <c r="CC207" s="567"/>
      <c r="CD207" s="567"/>
      <c r="CE207" s="567"/>
      <c r="CF207" s="567"/>
      <c r="CG207" s="567"/>
      <c r="CH207" s="567"/>
      <c r="CI207" s="567"/>
      <c r="CJ207" s="567"/>
      <c r="CK207" s="567"/>
      <c r="CL207" s="567"/>
      <c r="CM207" s="567"/>
      <c r="CN207" s="567"/>
      <c r="CO207" s="567"/>
      <c r="CP207" s="567"/>
      <c r="CQ207" s="567"/>
      <c r="CR207" s="567"/>
      <c r="CS207" s="567"/>
      <c r="CT207" s="567"/>
      <c r="CU207" s="567"/>
      <c r="CV207" s="567"/>
      <c r="CW207" s="567"/>
      <c r="CX207" s="567"/>
      <c r="CY207" s="567"/>
      <c r="CZ207" s="567"/>
      <c r="DA207" s="567"/>
      <c r="DB207" s="567"/>
      <c r="DC207" s="567"/>
      <c r="DD207" s="567"/>
      <c r="DE207" s="567"/>
      <c r="DF207" s="567"/>
      <c r="DG207" s="567"/>
      <c r="DH207" s="567"/>
      <c r="DI207" s="567"/>
      <c r="DJ207" s="567"/>
      <c r="DK207" s="567"/>
      <c r="DL207" s="567"/>
      <c r="DM207" s="567"/>
      <c r="DN207" s="567"/>
      <c r="DO207" s="567"/>
      <c r="DP207" s="567"/>
      <c r="DQ207" s="567"/>
    </row>
    <row r="208" spans="1:121" s="487" customFormat="1">
      <c r="A208" s="588"/>
      <c r="B208" s="588"/>
      <c r="C208" s="588"/>
      <c r="D208" s="588"/>
      <c r="E208" s="588"/>
      <c r="F208" s="588"/>
      <c r="G208" s="588"/>
      <c r="H208" s="588"/>
      <c r="I208" s="588"/>
      <c r="J208" s="588"/>
      <c r="K208" s="588"/>
      <c r="L208" s="702"/>
      <c r="M208" s="888"/>
      <c r="N208" s="888"/>
      <c r="O208" s="888"/>
      <c r="P208" s="888"/>
      <c r="Q208" s="888"/>
      <c r="R208" s="888"/>
      <c r="S208" s="888"/>
      <c r="T208" s="888"/>
      <c r="U208" s="888"/>
      <c r="V208" s="888"/>
      <c r="W208" s="888"/>
      <c r="X208" s="888"/>
      <c r="Y208" s="888"/>
      <c r="Z208" s="888"/>
      <c r="AA208" s="888"/>
      <c r="AB208" s="888"/>
      <c r="AC208" s="888"/>
      <c r="AD208" s="888"/>
      <c r="AE208" s="888"/>
      <c r="AF208" s="888"/>
      <c r="AG208" s="888"/>
      <c r="AH208" s="888"/>
      <c r="AI208" s="888"/>
      <c r="AJ208" s="888"/>
      <c r="AK208" s="888"/>
      <c r="AL208" s="888"/>
      <c r="AM208" s="888"/>
      <c r="AN208" s="888"/>
      <c r="AO208" s="888"/>
      <c r="AP208" s="888"/>
      <c r="AQ208" s="888"/>
      <c r="AR208" s="888"/>
      <c r="AS208" s="888"/>
      <c r="AT208" s="888"/>
      <c r="AU208" s="888"/>
      <c r="AV208" s="888"/>
      <c r="AW208" s="888"/>
      <c r="AX208" s="888"/>
      <c r="AY208" s="888"/>
      <c r="AZ208" s="567"/>
      <c r="BA208" s="567"/>
      <c r="BB208" s="567"/>
      <c r="BC208" s="567"/>
      <c r="BD208" s="567"/>
      <c r="BE208" s="567"/>
      <c r="BF208" s="567"/>
      <c r="BG208" s="567"/>
      <c r="BH208" s="567"/>
      <c r="BI208" s="567"/>
      <c r="BJ208" s="567"/>
      <c r="BK208" s="567"/>
      <c r="BL208" s="567"/>
      <c r="BM208" s="567"/>
      <c r="BN208" s="567"/>
      <c r="BO208" s="567"/>
      <c r="BP208" s="567"/>
      <c r="BQ208" s="567"/>
      <c r="BR208" s="567"/>
      <c r="BS208" s="567"/>
      <c r="BT208" s="567"/>
      <c r="BU208" s="567"/>
      <c r="BV208" s="567"/>
      <c r="BW208" s="567"/>
      <c r="BX208" s="567"/>
      <c r="BY208" s="567"/>
      <c r="BZ208" s="567"/>
      <c r="CA208" s="567"/>
      <c r="CB208" s="567"/>
      <c r="CC208" s="567"/>
      <c r="CD208" s="567"/>
      <c r="CE208" s="567"/>
      <c r="CF208" s="567"/>
      <c r="CG208" s="567"/>
      <c r="CH208" s="567"/>
      <c r="CI208" s="567"/>
      <c r="CJ208" s="567"/>
      <c r="CK208" s="567"/>
      <c r="CL208" s="567"/>
      <c r="CM208" s="567"/>
      <c r="CN208" s="567"/>
      <c r="CO208" s="567"/>
      <c r="CP208" s="567"/>
      <c r="CQ208" s="567"/>
      <c r="CR208" s="567"/>
      <c r="CS208" s="567"/>
      <c r="CT208" s="567"/>
      <c r="CU208" s="567"/>
      <c r="CV208" s="567"/>
      <c r="CW208" s="567"/>
      <c r="CX208" s="567"/>
      <c r="CY208" s="567"/>
      <c r="CZ208" s="567"/>
      <c r="DA208" s="567"/>
      <c r="DB208" s="567"/>
      <c r="DC208" s="567"/>
      <c r="DD208" s="567"/>
      <c r="DE208" s="567"/>
      <c r="DF208" s="567"/>
      <c r="DG208" s="567"/>
      <c r="DH208" s="567"/>
      <c r="DI208" s="567"/>
      <c r="DJ208" s="567"/>
      <c r="DK208" s="567"/>
      <c r="DL208" s="567"/>
      <c r="DM208" s="567"/>
      <c r="DN208" s="567"/>
      <c r="DO208" s="567"/>
      <c r="DP208" s="567"/>
      <c r="DQ208" s="567"/>
    </row>
    <row r="209" spans="1:121" s="487" customFormat="1">
      <c r="A209" s="588"/>
      <c r="B209" s="588"/>
      <c r="C209" s="588"/>
      <c r="D209" s="588"/>
      <c r="E209" s="588"/>
      <c r="F209" s="588"/>
      <c r="G209" s="588"/>
      <c r="H209" s="588"/>
      <c r="I209" s="588"/>
      <c r="J209" s="588"/>
      <c r="K209" s="588"/>
      <c r="L209" s="702"/>
      <c r="M209" s="888"/>
      <c r="N209" s="888"/>
      <c r="O209" s="888"/>
      <c r="P209" s="888"/>
      <c r="Q209" s="888"/>
      <c r="R209" s="888"/>
      <c r="S209" s="888"/>
      <c r="T209" s="888"/>
      <c r="U209" s="888"/>
      <c r="V209" s="888"/>
      <c r="W209" s="888"/>
      <c r="X209" s="888"/>
      <c r="Y209" s="888"/>
      <c r="Z209" s="888"/>
      <c r="AA209" s="888"/>
      <c r="AB209" s="888"/>
      <c r="AC209" s="888"/>
      <c r="AD209" s="888"/>
      <c r="AE209" s="888"/>
      <c r="AF209" s="888"/>
      <c r="AG209" s="888"/>
      <c r="AH209" s="888"/>
      <c r="AI209" s="888"/>
      <c r="AJ209" s="888"/>
      <c r="AK209" s="888"/>
      <c r="AL209" s="888"/>
      <c r="AM209" s="888"/>
      <c r="AN209" s="888"/>
      <c r="AO209" s="888"/>
      <c r="AP209" s="888"/>
      <c r="AQ209" s="888"/>
      <c r="AR209" s="888"/>
      <c r="AS209" s="888"/>
      <c r="AT209" s="888"/>
      <c r="AU209" s="888"/>
      <c r="AV209" s="888"/>
      <c r="AW209" s="888"/>
      <c r="AX209" s="888"/>
      <c r="AY209" s="888"/>
      <c r="AZ209" s="567"/>
      <c r="BA209" s="567"/>
      <c r="BB209" s="567"/>
      <c r="BC209" s="567"/>
      <c r="BD209" s="567"/>
      <c r="BE209" s="567"/>
      <c r="BF209" s="567"/>
      <c r="BG209" s="567"/>
      <c r="BH209" s="567"/>
      <c r="BI209" s="567"/>
      <c r="BJ209" s="567"/>
      <c r="BK209" s="567"/>
      <c r="BL209" s="567"/>
      <c r="BM209" s="567"/>
      <c r="BN209" s="567"/>
      <c r="BO209" s="567"/>
      <c r="BP209" s="567"/>
      <c r="BQ209" s="567"/>
      <c r="BR209" s="567"/>
      <c r="BS209" s="567"/>
      <c r="BT209" s="567"/>
      <c r="BU209" s="567"/>
      <c r="BV209" s="567"/>
      <c r="BW209" s="567"/>
      <c r="BX209" s="567"/>
      <c r="BY209" s="567"/>
      <c r="BZ209" s="567"/>
      <c r="CA209" s="567"/>
      <c r="CB209" s="567"/>
      <c r="CC209" s="567"/>
      <c r="CD209" s="567"/>
      <c r="CE209" s="567"/>
      <c r="CF209" s="567"/>
      <c r="CG209" s="567"/>
      <c r="CH209" s="567"/>
      <c r="CI209" s="567"/>
      <c r="CJ209" s="567"/>
      <c r="CK209" s="567"/>
      <c r="CL209" s="567"/>
      <c r="CM209" s="567"/>
      <c r="CN209" s="567"/>
      <c r="CO209" s="567"/>
      <c r="CP209" s="567"/>
      <c r="CQ209" s="567"/>
      <c r="CR209" s="567"/>
      <c r="CS209" s="567"/>
      <c r="CT209" s="567"/>
      <c r="CU209" s="567"/>
      <c r="CV209" s="567"/>
      <c r="CW209" s="567"/>
      <c r="CX209" s="567"/>
      <c r="CY209" s="567"/>
      <c r="CZ209" s="567"/>
      <c r="DA209" s="567"/>
      <c r="DB209" s="567"/>
      <c r="DC209" s="567"/>
      <c r="DD209" s="567"/>
      <c r="DE209" s="567"/>
      <c r="DF209" s="567"/>
      <c r="DG209" s="567"/>
      <c r="DH209" s="567"/>
      <c r="DI209" s="567"/>
      <c r="DJ209" s="567"/>
      <c r="DK209" s="567"/>
      <c r="DL209" s="567"/>
      <c r="DM209" s="567"/>
      <c r="DN209" s="567"/>
      <c r="DO209" s="567"/>
      <c r="DP209" s="567"/>
      <c r="DQ209" s="567"/>
    </row>
    <row r="210" spans="1:121" s="487" customFormat="1">
      <c r="A210" s="588"/>
      <c r="B210" s="588"/>
      <c r="C210" s="588"/>
      <c r="D210" s="588"/>
      <c r="E210" s="588"/>
      <c r="F210" s="588"/>
      <c r="G210" s="588"/>
      <c r="H210" s="588"/>
      <c r="I210" s="588"/>
      <c r="J210" s="588"/>
      <c r="K210" s="588"/>
      <c r="L210" s="702"/>
      <c r="M210" s="888"/>
      <c r="N210" s="888"/>
      <c r="O210" s="888"/>
      <c r="P210" s="888"/>
      <c r="Q210" s="888"/>
      <c r="R210" s="888"/>
      <c r="S210" s="888"/>
      <c r="T210" s="888"/>
      <c r="U210" s="888"/>
      <c r="V210" s="888"/>
      <c r="W210" s="888"/>
      <c r="X210" s="888"/>
      <c r="Y210" s="888"/>
      <c r="Z210" s="888"/>
      <c r="AA210" s="888"/>
      <c r="AB210" s="888"/>
      <c r="AC210" s="888"/>
      <c r="AD210" s="888"/>
      <c r="AE210" s="888"/>
      <c r="AF210" s="888"/>
      <c r="AG210" s="888"/>
      <c r="AH210" s="888"/>
      <c r="AI210" s="888"/>
      <c r="AJ210" s="888"/>
      <c r="AK210" s="888"/>
      <c r="AL210" s="888"/>
      <c r="AM210" s="888"/>
      <c r="AN210" s="888"/>
      <c r="AO210" s="888"/>
      <c r="AP210" s="888"/>
      <c r="AQ210" s="888"/>
      <c r="AR210" s="888"/>
      <c r="AS210" s="888"/>
      <c r="AT210" s="888"/>
      <c r="AU210" s="888"/>
      <c r="AV210" s="888"/>
      <c r="AW210" s="888"/>
      <c r="AX210" s="888"/>
      <c r="AY210" s="888"/>
      <c r="AZ210" s="567"/>
      <c r="BA210" s="567"/>
      <c r="BB210" s="567"/>
      <c r="BC210" s="567"/>
      <c r="BD210" s="567"/>
      <c r="BE210" s="567"/>
      <c r="BF210" s="567"/>
      <c r="BG210" s="567"/>
      <c r="BH210" s="567"/>
      <c r="BI210" s="567"/>
      <c r="BJ210" s="567"/>
      <c r="BK210" s="567"/>
      <c r="BL210" s="567"/>
      <c r="BM210" s="567"/>
      <c r="BN210" s="567"/>
      <c r="BO210" s="567"/>
      <c r="BP210" s="567"/>
      <c r="BQ210" s="567"/>
      <c r="BR210" s="567"/>
      <c r="BS210" s="567"/>
      <c r="BT210" s="567"/>
      <c r="BU210" s="567"/>
      <c r="BV210" s="567"/>
      <c r="BW210" s="567"/>
      <c r="BX210" s="567"/>
      <c r="BY210" s="567"/>
      <c r="BZ210" s="567"/>
      <c r="CA210" s="567"/>
      <c r="CB210" s="567"/>
      <c r="CC210" s="567"/>
      <c r="CD210" s="567"/>
      <c r="CE210" s="567"/>
      <c r="CF210" s="567"/>
      <c r="CG210" s="567"/>
      <c r="CH210" s="567"/>
      <c r="CI210" s="567"/>
      <c r="CJ210" s="567"/>
      <c r="CK210" s="567"/>
      <c r="CL210" s="567"/>
      <c r="CM210" s="567"/>
      <c r="CN210" s="567"/>
      <c r="CO210" s="567"/>
      <c r="CP210" s="567"/>
      <c r="CQ210" s="567"/>
      <c r="CR210" s="567"/>
      <c r="CS210" s="567"/>
      <c r="CT210" s="567"/>
      <c r="CU210" s="567"/>
      <c r="CV210" s="567"/>
      <c r="CW210" s="567"/>
      <c r="CX210" s="567"/>
      <c r="CY210" s="567"/>
      <c r="CZ210" s="567"/>
      <c r="DA210" s="567"/>
      <c r="DB210" s="567"/>
      <c r="DC210" s="567"/>
      <c r="DD210" s="567"/>
      <c r="DE210" s="567"/>
      <c r="DF210" s="567"/>
      <c r="DG210" s="567"/>
      <c r="DH210" s="567"/>
      <c r="DI210" s="567"/>
      <c r="DJ210" s="567"/>
      <c r="DK210" s="567"/>
      <c r="DL210" s="567"/>
      <c r="DM210" s="567"/>
      <c r="DN210" s="567"/>
      <c r="DO210" s="567"/>
      <c r="DP210" s="567"/>
      <c r="DQ210" s="567"/>
    </row>
    <row r="211" spans="1:121" s="487" customFormat="1">
      <c r="A211" s="588"/>
      <c r="B211" s="588"/>
      <c r="C211" s="588"/>
      <c r="D211" s="588"/>
      <c r="E211" s="588"/>
      <c r="F211" s="588"/>
      <c r="G211" s="588"/>
      <c r="H211" s="588"/>
      <c r="I211" s="588"/>
      <c r="J211" s="588"/>
      <c r="K211" s="588"/>
      <c r="L211" s="702"/>
      <c r="M211" s="888"/>
      <c r="N211" s="888"/>
      <c r="O211" s="888"/>
      <c r="P211" s="888"/>
      <c r="Q211" s="888"/>
      <c r="R211" s="888"/>
      <c r="S211" s="888"/>
      <c r="T211" s="888"/>
      <c r="U211" s="888"/>
      <c r="V211" s="888"/>
      <c r="W211" s="888"/>
      <c r="X211" s="888"/>
      <c r="Y211" s="888"/>
      <c r="Z211" s="888"/>
      <c r="AA211" s="888"/>
      <c r="AB211" s="888"/>
      <c r="AC211" s="888"/>
      <c r="AD211" s="888"/>
      <c r="AE211" s="888"/>
      <c r="AF211" s="888"/>
      <c r="AG211" s="888"/>
      <c r="AH211" s="888"/>
      <c r="AI211" s="888"/>
      <c r="AJ211" s="888"/>
      <c r="AK211" s="888"/>
      <c r="AL211" s="888"/>
      <c r="AM211" s="888"/>
      <c r="AN211" s="888"/>
      <c r="AO211" s="888"/>
      <c r="AP211" s="888"/>
      <c r="AQ211" s="888"/>
      <c r="AR211" s="888"/>
      <c r="AS211" s="888"/>
      <c r="AT211" s="888"/>
      <c r="AU211" s="888"/>
      <c r="AV211" s="888"/>
      <c r="AW211" s="888"/>
      <c r="AX211" s="888"/>
      <c r="AY211" s="888"/>
      <c r="AZ211" s="567"/>
      <c r="BA211" s="567"/>
      <c r="BB211" s="567"/>
      <c r="BC211" s="567"/>
      <c r="BD211" s="567"/>
      <c r="BE211" s="567"/>
      <c r="BF211" s="567"/>
      <c r="BG211" s="567"/>
      <c r="BH211" s="567"/>
      <c r="BI211" s="567"/>
      <c r="BJ211" s="567"/>
      <c r="BK211" s="567"/>
      <c r="BL211" s="567"/>
      <c r="BM211" s="567"/>
      <c r="BN211" s="567"/>
      <c r="BO211" s="567"/>
      <c r="BP211" s="567"/>
      <c r="BQ211" s="567"/>
      <c r="BR211" s="567"/>
      <c r="BS211" s="567"/>
      <c r="BT211" s="567"/>
      <c r="BU211" s="567"/>
      <c r="BV211" s="567"/>
      <c r="BW211" s="567"/>
      <c r="BX211" s="567"/>
      <c r="BY211" s="567"/>
      <c r="BZ211" s="567"/>
      <c r="CA211" s="567"/>
      <c r="CB211" s="567"/>
      <c r="CC211" s="567"/>
      <c r="CD211" s="567"/>
      <c r="CE211" s="567"/>
      <c r="CF211" s="567"/>
      <c r="CG211" s="567"/>
      <c r="CH211" s="567"/>
      <c r="CI211" s="567"/>
      <c r="CJ211" s="567"/>
      <c r="CK211" s="567"/>
      <c r="CL211" s="567"/>
      <c r="CM211" s="567"/>
      <c r="CN211" s="567"/>
      <c r="CO211" s="567"/>
      <c r="CP211" s="567"/>
      <c r="CQ211" s="567"/>
      <c r="CR211" s="567"/>
      <c r="CS211" s="567"/>
      <c r="CT211" s="567"/>
      <c r="CU211" s="567"/>
      <c r="CV211" s="567"/>
      <c r="CW211" s="567"/>
      <c r="CX211" s="567"/>
      <c r="CY211" s="567"/>
      <c r="CZ211" s="567"/>
      <c r="DA211" s="567"/>
      <c r="DB211" s="567"/>
      <c r="DC211" s="567"/>
      <c r="DD211" s="567"/>
      <c r="DE211" s="567"/>
      <c r="DF211" s="567"/>
      <c r="DG211" s="567"/>
      <c r="DH211" s="567"/>
      <c r="DI211" s="567"/>
      <c r="DJ211" s="567"/>
      <c r="DK211" s="567"/>
      <c r="DL211" s="567"/>
      <c r="DM211" s="567"/>
      <c r="DN211" s="567"/>
      <c r="DO211" s="567"/>
      <c r="DP211" s="567"/>
      <c r="DQ211" s="567"/>
    </row>
    <row r="212" spans="1:121" s="487" customFormat="1">
      <c r="A212" s="588"/>
      <c r="B212" s="588"/>
      <c r="C212" s="588"/>
      <c r="D212" s="588"/>
      <c r="E212" s="588"/>
      <c r="F212" s="588"/>
      <c r="G212" s="588"/>
      <c r="H212" s="588"/>
      <c r="I212" s="588"/>
      <c r="J212" s="588"/>
      <c r="K212" s="588"/>
      <c r="L212" s="702"/>
      <c r="M212" s="888"/>
      <c r="N212" s="888"/>
      <c r="O212" s="888"/>
      <c r="P212" s="888"/>
      <c r="Q212" s="888"/>
      <c r="R212" s="888"/>
      <c r="S212" s="888"/>
      <c r="T212" s="888"/>
      <c r="U212" s="888"/>
      <c r="V212" s="888"/>
      <c r="W212" s="888"/>
      <c r="X212" s="888"/>
      <c r="Y212" s="888"/>
      <c r="Z212" s="888"/>
      <c r="AA212" s="888"/>
      <c r="AB212" s="888"/>
      <c r="AC212" s="888"/>
      <c r="AD212" s="888"/>
      <c r="AE212" s="888"/>
      <c r="AF212" s="888"/>
      <c r="AG212" s="888"/>
      <c r="AH212" s="888"/>
      <c r="AI212" s="888"/>
      <c r="AJ212" s="888"/>
      <c r="AK212" s="888"/>
      <c r="AL212" s="888"/>
      <c r="AM212" s="888"/>
      <c r="AN212" s="888"/>
      <c r="AO212" s="888"/>
      <c r="AP212" s="888"/>
      <c r="AQ212" s="888"/>
      <c r="AR212" s="888"/>
      <c r="AS212" s="888"/>
      <c r="AT212" s="888"/>
      <c r="AU212" s="888"/>
      <c r="AV212" s="888"/>
      <c r="AW212" s="888"/>
      <c r="AX212" s="888"/>
      <c r="AY212" s="888"/>
      <c r="AZ212" s="567"/>
      <c r="BA212" s="567"/>
      <c r="BB212" s="567"/>
      <c r="BC212" s="567"/>
      <c r="BD212" s="567"/>
      <c r="BE212" s="567"/>
      <c r="BF212" s="567"/>
      <c r="BG212" s="567"/>
      <c r="BH212" s="567"/>
      <c r="BI212" s="567"/>
      <c r="BJ212" s="567"/>
      <c r="BK212" s="567"/>
      <c r="BL212" s="567"/>
      <c r="BM212" s="567"/>
      <c r="BN212" s="567"/>
      <c r="BO212" s="567"/>
      <c r="BP212" s="567"/>
      <c r="BQ212" s="567"/>
      <c r="BR212" s="567"/>
      <c r="BS212" s="567"/>
      <c r="BT212" s="567"/>
      <c r="BU212" s="567"/>
      <c r="BV212" s="567"/>
      <c r="BW212" s="567"/>
      <c r="BX212" s="567"/>
      <c r="BY212" s="567"/>
      <c r="BZ212" s="567"/>
      <c r="CA212" s="567"/>
      <c r="CB212" s="567"/>
      <c r="CC212" s="567"/>
      <c r="CD212" s="567"/>
      <c r="CE212" s="567"/>
      <c r="CF212" s="567"/>
      <c r="CG212" s="567"/>
      <c r="CH212" s="567"/>
      <c r="CI212" s="567"/>
      <c r="CJ212" s="567"/>
      <c r="CK212" s="567"/>
      <c r="CL212" s="567"/>
      <c r="CM212" s="567"/>
      <c r="CN212" s="567"/>
      <c r="CO212" s="567"/>
      <c r="CP212" s="567"/>
      <c r="CQ212" s="567"/>
      <c r="CR212" s="567"/>
      <c r="CS212" s="567"/>
      <c r="CT212" s="567"/>
      <c r="CU212" s="567"/>
      <c r="CV212" s="567"/>
      <c r="CW212" s="567"/>
      <c r="CX212" s="567"/>
      <c r="CY212" s="567"/>
      <c r="CZ212" s="567"/>
      <c r="DA212" s="567"/>
      <c r="DB212" s="567"/>
      <c r="DC212" s="567"/>
      <c r="DD212" s="567"/>
      <c r="DE212" s="567"/>
      <c r="DF212" s="567"/>
      <c r="DG212" s="567"/>
      <c r="DH212" s="567"/>
      <c r="DI212" s="567"/>
      <c r="DJ212" s="567"/>
      <c r="DK212" s="567"/>
      <c r="DL212" s="567"/>
      <c r="DM212" s="567"/>
      <c r="DN212" s="567"/>
      <c r="DO212" s="567"/>
      <c r="DP212" s="567"/>
      <c r="DQ212" s="567"/>
    </row>
    <row r="213" spans="1:121" s="487" customFormat="1">
      <c r="A213" s="588"/>
      <c r="B213" s="588"/>
      <c r="C213" s="588"/>
      <c r="D213" s="588"/>
      <c r="E213" s="588"/>
      <c r="F213" s="588"/>
      <c r="G213" s="588"/>
      <c r="H213" s="588"/>
      <c r="I213" s="588"/>
      <c r="J213" s="588"/>
      <c r="K213" s="588"/>
      <c r="L213" s="702"/>
      <c r="M213" s="888"/>
      <c r="N213" s="888"/>
      <c r="O213" s="888"/>
      <c r="P213" s="888"/>
      <c r="Q213" s="888"/>
      <c r="R213" s="888"/>
      <c r="S213" s="888"/>
      <c r="T213" s="888"/>
      <c r="U213" s="888"/>
      <c r="V213" s="888"/>
      <c r="W213" s="888"/>
      <c r="X213" s="888"/>
      <c r="Y213" s="888"/>
      <c r="Z213" s="888"/>
      <c r="AA213" s="888"/>
      <c r="AB213" s="888"/>
      <c r="AC213" s="888"/>
      <c r="AD213" s="888"/>
      <c r="AE213" s="888"/>
      <c r="AF213" s="888"/>
      <c r="AG213" s="888"/>
      <c r="AH213" s="888"/>
      <c r="AI213" s="888"/>
      <c r="AJ213" s="888"/>
      <c r="AK213" s="888"/>
      <c r="AL213" s="888"/>
      <c r="AM213" s="888"/>
      <c r="AN213" s="888"/>
      <c r="AO213" s="888"/>
      <c r="AP213" s="888"/>
      <c r="AQ213" s="888"/>
      <c r="AR213" s="888"/>
      <c r="AS213" s="888"/>
      <c r="AT213" s="888"/>
      <c r="AU213" s="888"/>
      <c r="AV213" s="888"/>
      <c r="AW213" s="888"/>
      <c r="AX213" s="888"/>
      <c r="AY213" s="888"/>
      <c r="AZ213" s="567"/>
      <c r="BA213" s="567"/>
      <c r="BB213" s="567"/>
      <c r="BC213" s="567"/>
      <c r="BD213" s="567"/>
      <c r="BE213" s="567"/>
      <c r="BF213" s="567"/>
      <c r="BG213" s="567"/>
      <c r="BH213" s="567"/>
      <c r="BI213" s="567"/>
      <c r="BJ213" s="567"/>
      <c r="BK213" s="567"/>
      <c r="BL213" s="567"/>
      <c r="BM213" s="567"/>
      <c r="BN213" s="567"/>
      <c r="BO213" s="567"/>
      <c r="BP213" s="567"/>
      <c r="BQ213" s="567"/>
      <c r="BR213" s="567"/>
      <c r="BS213" s="567"/>
      <c r="BT213" s="567"/>
      <c r="BU213" s="567"/>
      <c r="BV213" s="567"/>
      <c r="BW213" s="567"/>
      <c r="BX213" s="567"/>
      <c r="BY213" s="567"/>
      <c r="BZ213" s="567"/>
      <c r="CA213" s="567"/>
      <c r="CB213" s="567"/>
      <c r="CC213" s="567"/>
      <c r="CD213" s="567"/>
      <c r="CE213" s="567"/>
      <c r="CF213" s="567"/>
      <c r="CG213" s="567"/>
      <c r="CH213" s="567"/>
      <c r="CI213" s="567"/>
      <c r="CJ213" s="567"/>
      <c r="CK213" s="567"/>
      <c r="CL213" s="567"/>
      <c r="CM213" s="567"/>
      <c r="CN213" s="567"/>
      <c r="CO213" s="567"/>
      <c r="CP213" s="567"/>
      <c r="CQ213" s="567"/>
      <c r="CR213" s="567"/>
      <c r="CS213" s="567"/>
      <c r="CT213" s="567"/>
      <c r="CU213" s="567"/>
      <c r="CV213" s="567"/>
      <c r="CW213" s="567"/>
      <c r="CX213" s="567"/>
      <c r="CY213" s="567"/>
      <c r="CZ213" s="567"/>
      <c r="DA213" s="567"/>
      <c r="DB213" s="567"/>
      <c r="DC213" s="567"/>
      <c r="DD213" s="567"/>
      <c r="DE213" s="567"/>
      <c r="DF213" s="567"/>
      <c r="DG213" s="567"/>
      <c r="DH213" s="567"/>
      <c r="DI213" s="567"/>
      <c r="DJ213" s="567"/>
      <c r="DK213" s="567"/>
      <c r="DL213" s="567"/>
      <c r="DM213" s="567"/>
      <c r="DN213" s="567"/>
      <c r="DO213" s="567"/>
      <c r="DP213" s="567"/>
      <c r="DQ213" s="567"/>
    </row>
    <row r="214" spans="1:121" s="487" customFormat="1">
      <c r="A214" s="588"/>
      <c r="B214" s="588"/>
      <c r="C214" s="588"/>
      <c r="D214" s="588"/>
      <c r="E214" s="588"/>
      <c r="F214" s="588"/>
      <c r="G214" s="588"/>
      <c r="H214" s="588"/>
      <c r="I214" s="588"/>
      <c r="J214" s="588"/>
      <c r="K214" s="588"/>
      <c r="L214" s="702"/>
      <c r="M214" s="888"/>
      <c r="N214" s="888"/>
      <c r="O214" s="888"/>
      <c r="P214" s="888"/>
      <c r="Q214" s="888"/>
      <c r="R214" s="888"/>
      <c r="S214" s="888"/>
      <c r="T214" s="888"/>
      <c r="U214" s="888"/>
      <c r="V214" s="888"/>
      <c r="W214" s="888"/>
      <c r="X214" s="888"/>
      <c r="Y214" s="888"/>
      <c r="Z214" s="888"/>
      <c r="AA214" s="888"/>
      <c r="AB214" s="888"/>
      <c r="AC214" s="888"/>
      <c r="AD214" s="888"/>
      <c r="AE214" s="888"/>
      <c r="AF214" s="888"/>
      <c r="AG214" s="888"/>
      <c r="AH214" s="888"/>
      <c r="AI214" s="888"/>
      <c r="AJ214" s="888"/>
      <c r="AK214" s="888"/>
      <c r="AL214" s="888"/>
      <c r="AM214" s="888"/>
      <c r="AN214" s="888"/>
      <c r="AO214" s="888"/>
      <c r="AP214" s="888"/>
      <c r="AQ214" s="888"/>
      <c r="AR214" s="888"/>
      <c r="AS214" s="888"/>
      <c r="AT214" s="888"/>
      <c r="AU214" s="888"/>
      <c r="AV214" s="888"/>
      <c r="AW214" s="888"/>
      <c r="AX214" s="888"/>
      <c r="AY214" s="888"/>
      <c r="AZ214" s="567"/>
      <c r="BA214" s="567"/>
      <c r="BB214" s="567"/>
      <c r="BC214" s="567"/>
      <c r="BD214" s="567"/>
      <c r="BE214" s="567"/>
      <c r="BF214" s="567"/>
      <c r="BG214" s="567"/>
      <c r="BH214" s="567"/>
      <c r="BI214" s="567"/>
      <c r="BJ214" s="567"/>
      <c r="BK214" s="567"/>
      <c r="BL214" s="567"/>
      <c r="BM214" s="567"/>
      <c r="BN214" s="567"/>
      <c r="BO214" s="567"/>
      <c r="BP214" s="567"/>
      <c r="BQ214" s="567"/>
      <c r="BR214" s="567"/>
      <c r="BS214" s="567"/>
      <c r="BT214" s="567"/>
      <c r="BU214" s="567"/>
      <c r="BV214" s="567"/>
      <c r="BW214" s="567"/>
      <c r="BX214" s="567"/>
      <c r="BY214" s="567"/>
      <c r="BZ214" s="567"/>
      <c r="CA214" s="567"/>
      <c r="CB214" s="567"/>
      <c r="CC214" s="567"/>
      <c r="CD214" s="567"/>
      <c r="CE214" s="567"/>
      <c r="CF214" s="567"/>
      <c r="CG214" s="567"/>
      <c r="CH214" s="567"/>
      <c r="CI214" s="567"/>
      <c r="CJ214" s="567"/>
      <c r="CK214" s="567"/>
      <c r="CL214" s="567"/>
      <c r="CM214" s="567"/>
      <c r="CN214" s="567"/>
      <c r="CO214" s="567"/>
      <c r="CP214" s="567"/>
      <c r="CQ214" s="567"/>
      <c r="CR214" s="567"/>
      <c r="CS214" s="567"/>
      <c r="CT214" s="567"/>
      <c r="CU214" s="567"/>
      <c r="CV214" s="567"/>
      <c r="CW214" s="567"/>
      <c r="CX214" s="567"/>
      <c r="CY214" s="567"/>
      <c r="CZ214" s="567"/>
      <c r="DA214" s="567"/>
      <c r="DB214" s="567"/>
      <c r="DC214" s="567"/>
      <c r="DD214" s="567"/>
      <c r="DE214" s="567"/>
      <c r="DF214" s="567"/>
      <c r="DG214" s="567"/>
      <c r="DH214" s="567"/>
      <c r="DI214" s="567"/>
      <c r="DJ214" s="567"/>
      <c r="DK214" s="567"/>
      <c r="DL214" s="567"/>
      <c r="DM214" s="567"/>
      <c r="DN214" s="567"/>
      <c r="DO214" s="567"/>
      <c r="DP214" s="567"/>
      <c r="DQ214" s="567"/>
    </row>
    <row r="215" spans="1:121" s="487" customFormat="1">
      <c r="A215" s="588"/>
      <c r="B215" s="588"/>
      <c r="C215" s="588"/>
      <c r="D215" s="588"/>
      <c r="E215" s="588"/>
      <c r="F215" s="588"/>
      <c r="G215" s="588"/>
      <c r="H215" s="588"/>
      <c r="I215" s="588"/>
      <c r="J215" s="588"/>
      <c r="K215" s="588"/>
      <c r="L215" s="702"/>
      <c r="M215" s="888"/>
      <c r="N215" s="888"/>
      <c r="O215" s="888"/>
      <c r="P215" s="888"/>
      <c r="Q215" s="888"/>
      <c r="R215" s="888"/>
      <c r="S215" s="888"/>
      <c r="T215" s="888"/>
      <c r="U215" s="888"/>
      <c r="V215" s="888"/>
      <c r="W215" s="888"/>
      <c r="X215" s="888"/>
      <c r="Y215" s="888"/>
      <c r="Z215" s="888"/>
      <c r="AA215" s="888"/>
      <c r="AB215" s="888"/>
      <c r="AC215" s="888"/>
      <c r="AD215" s="888"/>
      <c r="AE215" s="888"/>
      <c r="AF215" s="888"/>
      <c r="AG215" s="888"/>
      <c r="AH215" s="888"/>
      <c r="AI215" s="888"/>
      <c r="AJ215" s="888"/>
      <c r="AK215" s="888"/>
      <c r="AL215" s="888"/>
      <c r="AM215" s="888"/>
      <c r="AN215" s="888"/>
      <c r="AO215" s="888"/>
      <c r="AP215" s="888"/>
      <c r="AQ215" s="888"/>
      <c r="AR215" s="888"/>
      <c r="AS215" s="888"/>
      <c r="AT215" s="888"/>
      <c r="AU215" s="888"/>
      <c r="AV215" s="888"/>
      <c r="AW215" s="888"/>
      <c r="AX215" s="888"/>
      <c r="AY215" s="888"/>
      <c r="AZ215" s="567"/>
      <c r="BA215" s="567"/>
      <c r="BB215" s="567"/>
      <c r="BC215" s="567"/>
      <c r="BD215" s="567"/>
      <c r="BE215" s="567"/>
      <c r="BF215" s="567"/>
      <c r="BG215" s="567"/>
      <c r="BH215" s="567"/>
      <c r="BI215" s="567"/>
      <c r="BJ215" s="567"/>
      <c r="BK215" s="567"/>
      <c r="BL215" s="567"/>
      <c r="BM215" s="567"/>
      <c r="BN215" s="567"/>
      <c r="BO215" s="567"/>
      <c r="BP215" s="567"/>
      <c r="BQ215" s="567"/>
      <c r="BR215" s="567"/>
      <c r="BS215" s="567"/>
      <c r="BT215" s="567"/>
      <c r="BU215" s="567"/>
      <c r="BV215" s="567"/>
      <c r="BW215" s="567"/>
      <c r="BX215" s="567"/>
      <c r="BY215" s="567"/>
      <c r="BZ215" s="567"/>
      <c r="CA215" s="567"/>
      <c r="CB215" s="567"/>
      <c r="CC215" s="567"/>
      <c r="CD215" s="567"/>
      <c r="CE215" s="567"/>
      <c r="CF215" s="567"/>
      <c r="CG215" s="567"/>
      <c r="CH215" s="567"/>
      <c r="CI215" s="567"/>
      <c r="CJ215" s="567"/>
      <c r="CK215" s="567"/>
      <c r="CL215" s="567"/>
      <c r="CM215" s="567"/>
      <c r="CN215" s="567"/>
      <c r="CO215" s="567"/>
      <c r="CP215" s="567"/>
      <c r="CQ215" s="567"/>
      <c r="CR215" s="567"/>
      <c r="CS215" s="567"/>
      <c r="CT215" s="567"/>
      <c r="CU215" s="567"/>
      <c r="CV215" s="567"/>
      <c r="CW215" s="567"/>
      <c r="CX215" s="567"/>
      <c r="CY215" s="567"/>
      <c r="CZ215" s="567"/>
      <c r="DA215" s="567"/>
      <c r="DB215" s="567"/>
      <c r="DC215" s="567"/>
      <c r="DD215" s="567"/>
      <c r="DE215" s="567"/>
      <c r="DF215" s="567"/>
      <c r="DG215" s="567"/>
      <c r="DH215" s="567"/>
      <c r="DI215" s="567"/>
      <c r="DJ215" s="567"/>
      <c r="DK215" s="567"/>
      <c r="DL215" s="567"/>
      <c r="DM215" s="567"/>
      <c r="DN215" s="567"/>
      <c r="DO215" s="567"/>
      <c r="DP215" s="567"/>
      <c r="DQ215" s="567"/>
    </row>
    <row r="216" spans="1:121" s="487" customFormat="1">
      <c r="A216" s="588"/>
      <c r="B216" s="588"/>
      <c r="C216" s="588"/>
      <c r="D216" s="588"/>
      <c r="E216" s="588"/>
      <c r="F216" s="588"/>
      <c r="G216" s="588"/>
      <c r="H216" s="588"/>
      <c r="I216" s="588"/>
      <c r="J216" s="588"/>
      <c r="K216" s="588"/>
      <c r="L216" s="702"/>
      <c r="M216" s="888"/>
      <c r="N216" s="888"/>
      <c r="O216" s="888"/>
      <c r="P216" s="888"/>
      <c r="Q216" s="888"/>
      <c r="R216" s="888"/>
      <c r="S216" s="888"/>
      <c r="T216" s="888"/>
      <c r="U216" s="888"/>
      <c r="V216" s="888"/>
      <c r="W216" s="888"/>
      <c r="X216" s="888"/>
      <c r="Y216" s="888"/>
      <c r="Z216" s="888"/>
      <c r="AA216" s="888"/>
      <c r="AB216" s="888"/>
      <c r="AC216" s="888"/>
      <c r="AD216" s="888"/>
      <c r="AE216" s="888"/>
      <c r="AF216" s="888"/>
      <c r="AG216" s="888"/>
      <c r="AH216" s="888"/>
      <c r="AI216" s="888"/>
      <c r="AJ216" s="888"/>
      <c r="AK216" s="888"/>
      <c r="AL216" s="888"/>
      <c r="AM216" s="888"/>
      <c r="AN216" s="888"/>
      <c r="AO216" s="888"/>
      <c r="AP216" s="888"/>
      <c r="AQ216" s="888"/>
      <c r="AR216" s="888"/>
      <c r="AS216" s="888"/>
      <c r="AT216" s="888"/>
      <c r="AU216" s="888"/>
      <c r="AV216" s="888"/>
      <c r="AW216" s="888"/>
      <c r="AX216" s="888"/>
      <c r="AY216" s="888"/>
      <c r="AZ216" s="567"/>
      <c r="BA216" s="567"/>
      <c r="BB216" s="567"/>
      <c r="BC216" s="567"/>
      <c r="BD216" s="567"/>
      <c r="BE216" s="567"/>
      <c r="BF216" s="567"/>
      <c r="BG216" s="567"/>
      <c r="BH216" s="567"/>
      <c r="BI216" s="567"/>
      <c r="BJ216" s="567"/>
      <c r="BK216" s="567"/>
      <c r="BL216" s="567"/>
      <c r="BM216" s="567"/>
      <c r="BN216" s="567"/>
      <c r="BO216" s="567"/>
      <c r="BP216" s="567"/>
      <c r="BQ216" s="567"/>
      <c r="BR216" s="567"/>
      <c r="BS216" s="567"/>
      <c r="BT216" s="567"/>
      <c r="BU216" s="567"/>
      <c r="BV216" s="567"/>
      <c r="BW216" s="567"/>
      <c r="BX216" s="567"/>
      <c r="BY216" s="567"/>
      <c r="BZ216" s="567"/>
      <c r="CA216" s="567"/>
      <c r="CB216" s="567"/>
      <c r="CC216" s="567"/>
      <c r="CD216" s="567"/>
      <c r="CE216" s="567"/>
      <c r="CF216" s="567"/>
      <c r="CG216" s="567"/>
      <c r="CH216" s="567"/>
      <c r="CI216" s="567"/>
      <c r="CJ216" s="567"/>
      <c r="CK216" s="567"/>
      <c r="CL216" s="567"/>
      <c r="CM216" s="567"/>
      <c r="CN216" s="567"/>
      <c r="CO216" s="567"/>
      <c r="CP216" s="567"/>
      <c r="CQ216" s="567"/>
      <c r="CR216" s="567"/>
      <c r="CS216" s="567"/>
      <c r="CT216" s="567"/>
      <c r="CU216" s="567"/>
      <c r="CV216" s="567"/>
      <c r="CW216" s="567"/>
      <c r="CX216" s="567"/>
      <c r="CY216" s="567"/>
      <c r="CZ216" s="567"/>
      <c r="DA216" s="567"/>
      <c r="DB216" s="567"/>
      <c r="DC216" s="567"/>
      <c r="DD216" s="567"/>
      <c r="DE216" s="567"/>
      <c r="DF216" s="567"/>
      <c r="DG216" s="567"/>
      <c r="DH216" s="567"/>
      <c r="DI216" s="567"/>
      <c r="DJ216" s="567"/>
      <c r="DK216" s="567"/>
      <c r="DL216" s="567"/>
      <c r="DM216" s="567"/>
      <c r="DN216" s="567"/>
      <c r="DO216" s="567"/>
      <c r="DP216" s="567"/>
      <c r="DQ216" s="567"/>
    </row>
    <row r="217" spans="1:121" s="487" customFormat="1">
      <c r="A217" s="588"/>
      <c r="B217" s="588"/>
      <c r="C217" s="588"/>
      <c r="D217" s="588"/>
      <c r="E217" s="588"/>
      <c r="F217" s="588"/>
      <c r="G217" s="588"/>
      <c r="H217" s="588"/>
      <c r="I217" s="588"/>
      <c r="J217" s="588"/>
      <c r="K217" s="588"/>
      <c r="L217" s="702"/>
      <c r="M217" s="888"/>
      <c r="N217" s="888"/>
      <c r="O217" s="888"/>
      <c r="P217" s="888"/>
      <c r="Q217" s="888"/>
      <c r="R217" s="888"/>
      <c r="S217" s="888"/>
      <c r="T217" s="888"/>
      <c r="U217" s="888"/>
      <c r="V217" s="888"/>
      <c r="W217" s="888"/>
      <c r="X217" s="888"/>
      <c r="Y217" s="888"/>
      <c r="Z217" s="888"/>
      <c r="AA217" s="888"/>
      <c r="AB217" s="888"/>
      <c r="AC217" s="888"/>
      <c r="AD217" s="888"/>
      <c r="AE217" s="888"/>
      <c r="AF217" s="888"/>
      <c r="AG217" s="888"/>
      <c r="AH217" s="888"/>
      <c r="AI217" s="888"/>
      <c r="AJ217" s="888"/>
      <c r="AK217" s="888"/>
      <c r="AL217" s="888"/>
      <c r="AM217" s="888"/>
      <c r="AN217" s="888"/>
      <c r="AO217" s="888"/>
      <c r="AP217" s="888"/>
      <c r="AQ217" s="888"/>
      <c r="AR217" s="888"/>
      <c r="AS217" s="888"/>
      <c r="AT217" s="888"/>
      <c r="AU217" s="888"/>
      <c r="AV217" s="888"/>
      <c r="AW217" s="888"/>
      <c r="AX217" s="888"/>
      <c r="AY217" s="888"/>
      <c r="AZ217" s="567"/>
      <c r="BA217" s="567"/>
      <c r="BB217" s="567"/>
      <c r="BC217" s="567"/>
      <c r="BD217" s="567"/>
      <c r="BE217" s="567"/>
      <c r="BF217" s="567"/>
      <c r="BG217" s="567"/>
      <c r="BH217" s="567"/>
      <c r="BI217" s="567"/>
      <c r="BJ217" s="567"/>
      <c r="BK217" s="567"/>
      <c r="BL217" s="567"/>
      <c r="BM217" s="567"/>
      <c r="BN217" s="567"/>
      <c r="BO217" s="567"/>
      <c r="BP217" s="567"/>
      <c r="BQ217" s="567"/>
      <c r="BR217" s="567"/>
      <c r="BS217" s="567"/>
      <c r="BT217" s="567"/>
      <c r="BU217" s="567"/>
      <c r="BV217" s="567"/>
      <c r="BW217" s="567"/>
      <c r="BX217" s="567"/>
      <c r="BY217" s="567"/>
      <c r="BZ217" s="567"/>
      <c r="CA217" s="567"/>
      <c r="CB217" s="567"/>
      <c r="CC217" s="567"/>
      <c r="CD217" s="567"/>
      <c r="CE217" s="567"/>
      <c r="CF217" s="567"/>
      <c r="CG217" s="567"/>
      <c r="CH217" s="567"/>
      <c r="CI217" s="567"/>
      <c r="CJ217" s="567"/>
      <c r="CK217" s="567"/>
      <c r="CL217" s="567"/>
      <c r="CM217" s="567"/>
      <c r="CN217" s="567"/>
      <c r="CO217" s="567"/>
      <c r="CP217" s="567"/>
      <c r="CQ217" s="567"/>
      <c r="CR217" s="567"/>
      <c r="CS217" s="567"/>
      <c r="CT217" s="567"/>
      <c r="CU217" s="567"/>
      <c r="CV217" s="567"/>
      <c r="CW217" s="567"/>
      <c r="CX217" s="567"/>
      <c r="CY217" s="567"/>
      <c r="CZ217" s="567"/>
      <c r="DA217" s="567"/>
      <c r="DB217" s="567"/>
      <c r="DC217" s="567"/>
      <c r="DD217" s="567"/>
      <c r="DE217" s="567"/>
      <c r="DF217" s="567"/>
      <c r="DG217" s="567"/>
      <c r="DH217" s="567"/>
      <c r="DI217" s="567"/>
      <c r="DJ217" s="567"/>
      <c r="DK217" s="567"/>
      <c r="DL217" s="567"/>
      <c r="DM217" s="567"/>
      <c r="DN217" s="567"/>
      <c r="DO217" s="567"/>
      <c r="DP217" s="567"/>
      <c r="DQ217" s="567"/>
    </row>
    <row r="218" spans="1:121" s="487" customFormat="1">
      <c r="A218" s="588"/>
      <c r="B218" s="588"/>
      <c r="C218" s="588"/>
      <c r="D218" s="588"/>
      <c r="E218" s="588"/>
      <c r="F218" s="588"/>
      <c r="G218" s="588"/>
      <c r="H218" s="588"/>
      <c r="I218" s="588"/>
      <c r="J218" s="588"/>
      <c r="K218" s="588"/>
      <c r="L218" s="702"/>
      <c r="M218" s="888"/>
      <c r="N218" s="888"/>
      <c r="O218" s="888"/>
      <c r="P218" s="888"/>
      <c r="Q218" s="888"/>
      <c r="R218" s="888"/>
      <c r="S218" s="888"/>
      <c r="T218" s="888"/>
      <c r="U218" s="888"/>
      <c r="V218" s="888"/>
      <c r="W218" s="888"/>
      <c r="X218" s="888"/>
      <c r="Y218" s="888"/>
      <c r="Z218" s="888"/>
      <c r="AA218" s="888"/>
      <c r="AB218" s="888"/>
      <c r="AC218" s="888"/>
      <c r="AD218" s="888"/>
      <c r="AE218" s="888"/>
      <c r="AF218" s="888"/>
      <c r="AG218" s="888"/>
      <c r="AH218" s="888"/>
      <c r="AI218" s="888"/>
      <c r="AJ218" s="888"/>
      <c r="AK218" s="888"/>
      <c r="AL218" s="888"/>
      <c r="AM218" s="888"/>
      <c r="AN218" s="888"/>
      <c r="AO218" s="888"/>
      <c r="AP218" s="888"/>
      <c r="AQ218" s="888"/>
      <c r="AR218" s="888"/>
      <c r="AS218" s="888"/>
      <c r="AT218" s="888"/>
      <c r="AU218" s="888"/>
      <c r="AV218" s="888"/>
      <c r="AW218" s="888"/>
      <c r="AX218" s="888"/>
      <c r="AY218" s="888"/>
      <c r="AZ218" s="567"/>
      <c r="BA218" s="567"/>
      <c r="BB218" s="567"/>
      <c r="BC218" s="567"/>
      <c r="BD218" s="567"/>
      <c r="BE218" s="567"/>
      <c r="BF218" s="567"/>
      <c r="BG218" s="567"/>
      <c r="BH218" s="567"/>
      <c r="BI218" s="567"/>
      <c r="BJ218" s="567"/>
      <c r="BK218" s="567"/>
      <c r="BL218" s="567"/>
      <c r="BM218" s="567"/>
      <c r="BN218" s="567"/>
      <c r="BO218" s="567"/>
      <c r="BP218" s="567"/>
      <c r="BQ218" s="567"/>
      <c r="BR218" s="567"/>
      <c r="BS218" s="567"/>
      <c r="BT218" s="567"/>
      <c r="BU218" s="567"/>
      <c r="BV218" s="567"/>
      <c r="BW218" s="567"/>
      <c r="BX218" s="567"/>
      <c r="BY218" s="567"/>
      <c r="BZ218" s="567"/>
      <c r="CA218" s="567"/>
      <c r="CB218" s="567"/>
      <c r="CC218" s="567"/>
      <c r="CD218" s="567"/>
      <c r="CE218" s="567"/>
      <c r="CF218" s="567"/>
      <c r="CG218" s="567"/>
      <c r="CH218" s="567"/>
      <c r="CI218" s="567"/>
      <c r="CJ218" s="567"/>
      <c r="CK218" s="567"/>
      <c r="CL218" s="567"/>
      <c r="CM218" s="567"/>
      <c r="CN218" s="567"/>
      <c r="CO218" s="567"/>
      <c r="CP218" s="567"/>
      <c r="CQ218" s="567"/>
      <c r="CR218" s="567"/>
      <c r="CS218" s="567"/>
      <c r="CT218" s="567"/>
      <c r="CU218" s="567"/>
      <c r="CV218" s="567"/>
      <c r="CW218" s="567"/>
      <c r="CX218" s="567"/>
      <c r="CY218" s="567"/>
      <c r="CZ218" s="567"/>
      <c r="DA218" s="567"/>
      <c r="DB218" s="567"/>
      <c r="DC218" s="567"/>
      <c r="DD218" s="567"/>
      <c r="DE218" s="567"/>
      <c r="DF218" s="567"/>
      <c r="DG218" s="567"/>
      <c r="DH218" s="567"/>
      <c r="DI218" s="567"/>
      <c r="DJ218" s="567"/>
      <c r="DK218" s="567"/>
      <c r="DL218" s="567"/>
      <c r="DM218" s="567"/>
      <c r="DN218" s="567"/>
      <c r="DO218" s="567"/>
      <c r="DP218" s="567"/>
      <c r="DQ218" s="567"/>
    </row>
    <row r="219" spans="1:121" s="487" customFormat="1">
      <c r="A219" s="588"/>
      <c r="B219" s="588"/>
      <c r="C219" s="588"/>
      <c r="D219" s="588"/>
      <c r="E219" s="588"/>
      <c r="F219" s="588"/>
      <c r="G219" s="588"/>
      <c r="H219" s="588"/>
      <c r="I219" s="588"/>
      <c r="J219" s="588"/>
      <c r="K219" s="588"/>
      <c r="L219" s="702"/>
      <c r="M219" s="888"/>
      <c r="N219" s="888"/>
      <c r="O219" s="888"/>
      <c r="P219" s="888"/>
      <c r="Q219" s="888"/>
      <c r="R219" s="888"/>
      <c r="S219" s="888"/>
      <c r="T219" s="888"/>
      <c r="U219" s="888"/>
      <c r="V219" s="888"/>
      <c r="W219" s="888"/>
      <c r="X219" s="888"/>
      <c r="Y219" s="888"/>
      <c r="Z219" s="888"/>
      <c r="AA219" s="888"/>
      <c r="AB219" s="888"/>
      <c r="AC219" s="888"/>
      <c r="AD219" s="888"/>
      <c r="AE219" s="888"/>
      <c r="AF219" s="888"/>
      <c r="AG219" s="888"/>
      <c r="AH219" s="888"/>
      <c r="AI219" s="888"/>
      <c r="AJ219" s="888"/>
      <c r="AK219" s="888"/>
      <c r="AL219" s="888"/>
      <c r="AM219" s="888"/>
      <c r="AN219" s="888"/>
      <c r="AO219" s="888"/>
      <c r="AP219" s="888"/>
      <c r="AQ219" s="888"/>
      <c r="AR219" s="888"/>
      <c r="AS219" s="888"/>
      <c r="AT219" s="888"/>
      <c r="AU219" s="888"/>
      <c r="AV219" s="888"/>
      <c r="AW219" s="888"/>
      <c r="AX219" s="888"/>
      <c r="AY219" s="888"/>
      <c r="AZ219" s="567"/>
      <c r="BA219" s="567"/>
      <c r="BB219" s="567"/>
      <c r="BC219" s="567"/>
      <c r="BD219" s="567"/>
      <c r="BE219" s="567"/>
      <c r="BF219" s="567"/>
      <c r="BG219" s="567"/>
      <c r="BH219" s="567"/>
      <c r="BI219" s="567"/>
      <c r="BJ219" s="567"/>
      <c r="BK219" s="567"/>
      <c r="BL219" s="567"/>
      <c r="BM219" s="567"/>
      <c r="BN219" s="567"/>
      <c r="BO219" s="567"/>
      <c r="BP219" s="567"/>
      <c r="BQ219" s="567"/>
      <c r="BR219" s="567"/>
      <c r="BS219" s="567"/>
      <c r="BT219" s="567"/>
      <c r="BU219" s="567"/>
      <c r="BV219" s="567"/>
      <c r="BW219" s="567"/>
      <c r="BX219" s="567"/>
      <c r="BY219" s="567"/>
      <c r="BZ219" s="567"/>
      <c r="CA219" s="567"/>
      <c r="CB219" s="567"/>
      <c r="CC219" s="567"/>
      <c r="CD219" s="567"/>
      <c r="CE219" s="567"/>
      <c r="CF219" s="567"/>
      <c r="CG219" s="567"/>
      <c r="CH219" s="567"/>
      <c r="CI219" s="567"/>
      <c r="CJ219" s="567"/>
      <c r="CK219" s="567"/>
      <c r="CL219" s="567"/>
      <c r="CM219" s="567"/>
      <c r="CN219" s="567"/>
      <c r="CO219" s="567"/>
      <c r="CP219" s="567"/>
      <c r="CQ219" s="567"/>
      <c r="CR219" s="567"/>
      <c r="CS219" s="567"/>
      <c r="CT219" s="567"/>
      <c r="CU219" s="567"/>
      <c r="CV219" s="567"/>
      <c r="CW219" s="567"/>
      <c r="CX219" s="567"/>
      <c r="CY219" s="567"/>
      <c r="CZ219" s="567"/>
      <c r="DA219" s="567"/>
      <c r="DB219" s="567"/>
      <c r="DC219" s="567"/>
      <c r="DD219" s="567"/>
      <c r="DE219" s="567"/>
      <c r="DF219" s="567"/>
      <c r="DG219" s="567"/>
      <c r="DH219" s="567"/>
      <c r="DI219" s="567"/>
      <c r="DJ219" s="567"/>
      <c r="DK219" s="567"/>
      <c r="DL219" s="567"/>
      <c r="DM219" s="567"/>
      <c r="DN219" s="567"/>
      <c r="DO219" s="567"/>
      <c r="DP219" s="567"/>
      <c r="DQ219" s="567"/>
    </row>
    <row r="220" spans="1:121" s="487" customFormat="1">
      <c r="A220" s="588"/>
      <c r="B220" s="588"/>
      <c r="C220" s="588"/>
      <c r="D220" s="588"/>
      <c r="E220" s="588"/>
      <c r="F220" s="588"/>
      <c r="G220" s="588"/>
      <c r="H220" s="588"/>
      <c r="I220" s="588"/>
      <c r="J220" s="588"/>
      <c r="K220" s="588"/>
      <c r="L220" s="702"/>
      <c r="M220" s="888"/>
      <c r="N220" s="888"/>
      <c r="O220" s="888"/>
      <c r="P220" s="888"/>
      <c r="Q220" s="888"/>
      <c r="R220" s="888"/>
      <c r="S220" s="888"/>
      <c r="T220" s="888"/>
      <c r="U220" s="888"/>
      <c r="V220" s="888"/>
      <c r="W220" s="888"/>
      <c r="X220" s="888"/>
      <c r="Y220" s="888"/>
      <c r="Z220" s="888"/>
      <c r="AA220" s="888"/>
      <c r="AB220" s="888"/>
      <c r="AC220" s="888"/>
      <c r="AD220" s="888"/>
      <c r="AE220" s="888"/>
      <c r="AF220" s="888"/>
      <c r="AG220" s="888"/>
      <c r="AH220" s="888"/>
      <c r="AI220" s="888"/>
      <c r="AJ220" s="888"/>
      <c r="AK220" s="888"/>
      <c r="AL220" s="888"/>
      <c r="AM220" s="888"/>
      <c r="AN220" s="888"/>
      <c r="AO220" s="888"/>
      <c r="AP220" s="888"/>
      <c r="AQ220" s="888"/>
      <c r="AR220" s="888"/>
      <c r="AS220" s="888"/>
      <c r="AT220" s="888"/>
      <c r="AU220" s="888"/>
      <c r="AV220" s="888"/>
      <c r="AW220" s="888"/>
      <c r="AX220" s="888"/>
      <c r="AY220" s="888"/>
      <c r="AZ220" s="567"/>
      <c r="BA220" s="567"/>
      <c r="BB220" s="567"/>
      <c r="BC220" s="567"/>
      <c r="BD220" s="567"/>
      <c r="BE220" s="567"/>
      <c r="BF220" s="567"/>
      <c r="BG220" s="567"/>
      <c r="BH220" s="567"/>
      <c r="BI220" s="567"/>
      <c r="BJ220" s="567"/>
      <c r="BK220" s="567"/>
      <c r="BL220" s="567"/>
      <c r="BM220" s="567"/>
      <c r="BN220" s="567"/>
      <c r="BO220" s="567"/>
      <c r="BP220" s="567"/>
      <c r="BQ220" s="567"/>
      <c r="BR220" s="567"/>
      <c r="BS220" s="567"/>
      <c r="BT220" s="567"/>
      <c r="BU220" s="567"/>
      <c r="BV220" s="567"/>
      <c r="BW220" s="567"/>
      <c r="BX220" s="567"/>
      <c r="BY220" s="567"/>
      <c r="BZ220" s="567"/>
      <c r="CA220" s="567"/>
      <c r="CB220" s="567"/>
      <c r="CC220" s="567"/>
      <c r="CD220" s="567"/>
      <c r="CE220" s="567"/>
      <c r="CF220" s="567"/>
      <c r="CG220" s="567"/>
      <c r="CH220" s="567"/>
      <c r="CI220" s="567"/>
      <c r="CJ220" s="567"/>
      <c r="CK220" s="567"/>
      <c r="CL220" s="567"/>
      <c r="CM220" s="567"/>
      <c r="CN220" s="567"/>
      <c r="CO220" s="567"/>
      <c r="CP220" s="567"/>
      <c r="CQ220" s="567"/>
      <c r="CR220" s="567"/>
      <c r="CS220" s="567"/>
      <c r="CT220" s="567"/>
      <c r="CU220" s="567"/>
      <c r="CV220" s="567"/>
      <c r="CW220" s="567"/>
      <c r="CX220" s="567"/>
      <c r="CY220" s="567"/>
      <c r="CZ220" s="567"/>
      <c r="DA220" s="567"/>
      <c r="DB220" s="567"/>
      <c r="DC220" s="567"/>
      <c r="DD220" s="567"/>
      <c r="DE220" s="567"/>
      <c r="DF220" s="567"/>
      <c r="DG220" s="567"/>
      <c r="DH220" s="567"/>
      <c r="DI220" s="567"/>
      <c r="DJ220" s="567"/>
      <c r="DK220" s="567"/>
      <c r="DL220" s="567"/>
      <c r="DM220" s="567"/>
      <c r="DN220" s="567"/>
      <c r="DO220" s="567"/>
      <c r="DP220" s="567"/>
      <c r="DQ220" s="567"/>
    </row>
    <row r="221" spans="1:121" s="487" customFormat="1">
      <c r="A221" s="588"/>
      <c r="B221" s="588"/>
      <c r="C221" s="588"/>
      <c r="D221" s="588"/>
      <c r="E221" s="588"/>
      <c r="F221" s="588"/>
      <c r="G221" s="588"/>
      <c r="H221" s="588"/>
      <c r="I221" s="588"/>
      <c r="J221" s="588"/>
      <c r="K221" s="588"/>
      <c r="L221" s="702"/>
      <c r="M221" s="888"/>
      <c r="N221" s="888"/>
      <c r="O221" s="888"/>
      <c r="P221" s="888"/>
      <c r="Q221" s="888"/>
      <c r="R221" s="888"/>
      <c r="S221" s="888"/>
      <c r="T221" s="888"/>
      <c r="U221" s="888"/>
      <c r="V221" s="888"/>
      <c r="W221" s="888"/>
      <c r="X221" s="888"/>
      <c r="Y221" s="888"/>
      <c r="Z221" s="888"/>
      <c r="AA221" s="888"/>
      <c r="AB221" s="888"/>
      <c r="AC221" s="888"/>
      <c r="AD221" s="888"/>
      <c r="AE221" s="888"/>
      <c r="AF221" s="888"/>
      <c r="AG221" s="888"/>
      <c r="AH221" s="888"/>
      <c r="AI221" s="888"/>
      <c r="AJ221" s="888"/>
      <c r="AK221" s="888"/>
      <c r="AL221" s="888"/>
      <c r="AM221" s="888"/>
      <c r="AN221" s="888"/>
      <c r="AO221" s="888"/>
      <c r="AP221" s="888"/>
      <c r="AQ221" s="888"/>
      <c r="AR221" s="888"/>
      <c r="AS221" s="888"/>
      <c r="AT221" s="888"/>
      <c r="AU221" s="888"/>
      <c r="AV221" s="888"/>
      <c r="AW221" s="888"/>
      <c r="AX221" s="888"/>
      <c r="AY221" s="888"/>
      <c r="AZ221" s="567"/>
      <c r="BA221" s="567"/>
      <c r="BB221" s="567"/>
      <c r="BC221" s="567"/>
      <c r="BD221" s="567"/>
      <c r="BE221" s="567"/>
      <c r="BF221" s="567"/>
      <c r="BG221" s="567"/>
      <c r="BH221" s="567"/>
      <c r="BI221" s="567"/>
      <c r="BJ221" s="567"/>
      <c r="BK221" s="567"/>
      <c r="BL221" s="567"/>
      <c r="BM221" s="567"/>
      <c r="BN221" s="567"/>
      <c r="BO221" s="567"/>
      <c r="BP221" s="567"/>
      <c r="BQ221" s="567"/>
      <c r="BR221" s="567"/>
      <c r="BS221" s="567"/>
      <c r="BT221" s="567"/>
      <c r="BU221" s="567"/>
      <c r="BV221" s="567"/>
      <c r="BW221" s="567"/>
      <c r="BX221" s="567"/>
      <c r="BY221" s="567"/>
      <c r="BZ221" s="567"/>
      <c r="CA221" s="567"/>
      <c r="CB221" s="567"/>
      <c r="CC221" s="567"/>
      <c r="CD221" s="567"/>
      <c r="CE221" s="567"/>
      <c r="CF221" s="567"/>
      <c r="CG221" s="567"/>
      <c r="CH221" s="567"/>
      <c r="CI221" s="567"/>
      <c r="CJ221" s="567"/>
      <c r="CK221" s="567"/>
      <c r="CL221" s="567"/>
      <c r="CM221" s="567"/>
      <c r="CN221" s="567"/>
      <c r="CO221" s="567"/>
      <c r="CP221" s="567"/>
      <c r="CQ221" s="567"/>
      <c r="CR221" s="567"/>
      <c r="CS221" s="567"/>
      <c r="CT221" s="567"/>
      <c r="CU221" s="567"/>
      <c r="CV221" s="567"/>
      <c r="CW221" s="567"/>
      <c r="CX221" s="567"/>
      <c r="CY221" s="567"/>
      <c r="CZ221" s="567"/>
      <c r="DA221" s="567"/>
      <c r="DB221" s="567"/>
      <c r="DC221" s="567"/>
      <c r="DD221" s="567"/>
      <c r="DE221" s="567"/>
      <c r="DF221" s="567"/>
      <c r="DG221" s="567"/>
      <c r="DH221" s="567"/>
      <c r="DI221" s="567"/>
      <c r="DJ221" s="567"/>
      <c r="DK221" s="567"/>
      <c r="DL221" s="567"/>
      <c r="DM221" s="567"/>
      <c r="DN221" s="567"/>
      <c r="DO221" s="567"/>
      <c r="DP221" s="567"/>
      <c r="DQ221" s="567"/>
    </row>
    <row r="222" spans="1:121" s="487" customFormat="1">
      <c r="A222" s="588"/>
      <c r="B222" s="588"/>
      <c r="C222" s="588"/>
      <c r="D222" s="588"/>
      <c r="E222" s="588"/>
      <c r="F222" s="588"/>
      <c r="G222" s="588"/>
      <c r="H222" s="588"/>
      <c r="I222" s="588"/>
      <c r="J222" s="588"/>
      <c r="K222" s="588"/>
      <c r="L222" s="702"/>
      <c r="M222" s="888"/>
      <c r="N222" s="888"/>
      <c r="O222" s="888"/>
      <c r="P222" s="888"/>
      <c r="Q222" s="888"/>
      <c r="R222" s="888"/>
      <c r="S222" s="888"/>
      <c r="T222" s="888"/>
      <c r="U222" s="888"/>
      <c r="V222" s="888"/>
      <c r="W222" s="888"/>
      <c r="X222" s="888"/>
      <c r="Y222" s="888"/>
      <c r="Z222" s="888"/>
      <c r="AA222" s="888"/>
      <c r="AB222" s="888"/>
      <c r="AC222" s="888"/>
      <c r="AD222" s="888"/>
      <c r="AE222" s="888"/>
      <c r="AF222" s="888"/>
      <c r="AG222" s="888"/>
      <c r="AH222" s="888"/>
      <c r="AI222" s="888"/>
      <c r="AJ222" s="888"/>
      <c r="AK222" s="888"/>
      <c r="AL222" s="888"/>
      <c r="AM222" s="888"/>
      <c r="AN222" s="888"/>
      <c r="AO222" s="888"/>
      <c r="AP222" s="888"/>
      <c r="AQ222" s="888"/>
      <c r="AR222" s="888"/>
      <c r="AS222" s="888"/>
      <c r="AT222" s="888"/>
      <c r="AU222" s="888"/>
      <c r="AV222" s="888"/>
      <c r="AW222" s="888"/>
      <c r="AX222" s="888"/>
      <c r="AY222" s="888"/>
      <c r="AZ222" s="567"/>
      <c r="BA222" s="567"/>
      <c r="BB222" s="567"/>
      <c r="BC222" s="567"/>
      <c r="BD222" s="567"/>
      <c r="BE222" s="567"/>
      <c r="BF222" s="567"/>
      <c r="BG222" s="567"/>
      <c r="BH222" s="567"/>
      <c r="BI222" s="567"/>
      <c r="BJ222" s="567"/>
      <c r="BK222" s="567"/>
      <c r="BL222" s="567"/>
      <c r="BM222" s="567"/>
      <c r="BN222" s="567"/>
      <c r="BO222" s="567"/>
      <c r="BP222" s="567"/>
      <c r="BQ222" s="567"/>
      <c r="BR222" s="567"/>
      <c r="BS222" s="567"/>
      <c r="BT222" s="567"/>
      <c r="BU222" s="567"/>
      <c r="BV222" s="567"/>
      <c r="BW222" s="567"/>
      <c r="BX222" s="567"/>
      <c r="BY222" s="567"/>
      <c r="BZ222" s="567"/>
      <c r="CA222" s="567"/>
      <c r="CB222" s="567"/>
      <c r="CC222" s="567"/>
      <c r="CD222" s="567"/>
      <c r="CE222" s="567"/>
      <c r="CF222" s="567"/>
      <c r="CG222" s="567"/>
      <c r="CH222" s="567"/>
      <c r="CI222" s="567"/>
      <c r="CJ222" s="567"/>
      <c r="CK222" s="567"/>
      <c r="CL222" s="567"/>
      <c r="CM222" s="567"/>
      <c r="CN222" s="567"/>
      <c r="CO222" s="567"/>
      <c r="CP222" s="567"/>
      <c r="CQ222" s="567"/>
      <c r="CR222" s="567"/>
      <c r="CS222" s="567"/>
      <c r="CT222" s="567"/>
      <c r="CU222" s="567"/>
      <c r="CV222" s="567"/>
      <c r="CW222" s="567"/>
      <c r="CX222" s="567"/>
      <c r="CY222" s="567"/>
      <c r="CZ222" s="567"/>
      <c r="DA222" s="567"/>
      <c r="DB222" s="567"/>
      <c r="DC222" s="567"/>
      <c r="DD222" s="567"/>
      <c r="DE222" s="567"/>
      <c r="DF222" s="567"/>
      <c r="DG222" s="567"/>
      <c r="DH222" s="567"/>
      <c r="DI222" s="567"/>
      <c r="DJ222" s="567"/>
      <c r="DK222" s="567"/>
      <c r="DL222" s="567"/>
      <c r="DM222" s="567"/>
      <c r="DN222" s="567"/>
      <c r="DO222" s="567"/>
      <c r="DP222" s="567"/>
      <c r="DQ222" s="567"/>
    </row>
    <row r="223" spans="1:121" s="487" customFormat="1">
      <c r="A223" s="588"/>
      <c r="B223" s="588"/>
      <c r="C223" s="588"/>
      <c r="D223" s="588"/>
      <c r="E223" s="588"/>
      <c r="F223" s="588"/>
      <c r="G223" s="588"/>
      <c r="H223" s="588"/>
      <c r="I223" s="588"/>
      <c r="J223" s="588"/>
      <c r="K223" s="588"/>
      <c r="L223" s="702"/>
      <c r="M223" s="888"/>
      <c r="N223" s="888"/>
      <c r="O223" s="888"/>
      <c r="P223" s="888"/>
      <c r="Q223" s="888"/>
      <c r="R223" s="888"/>
      <c r="S223" s="888"/>
      <c r="T223" s="888"/>
      <c r="U223" s="888"/>
      <c r="V223" s="888"/>
      <c r="W223" s="888"/>
      <c r="X223" s="888"/>
      <c r="Y223" s="888"/>
      <c r="Z223" s="888"/>
      <c r="AA223" s="888"/>
      <c r="AB223" s="888"/>
      <c r="AC223" s="888"/>
      <c r="AD223" s="888"/>
      <c r="AE223" s="888"/>
      <c r="AF223" s="888"/>
      <c r="AG223" s="888"/>
      <c r="AH223" s="888"/>
      <c r="AI223" s="888"/>
      <c r="AJ223" s="888"/>
      <c r="AK223" s="888"/>
      <c r="AL223" s="888"/>
      <c r="AM223" s="888"/>
      <c r="AN223" s="888"/>
      <c r="AO223" s="888"/>
      <c r="AP223" s="888"/>
      <c r="AQ223" s="888"/>
      <c r="AR223" s="888"/>
      <c r="AS223" s="888"/>
      <c r="AT223" s="888"/>
      <c r="AU223" s="888"/>
      <c r="AV223" s="888"/>
      <c r="AW223" s="888"/>
      <c r="AX223" s="888"/>
      <c r="AY223" s="888"/>
      <c r="AZ223" s="567"/>
      <c r="BA223" s="567"/>
      <c r="BB223" s="567"/>
      <c r="BC223" s="567"/>
      <c r="BD223" s="567"/>
      <c r="BE223" s="567"/>
      <c r="BF223" s="567"/>
      <c r="BG223" s="567"/>
      <c r="BH223" s="567"/>
      <c r="BI223" s="567"/>
      <c r="BJ223" s="567"/>
      <c r="BK223" s="567"/>
      <c r="BL223" s="567"/>
      <c r="BM223" s="567"/>
      <c r="BN223" s="567"/>
      <c r="BO223" s="567"/>
      <c r="BP223" s="567"/>
      <c r="BQ223" s="567"/>
      <c r="BR223" s="567"/>
      <c r="BS223" s="567"/>
      <c r="BT223" s="567"/>
      <c r="BU223" s="567"/>
      <c r="BV223" s="567"/>
      <c r="BW223" s="567"/>
      <c r="BX223" s="567"/>
      <c r="BY223" s="567"/>
      <c r="BZ223" s="567"/>
      <c r="CA223" s="567"/>
      <c r="CB223" s="567"/>
      <c r="CC223" s="567"/>
      <c r="CD223" s="567"/>
      <c r="CE223" s="567"/>
      <c r="CF223" s="567"/>
      <c r="CG223" s="567"/>
      <c r="CH223" s="567"/>
      <c r="CI223" s="567"/>
      <c r="CJ223" s="567"/>
      <c r="CK223" s="567"/>
      <c r="CL223" s="567"/>
      <c r="CM223" s="567"/>
      <c r="CN223" s="567"/>
      <c r="CO223" s="567"/>
      <c r="CP223" s="567"/>
      <c r="CQ223" s="567"/>
      <c r="CR223" s="567"/>
      <c r="CS223" s="567"/>
      <c r="CT223" s="567"/>
      <c r="CU223" s="567"/>
      <c r="CV223" s="567"/>
      <c r="CW223" s="567"/>
      <c r="CX223" s="567"/>
      <c r="CY223" s="567"/>
      <c r="CZ223" s="567"/>
      <c r="DA223" s="567"/>
      <c r="DB223" s="567"/>
      <c r="DC223" s="567"/>
      <c r="DD223" s="567"/>
      <c r="DE223" s="567"/>
      <c r="DF223" s="567"/>
      <c r="DG223" s="567"/>
      <c r="DH223" s="567"/>
      <c r="DI223" s="567"/>
      <c r="DJ223" s="567"/>
      <c r="DK223" s="567"/>
      <c r="DL223" s="567"/>
      <c r="DM223" s="567"/>
      <c r="DN223" s="567"/>
      <c r="DO223" s="567"/>
      <c r="DP223" s="567"/>
      <c r="DQ223" s="567"/>
    </row>
    <row r="224" spans="1:121" s="487" customFormat="1">
      <c r="A224" s="588"/>
      <c r="B224" s="588"/>
      <c r="C224" s="588"/>
      <c r="D224" s="588"/>
      <c r="E224" s="588"/>
      <c r="F224" s="588"/>
      <c r="G224" s="588"/>
      <c r="H224" s="588"/>
      <c r="I224" s="588"/>
      <c r="J224" s="588"/>
      <c r="K224" s="588"/>
      <c r="L224" s="702"/>
      <c r="M224" s="888"/>
      <c r="N224" s="888"/>
      <c r="O224" s="888"/>
      <c r="P224" s="888"/>
      <c r="Q224" s="888"/>
      <c r="R224" s="888"/>
      <c r="S224" s="888"/>
      <c r="T224" s="888"/>
      <c r="U224" s="888"/>
      <c r="V224" s="888"/>
      <c r="W224" s="888"/>
      <c r="X224" s="888"/>
      <c r="Y224" s="888"/>
      <c r="Z224" s="888"/>
      <c r="AA224" s="888"/>
      <c r="AB224" s="888"/>
      <c r="AC224" s="888"/>
      <c r="AD224" s="888"/>
      <c r="AE224" s="888"/>
      <c r="AF224" s="888"/>
      <c r="AG224" s="888"/>
      <c r="AH224" s="888"/>
      <c r="AI224" s="888"/>
      <c r="AJ224" s="888"/>
      <c r="AK224" s="888"/>
      <c r="AL224" s="888"/>
      <c r="AM224" s="888"/>
      <c r="AN224" s="888"/>
      <c r="AO224" s="888"/>
      <c r="AP224" s="888"/>
      <c r="AQ224" s="888"/>
      <c r="AR224" s="888"/>
      <c r="AS224" s="888"/>
      <c r="AT224" s="888"/>
      <c r="AU224" s="888"/>
      <c r="AV224" s="888"/>
      <c r="AW224" s="888"/>
      <c r="AX224" s="888"/>
      <c r="AY224" s="888"/>
      <c r="AZ224" s="567"/>
      <c r="BA224" s="567"/>
      <c r="BB224" s="567"/>
      <c r="BC224" s="567"/>
      <c r="BD224" s="567"/>
      <c r="BE224" s="567"/>
      <c r="BF224" s="567"/>
      <c r="BG224" s="567"/>
      <c r="BH224" s="567"/>
      <c r="BI224" s="567"/>
      <c r="BJ224" s="567"/>
      <c r="BK224" s="567"/>
      <c r="BL224" s="567"/>
      <c r="BM224" s="567"/>
      <c r="BN224" s="567"/>
      <c r="BO224" s="567"/>
      <c r="BP224" s="567"/>
      <c r="BQ224" s="567"/>
      <c r="BR224" s="567"/>
      <c r="BS224" s="567"/>
      <c r="BT224" s="567"/>
      <c r="BU224" s="567"/>
      <c r="BV224" s="567"/>
      <c r="BW224" s="567"/>
      <c r="BX224" s="567"/>
      <c r="BY224" s="567"/>
      <c r="BZ224" s="567"/>
      <c r="CA224" s="567"/>
      <c r="CB224" s="567"/>
      <c r="CC224" s="567"/>
      <c r="CD224" s="567"/>
      <c r="CE224" s="567"/>
      <c r="CF224" s="567"/>
      <c r="CG224" s="567"/>
      <c r="CH224" s="567"/>
      <c r="CI224" s="567"/>
      <c r="CJ224" s="567"/>
      <c r="CK224" s="567"/>
      <c r="CL224" s="567"/>
      <c r="CM224" s="567"/>
      <c r="CN224" s="567"/>
      <c r="CO224" s="567"/>
      <c r="CP224" s="567"/>
      <c r="CQ224" s="567"/>
      <c r="CR224" s="567"/>
      <c r="CS224" s="567"/>
      <c r="CT224" s="567"/>
      <c r="CU224" s="567"/>
      <c r="CV224" s="567"/>
      <c r="CW224" s="567"/>
      <c r="CX224" s="567"/>
      <c r="CY224" s="567"/>
      <c r="CZ224" s="567"/>
      <c r="DA224" s="567"/>
      <c r="DB224" s="567"/>
      <c r="DC224" s="567"/>
      <c r="DD224" s="567"/>
      <c r="DE224" s="567"/>
      <c r="DF224" s="567"/>
      <c r="DG224" s="567"/>
      <c r="DH224" s="567"/>
      <c r="DI224" s="567"/>
      <c r="DJ224" s="567"/>
      <c r="DK224" s="567"/>
      <c r="DL224" s="567"/>
      <c r="DM224" s="567"/>
      <c r="DN224" s="567"/>
      <c r="DO224" s="567"/>
      <c r="DP224" s="567"/>
      <c r="DQ224" s="567"/>
    </row>
    <row r="225" spans="1:121" s="487" customFormat="1">
      <c r="A225" s="588"/>
      <c r="B225" s="588"/>
      <c r="C225" s="588"/>
      <c r="D225" s="588"/>
      <c r="E225" s="588"/>
      <c r="F225" s="588"/>
      <c r="G225" s="588"/>
      <c r="H225" s="588"/>
      <c r="I225" s="588"/>
      <c r="J225" s="588"/>
      <c r="K225" s="588"/>
      <c r="L225" s="702"/>
      <c r="M225" s="888"/>
      <c r="N225" s="888"/>
      <c r="O225" s="888"/>
      <c r="P225" s="888"/>
      <c r="Q225" s="888"/>
      <c r="R225" s="888"/>
      <c r="S225" s="888"/>
      <c r="T225" s="888"/>
      <c r="U225" s="888"/>
      <c r="V225" s="888"/>
      <c r="W225" s="888"/>
      <c r="X225" s="888"/>
      <c r="Y225" s="888"/>
      <c r="Z225" s="888"/>
      <c r="AA225" s="888"/>
      <c r="AB225" s="888"/>
      <c r="AC225" s="888"/>
      <c r="AD225" s="888"/>
      <c r="AE225" s="888"/>
      <c r="AF225" s="888"/>
      <c r="AG225" s="888"/>
      <c r="AH225" s="888"/>
      <c r="AI225" s="888"/>
      <c r="AJ225" s="888"/>
      <c r="AK225" s="888"/>
      <c r="AL225" s="888"/>
      <c r="AM225" s="888"/>
      <c r="AN225" s="888"/>
      <c r="AO225" s="888"/>
      <c r="AP225" s="888"/>
      <c r="AQ225" s="888"/>
      <c r="AR225" s="888"/>
      <c r="AS225" s="888"/>
      <c r="AT225" s="888"/>
      <c r="AU225" s="888"/>
      <c r="AV225" s="888"/>
      <c r="AW225" s="888"/>
      <c r="AX225" s="888"/>
      <c r="AY225" s="888"/>
      <c r="AZ225" s="567"/>
      <c r="BA225" s="567"/>
      <c r="BB225" s="567"/>
      <c r="BC225" s="567"/>
      <c r="BD225" s="567"/>
      <c r="BE225" s="567"/>
      <c r="BF225" s="567"/>
      <c r="BG225" s="567"/>
      <c r="BH225" s="567"/>
      <c r="BI225" s="567"/>
      <c r="BJ225" s="567"/>
      <c r="BK225" s="567"/>
      <c r="BL225" s="567"/>
      <c r="BM225" s="567"/>
      <c r="BN225" s="567"/>
      <c r="BO225" s="567"/>
      <c r="BP225" s="567"/>
      <c r="BQ225" s="567"/>
      <c r="BR225" s="567"/>
      <c r="BS225" s="567"/>
      <c r="BT225" s="567"/>
      <c r="BU225" s="567"/>
      <c r="BV225" s="567"/>
      <c r="BW225" s="567"/>
      <c r="BX225" s="567"/>
      <c r="BY225" s="567"/>
      <c r="BZ225" s="567"/>
      <c r="CA225" s="567"/>
      <c r="CB225" s="567"/>
      <c r="CC225" s="567"/>
      <c r="CD225" s="567"/>
      <c r="CE225" s="567"/>
      <c r="CF225" s="567"/>
      <c r="CG225" s="567"/>
      <c r="CH225" s="567"/>
      <c r="CI225" s="567"/>
      <c r="CJ225" s="567"/>
      <c r="CK225" s="567"/>
      <c r="CL225" s="567"/>
      <c r="CM225" s="567"/>
      <c r="CN225" s="567"/>
      <c r="CO225" s="567"/>
      <c r="CP225" s="567"/>
      <c r="CQ225" s="567"/>
      <c r="CR225" s="567"/>
      <c r="CS225" s="567"/>
      <c r="CT225" s="567"/>
      <c r="CU225" s="567"/>
      <c r="CV225" s="567"/>
      <c r="CW225" s="567"/>
      <c r="CX225" s="567"/>
      <c r="CY225" s="567"/>
      <c r="CZ225" s="567"/>
      <c r="DA225" s="567"/>
      <c r="DB225" s="567"/>
      <c r="DC225" s="567"/>
      <c r="DD225" s="567"/>
      <c r="DE225" s="567"/>
      <c r="DF225" s="567"/>
      <c r="DG225" s="567"/>
      <c r="DH225" s="567"/>
      <c r="DI225" s="567"/>
      <c r="DJ225" s="567"/>
      <c r="DK225" s="567"/>
      <c r="DL225" s="567"/>
      <c r="DM225" s="567"/>
      <c r="DN225" s="567"/>
      <c r="DO225" s="567"/>
      <c r="DP225" s="567"/>
      <c r="DQ225" s="567"/>
    </row>
    <row r="226" spans="1:121" s="487" customFormat="1">
      <c r="A226" s="588"/>
      <c r="B226" s="588"/>
      <c r="C226" s="588"/>
      <c r="D226" s="588"/>
      <c r="E226" s="588"/>
      <c r="F226" s="588"/>
      <c r="G226" s="588"/>
      <c r="H226" s="588"/>
      <c r="I226" s="588"/>
      <c r="J226" s="588"/>
      <c r="K226" s="588"/>
      <c r="L226" s="702"/>
      <c r="M226" s="888"/>
      <c r="N226" s="888"/>
      <c r="O226" s="888"/>
      <c r="P226" s="888"/>
      <c r="Q226" s="888"/>
      <c r="R226" s="888"/>
      <c r="S226" s="888"/>
      <c r="T226" s="888"/>
      <c r="U226" s="888"/>
      <c r="V226" s="888"/>
      <c r="W226" s="888"/>
      <c r="X226" s="888"/>
      <c r="Y226" s="888"/>
      <c r="Z226" s="888"/>
      <c r="AA226" s="888"/>
      <c r="AB226" s="888"/>
      <c r="AC226" s="888"/>
      <c r="AD226" s="888"/>
      <c r="AE226" s="888"/>
      <c r="AF226" s="888"/>
      <c r="AG226" s="888"/>
      <c r="AH226" s="888"/>
      <c r="AI226" s="888"/>
      <c r="AJ226" s="888"/>
      <c r="AK226" s="888"/>
      <c r="AL226" s="888"/>
      <c r="AM226" s="888"/>
      <c r="AN226" s="888"/>
      <c r="AO226" s="888"/>
      <c r="AP226" s="888"/>
      <c r="AQ226" s="888"/>
      <c r="AR226" s="888"/>
      <c r="AS226" s="888"/>
      <c r="AT226" s="888"/>
      <c r="AU226" s="888"/>
      <c r="AV226" s="888"/>
      <c r="AW226" s="888"/>
      <c r="AX226" s="888"/>
      <c r="AY226" s="888"/>
      <c r="AZ226" s="567"/>
      <c r="BA226" s="567"/>
      <c r="BB226" s="567"/>
      <c r="BC226" s="567"/>
      <c r="BD226" s="567"/>
      <c r="BE226" s="567"/>
      <c r="BF226" s="567"/>
      <c r="BG226" s="567"/>
      <c r="BH226" s="567"/>
      <c r="BI226" s="567"/>
      <c r="BJ226" s="567"/>
      <c r="BK226" s="567"/>
      <c r="BL226" s="567"/>
      <c r="BM226" s="567"/>
      <c r="BN226" s="567"/>
      <c r="BO226" s="567"/>
      <c r="BP226" s="567"/>
      <c r="BQ226" s="567"/>
      <c r="BR226" s="567"/>
      <c r="BS226" s="567"/>
      <c r="BT226" s="567"/>
      <c r="BU226" s="567"/>
      <c r="BV226" s="567"/>
      <c r="BW226" s="567"/>
      <c r="BX226" s="567"/>
      <c r="BY226" s="567"/>
      <c r="BZ226" s="567"/>
      <c r="CA226" s="567"/>
      <c r="CB226" s="567"/>
      <c r="CC226" s="567"/>
      <c r="CD226" s="567"/>
      <c r="CE226" s="567"/>
      <c r="CF226" s="567"/>
      <c r="CG226" s="567"/>
      <c r="CH226" s="567"/>
      <c r="CI226" s="567"/>
      <c r="CJ226" s="567"/>
      <c r="CK226" s="567"/>
      <c r="CL226" s="567"/>
      <c r="CM226" s="567"/>
      <c r="CN226" s="567"/>
      <c r="CO226" s="567"/>
      <c r="CP226" s="567"/>
      <c r="CQ226" s="567"/>
      <c r="CR226" s="567"/>
      <c r="CS226" s="567"/>
      <c r="CT226" s="567"/>
      <c r="CU226" s="567"/>
      <c r="CV226" s="567"/>
      <c r="CW226" s="567"/>
      <c r="CX226" s="567"/>
      <c r="CY226" s="567"/>
      <c r="CZ226" s="567"/>
      <c r="DA226" s="567"/>
      <c r="DB226" s="567"/>
      <c r="DC226" s="567"/>
      <c r="DD226" s="567"/>
      <c r="DE226" s="567"/>
      <c r="DF226" s="567"/>
      <c r="DG226" s="567"/>
      <c r="DH226" s="567"/>
      <c r="DI226" s="567"/>
      <c r="DJ226" s="567"/>
      <c r="DK226" s="567"/>
      <c r="DL226" s="567"/>
      <c r="DM226" s="567"/>
      <c r="DN226" s="567"/>
      <c r="DO226" s="567"/>
      <c r="DP226" s="567"/>
      <c r="DQ226" s="567"/>
    </row>
    <row r="227" spans="1:121" s="487" customFormat="1">
      <c r="A227" s="588"/>
      <c r="B227" s="588"/>
      <c r="C227" s="588"/>
      <c r="D227" s="588"/>
      <c r="E227" s="588"/>
      <c r="F227" s="588"/>
      <c r="G227" s="588"/>
      <c r="H227" s="588"/>
      <c r="I227" s="588"/>
      <c r="J227" s="588"/>
      <c r="K227" s="588"/>
      <c r="L227" s="702"/>
      <c r="M227" s="888"/>
      <c r="N227" s="888"/>
      <c r="O227" s="888"/>
      <c r="P227" s="888"/>
      <c r="Q227" s="888"/>
      <c r="R227" s="888"/>
      <c r="S227" s="888"/>
      <c r="T227" s="888"/>
      <c r="U227" s="888"/>
      <c r="V227" s="888"/>
      <c r="W227" s="888"/>
      <c r="X227" s="888"/>
      <c r="Y227" s="888"/>
      <c r="Z227" s="888"/>
      <c r="AA227" s="888"/>
      <c r="AB227" s="888"/>
      <c r="AC227" s="888"/>
      <c r="AD227" s="888"/>
      <c r="AE227" s="888"/>
      <c r="AF227" s="888"/>
      <c r="AG227" s="888"/>
      <c r="AH227" s="888"/>
      <c r="AI227" s="888"/>
      <c r="AJ227" s="888"/>
      <c r="AK227" s="888"/>
      <c r="AL227" s="888"/>
      <c r="AM227" s="888"/>
      <c r="AN227" s="888"/>
      <c r="AO227" s="888"/>
      <c r="AP227" s="888"/>
      <c r="AQ227" s="888"/>
      <c r="AR227" s="888"/>
      <c r="AS227" s="888"/>
      <c r="AT227" s="888"/>
      <c r="AU227" s="888"/>
      <c r="AV227" s="888"/>
      <c r="AW227" s="888"/>
      <c r="AX227" s="888"/>
      <c r="AY227" s="888"/>
      <c r="AZ227" s="567"/>
      <c r="BA227" s="567"/>
      <c r="BB227" s="567"/>
      <c r="BC227" s="567"/>
      <c r="BD227" s="567"/>
      <c r="BE227" s="567"/>
      <c r="BF227" s="567"/>
      <c r="BG227" s="567"/>
      <c r="BH227" s="567"/>
      <c r="BI227" s="567"/>
      <c r="BJ227" s="567"/>
      <c r="BK227" s="567"/>
      <c r="BL227" s="567"/>
      <c r="BM227" s="567"/>
      <c r="BN227" s="567"/>
      <c r="BO227" s="567"/>
      <c r="BP227" s="567"/>
      <c r="BQ227" s="567"/>
      <c r="BR227" s="567"/>
      <c r="BS227" s="567"/>
      <c r="BT227" s="567"/>
      <c r="BU227" s="567"/>
      <c r="BV227" s="567"/>
      <c r="BW227" s="567"/>
      <c r="BX227" s="567"/>
      <c r="BY227" s="567"/>
      <c r="BZ227" s="567"/>
      <c r="CA227" s="567"/>
      <c r="CB227" s="567"/>
      <c r="CC227" s="567"/>
      <c r="CD227" s="567"/>
      <c r="CE227" s="567"/>
      <c r="CF227" s="567"/>
      <c r="CG227" s="567"/>
      <c r="CH227" s="567"/>
      <c r="CI227" s="567"/>
      <c r="CJ227" s="567"/>
      <c r="CK227" s="567"/>
      <c r="CL227" s="567"/>
      <c r="CM227" s="567"/>
      <c r="CN227" s="567"/>
      <c r="CO227" s="567"/>
      <c r="CP227" s="567"/>
      <c r="CQ227" s="567"/>
      <c r="CR227" s="567"/>
      <c r="CS227" s="567"/>
      <c r="CT227" s="567"/>
      <c r="CU227" s="567"/>
      <c r="CV227" s="567"/>
      <c r="CW227" s="567"/>
      <c r="CX227" s="567"/>
      <c r="CY227" s="567"/>
      <c r="CZ227" s="567"/>
      <c r="DA227" s="567"/>
      <c r="DB227" s="567"/>
      <c r="DC227" s="567"/>
      <c r="DD227" s="567"/>
      <c r="DE227" s="567"/>
      <c r="DF227" s="567"/>
      <c r="DG227" s="567"/>
      <c r="DH227" s="567"/>
      <c r="DI227" s="567"/>
      <c r="DJ227" s="567"/>
      <c r="DK227" s="567"/>
      <c r="DL227" s="567"/>
      <c r="DM227" s="567"/>
      <c r="DN227" s="567"/>
      <c r="DO227" s="567"/>
      <c r="DP227" s="567"/>
      <c r="DQ227" s="567"/>
    </row>
    <row r="228" spans="1:121" s="487" customFormat="1">
      <c r="A228" s="588"/>
      <c r="B228" s="588"/>
      <c r="C228" s="588"/>
      <c r="D228" s="588"/>
      <c r="E228" s="588"/>
      <c r="F228" s="588"/>
      <c r="G228" s="588"/>
      <c r="H228" s="588"/>
      <c r="I228" s="588"/>
      <c r="J228" s="588"/>
      <c r="K228" s="588"/>
      <c r="L228" s="702"/>
      <c r="M228" s="888"/>
      <c r="N228" s="888"/>
      <c r="O228" s="888"/>
      <c r="P228" s="888"/>
      <c r="Q228" s="888"/>
      <c r="R228" s="888"/>
      <c r="S228" s="888"/>
      <c r="T228" s="888"/>
      <c r="U228" s="888"/>
      <c r="V228" s="888"/>
      <c r="W228" s="888"/>
      <c r="X228" s="888"/>
      <c r="Y228" s="888"/>
      <c r="Z228" s="888"/>
      <c r="AA228" s="888"/>
      <c r="AB228" s="888"/>
      <c r="AC228" s="888"/>
      <c r="AD228" s="888"/>
      <c r="AE228" s="888"/>
      <c r="AF228" s="888"/>
      <c r="AG228" s="888"/>
      <c r="AH228" s="888"/>
      <c r="AI228" s="888"/>
      <c r="AJ228" s="888"/>
      <c r="AK228" s="888"/>
      <c r="AL228" s="888"/>
      <c r="AM228" s="888"/>
      <c r="AN228" s="888"/>
      <c r="AO228" s="888"/>
      <c r="AP228" s="888"/>
      <c r="AQ228" s="888"/>
      <c r="AR228" s="888"/>
      <c r="AS228" s="888"/>
      <c r="AT228" s="888"/>
      <c r="AU228" s="888"/>
      <c r="AV228" s="888"/>
      <c r="AW228" s="888"/>
      <c r="AX228" s="888"/>
      <c r="AY228" s="888"/>
      <c r="AZ228" s="567"/>
      <c r="BA228" s="567"/>
      <c r="BB228" s="567"/>
      <c r="BC228" s="567"/>
      <c r="BD228" s="567"/>
      <c r="BE228" s="567"/>
      <c r="BF228" s="567"/>
      <c r="BG228" s="567"/>
      <c r="BH228" s="567"/>
      <c r="BI228" s="567"/>
      <c r="BJ228" s="567"/>
      <c r="BK228" s="567"/>
      <c r="BL228" s="567"/>
      <c r="BM228" s="567"/>
      <c r="BN228" s="567"/>
      <c r="BO228" s="567"/>
      <c r="BP228" s="567"/>
      <c r="BQ228" s="567"/>
      <c r="BR228" s="567"/>
      <c r="BS228" s="567"/>
      <c r="BT228" s="567"/>
      <c r="BU228" s="567"/>
      <c r="BV228" s="567"/>
      <c r="BW228" s="567"/>
      <c r="BX228" s="567"/>
      <c r="BY228" s="567"/>
      <c r="BZ228" s="567"/>
      <c r="CA228" s="567"/>
      <c r="CB228" s="567"/>
      <c r="CC228" s="567"/>
      <c r="CD228" s="567"/>
      <c r="CE228" s="567"/>
      <c r="CF228" s="567"/>
      <c r="CG228" s="567"/>
      <c r="CH228" s="567"/>
      <c r="CI228" s="567"/>
      <c r="CJ228" s="567"/>
      <c r="CK228" s="567"/>
      <c r="CL228" s="567"/>
      <c r="CM228" s="567"/>
      <c r="CN228" s="567"/>
      <c r="CO228" s="567"/>
      <c r="CP228" s="567"/>
      <c r="CQ228" s="567"/>
      <c r="CR228" s="567"/>
      <c r="CS228" s="567"/>
      <c r="CT228" s="567"/>
      <c r="CU228" s="567"/>
      <c r="CV228" s="567"/>
      <c r="CW228" s="567"/>
      <c r="CX228" s="567"/>
      <c r="CY228" s="567"/>
      <c r="CZ228" s="567"/>
      <c r="DA228" s="567"/>
      <c r="DB228" s="567"/>
      <c r="DC228" s="567"/>
      <c r="DD228" s="567"/>
      <c r="DE228" s="567"/>
      <c r="DF228" s="567"/>
      <c r="DG228" s="567"/>
      <c r="DH228" s="567"/>
      <c r="DI228" s="567"/>
      <c r="DJ228" s="567"/>
      <c r="DK228" s="567"/>
      <c r="DL228" s="567"/>
      <c r="DM228" s="567"/>
      <c r="DN228" s="567"/>
      <c r="DO228" s="567"/>
      <c r="DP228" s="567"/>
      <c r="DQ228" s="567"/>
    </row>
    <row r="229" spans="1:121" s="487" customFormat="1">
      <c r="A229" s="588"/>
      <c r="B229" s="588"/>
      <c r="C229" s="588"/>
      <c r="D229" s="588"/>
      <c r="E229" s="588"/>
      <c r="F229" s="588"/>
      <c r="G229" s="588"/>
      <c r="H229" s="588"/>
      <c r="I229" s="588"/>
      <c r="J229" s="588"/>
      <c r="K229" s="588"/>
      <c r="L229" s="702"/>
      <c r="M229" s="888"/>
      <c r="N229" s="888"/>
      <c r="O229" s="888"/>
      <c r="P229" s="888"/>
      <c r="Q229" s="888"/>
      <c r="R229" s="888"/>
      <c r="S229" s="888"/>
      <c r="T229" s="888"/>
      <c r="U229" s="888"/>
      <c r="V229" s="888"/>
      <c r="W229" s="888"/>
      <c r="X229" s="888"/>
      <c r="Y229" s="888"/>
      <c r="Z229" s="888"/>
      <c r="AA229" s="888"/>
      <c r="AB229" s="888"/>
      <c r="AC229" s="888"/>
      <c r="AD229" s="888"/>
      <c r="AE229" s="888"/>
      <c r="AF229" s="888"/>
      <c r="AG229" s="888"/>
      <c r="AH229" s="888"/>
      <c r="AI229" s="888"/>
      <c r="AJ229" s="888"/>
      <c r="AK229" s="888"/>
      <c r="AL229" s="888"/>
      <c r="AM229" s="888"/>
      <c r="AN229" s="888"/>
      <c r="AO229" s="888"/>
      <c r="AP229" s="888"/>
      <c r="AQ229" s="888"/>
      <c r="AR229" s="888"/>
      <c r="AS229" s="888"/>
      <c r="AT229" s="888"/>
      <c r="AU229" s="888"/>
      <c r="AV229" s="888"/>
      <c r="AW229" s="888"/>
      <c r="AX229" s="888"/>
      <c r="AY229" s="888"/>
      <c r="AZ229" s="567"/>
      <c r="BA229" s="567"/>
      <c r="BB229" s="567"/>
      <c r="BC229" s="567"/>
      <c r="BD229" s="567"/>
      <c r="BE229" s="567"/>
      <c r="BF229" s="567"/>
      <c r="BG229" s="567"/>
      <c r="BH229" s="567"/>
      <c r="BI229" s="567"/>
      <c r="BJ229" s="567"/>
      <c r="BK229" s="567"/>
      <c r="BL229" s="567"/>
      <c r="BM229" s="567"/>
      <c r="BN229" s="567"/>
      <c r="BO229" s="567"/>
      <c r="BP229" s="567"/>
      <c r="BQ229" s="567"/>
      <c r="BR229" s="567"/>
      <c r="BS229" s="567"/>
      <c r="BT229" s="567"/>
      <c r="BU229" s="567"/>
      <c r="BV229" s="567"/>
      <c r="BW229" s="567"/>
      <c r="BX229" s="567"/>
      <c r="BY229" s="567"/>
      <c r="BZ229" s="567"/>
      <c r="CA229" s="567"/>
      <c r="CB229" s="567"/>
      <c r="CC229" s="567"/>
      <c r="CD229" s="567"/>
      <c r="CE229" s="567"/>
      <c r="CF229" s="567"/>
      <c r="CG229" s="567"/>
      <c r="CH229" s="567"/>
      <c r="CI229" s="567"/>
      <c r="CJ229" s="567"/>
      <c r="CK229" s="567"/>
      <c r="CL229" s="567"/>
      <c r="CM229" s="567"/>
      <c r="CN229" s="567"/>
      <c r="CO229" s="567"/>
      <c r="CP229" s="567"/>
      <c r="CQ229" s="567"/>
      <c r="CR229" s="567"/>
      <c r="CS229" s="567"/>
      <c r="CT229" s="567"/>
      <c r="CU229" s="567"/>
      <c r="CV229" s="567"/>
      <c r="CW229" s="567"/>
      <c r="CX229" s="567"/>
      <c r="CY229" s="567"/>
      <c r="CZ229" s="567"/>
      <c r="DA229" s="567"/>
      <c r="DB229" s="567"/>
      <c r="DC229" s="567"/>
      <c r="DD229" s="567"/>
      <c r="DE229" s="567"/>
      <c r="DF229" s="567"/>
      <c r="DG229" s="567"/>
      <c r="DH229" s="567"/>
      <c r="DI229" s="567"/>
      <c r="DJ229" s="567"/>
      <c r="DK229" s="567"/>
      <c r="DL229" s="567"/>
      <c r="DM229" s="567"/>
      <c r="DN229" s="567"/>
      <c r="DO229" s="567"/>
      <c r="DP229" s="567"/>
      <c r="DQ229" s="567"/>
    </row>
    <row r="230" spans="1:121" s="487" customFormat="1">
      <c r="A230" s="588"/>
      <c r="B230" s="588"/>
      <c r="C230" s="588"/>
      <c r="D230" s="588"/>
      <c r="E230" s="588"/>
      <c r="F230" s="588"/>
      <c r="G230" s="588"/>
      <c r="H230" s="588"/>
      <c r="I230" s="588"/>
      <c r="J230" s="588"/>
      <c r="K230" s="588"/>
      <c r="L230" s="702"/>
      <c r="M230" s="888"/>
      <c r="N230" s="888"/>
      <c r="O230" s="888"/>
      <c r="P230" s="888"/>
      <c r="Q230" s="888"/>
      <c r="R230" s="888"/>
      <c r="S230" s="888"/>
      <c r="T230" s="888"/>
      <c r="U230" s="888"/>
      <c r="V230" s="888"/>
      <c r="W230" s="888"/>
      <c r="X230" s="888"/>
      <c r="Y230" s="888"/>
      <c r="Z230" s="888"/>
      <c r="AA230" s="888"/>
      <c r="AB230" s="888"/>
      <c r="AC230" s="888"/>
      <c r="AD230" s="888"/>
      <c r="AE230" s="888"/>
      <c r="AF230" s="888"/>
      <c r="AG230" s="888"/>
      <c r="AH230" s="888"/>
      <c r="AI230" s="888"/>
      <c r="AJ230" s="888"/>
      <c r="AK230" s="888"/>
      <c r="AL230" s="888"/>
      <c r="AM230" s="888"/>
      <c r="AN230" s="888"/>
      <c r="AO230" s="888"/>
      <c r="AP230" s="888"/>
      <c r="AQ230" s="888"/>
      <c r="AR230" s="888"/>
      <c r="AS230" s="888"/>
      <c r="AT230" s="888"/>
      <c r="AU230" s="888"/>
      <c r="AV230" s="888"/>
      <c r="AW230" s="888"/>
      <c r="AX230" s="888"/>
      <c r="AY230" s="888"/>
      <c r="AZ230" s="567"/>
      <c r="BA230" s="567"/>
      <c r="BB230" s="567"/>
      <c r="BC230" s="567"/>
      <c r="BD230" s="567"/>
      <c r="BE230" s="567"/>
      <c r="BF230" s="567"/>
      <c r="BG230" s="567"/>
      <c r="BH230" s="567"/>
      <c r="BI230" s="567"/>
      <c r="BJ230" s="567"/>
      <c r="BK230" s="567"/>
      <c r="BL230" s="567"/>
      <c r="BM230" s="567"/>
      <c r="BN230" s="567"/>
      <c r="BO230" s="567"/>
      <c r="BP230" s="567"/>
      <c r="BQ230" s="567"/>
      <c r="BR230" s="567"/>
      <c r="BS230" s="567"/>
      <c r="BT230" s="567"/>
      <c r="BU230" s="567"/>
      <c r="BV230" s="567"/>
      <c r="BW230" s="567"/>
      <c r="BX230" s="567"/>
      <c r="BY230" s="567"/>
      <c r="BZ230" s="567"/>
      <c r="CA230" s="567"/>
      <c r="CB230" s="567"/>
      <c r="CC230" s="567"/>
      <c r="CD230" s="567"/>
      <c r="CE230" s="567"/>
      <c r="CF230" s="567"/>
      <c r="CG230" s="567"/>
      <c r="CH230" s="567"/>
      <c r="CI230" s="567"/>
      <c r="CJ230" s="567"/>
      <c r="CK230" s="567"/>
      <c r="CL230" s="567"/>
      <c r="CM230" s="567"/>
      <c r="CN230" s="567"/>
      <c r="CO230" s="567"/>
      <c r="CP230" s="567"/>
      <c r="CQ230" s="567"/>
      <c r="CR230" s="567"/>
      <c r="CS230" s="567"/>
      <c r="CT230" s="567"/>
      <c r="CU230" s="567"/>
      <c r="CV230" s="567"/>
      <c r="CW230" s="567"/>
      <c r="CX230" s="567"/>
      <c r="CY230" s="567"/>
      <c r="CZ230" s="567"/>
      <c r="DA230" s="567"/>
      <c r="DB230" s="567"/>
      <c r="DC230" s="567"/>
      <c r="DD230" s="567"/>
      <c r="DE230" s="567"/>
      <c r="DF230" s="567"/>
      <c r="DG230" s="567"/>
      <c r="DH230" s="567"/>
      <c r="DI230" s="567"/>
      <c r="DJ230" s="567"/>
      <c r="DK230" s="567"/>
      <c r="DL230" s="567"/>
      <c r="DM230" s="567"/>
      <c r="DN230" s="567"/>
      <c r="DO230" s="567"/>
      <c r="DP230" s="567"/>
      <c r="DQ230" s="567"/>
    </row>
    <row r="231" spans="1:121" s="487" customFormat="1">
      <c r="A231" s="588"/>
      <c r="B231" s="588"/>
      <c r="C231" s="588"/>
      <c r="D231" s="588"/>
      <c r="E231" s="588"/>
      <c r="F231" s="588"/>
      <c r="G231" s="588"/>
      <c r="H231" s="588"/>
      <c r="I231" s="588"/>
      <c r="J231" s="588"/>
      <c r="K231" s="588"/>
      <c r="L231" s="702"/>
      <c r="M231" s="888"/>
      <c r="N231" s="888"/>
      <c r="O231" s="888"/>
      <c r="P231" s="888"/>
      <c r="Q231" s="888"/>
      <c r="R231" s="888"/>
      <c r="S231" s="888"/>
      <c r="T231" s="888"/>
      <c r="U231" s="888"/>
      <c r="V231" s="888"/>
      <c r="W231" s="888"/>
      <c r="X231" s="888"/>
      <c r="Y231" s="888"/>
      <c r="Z231" s="888"/>
      <c r="AA231" s="888"/>
      <c r="AB231" s="888"/>
      <c r="AC231" s="888"/>
      <c r="AD231" s="888"/>
      <c r="AE231" s="888"/>
      <c r="AF231" s="888"/>
      <c r="AG231" s="888"/>
      <c r="AH231" s="888"/>
      <c r="AI231" s="888"/>
      <c r="AJ231" s="888"/>
      <c r="AK231" s="888"/>
      <c r="AL231" s="888"/>
      <c r="AM231" s="888"/>
      <c r="AN231" s="888"/>
      <c r="AO231" s="888"/>
      <c r="AP231" s="888"/>
      <c r="AQ231" s="888"/>
      <c r="AR231" s="888"/>
      <c r="AS231" s="888"/>
      <c r="AT231" s="888"/>
      <c r="AU231" s="888"/>
      <c r="AV231" s="888"/>
      <c r="AW231" s="888"/>
      <c r="AX231" s="888"/>
      <c r="AY231" s="888"/>
      <c r="AZ231" s="567"/>
      <c r="BA231" s="567"/>
      <c r="BB231" s="567"/>
      <c r="BC231" s="567"/>
      <c r="BD231" s="567"/>
      <c r="BE231" s="567"/>
      <c r="BF231" s="567"/>
      <c r="BG231" s="567"/>
      <c r="BH231" s="567"/>
      <c r="BI231" s="567"/>
      <c r="BJ231" s="567"/>
      <c r="BK231" s="567"/>
      <c r="BL231" s="567"/>
      <c r="BM231" s="567"/>
      <c r="BN231" s="567"/>
      <c r="BO231" s="567"/>
      <c r="BP231" s="567"/>
      <c r="BQ231" s="567"/>
      <c r="BR231" s="567"/>
      <c r="BS231" s="567"/>
      <c r="BT231" s="567"/>
      <c r="BU231" s="567"/>
      <c r="BV231" s="567"/>
      <c r="BW231" s="567"/>
      <c r="BX231" s="567"/>
      <c r="BY231" s="567"/>
      <c r="BZ231" s="567"/>
      <c r="CA231" s="567"/>
      <c r="CB231" s="567"/>
      <c r="CC231" s="567"/>
      <c r="CD231" s="567"/>
      <c r="CE231" s="567"/>
      <c r="CF231" s="567"/>
      <c r="CG231" s="567"/>
      <c r="CH231" s="567"/>
      <c r="CI231" s="567"/>
      <c r="CJ231" s="567"/>
      <c r="CK231" s="567"/>
      <c r="CL231" s="567"/>
      <c r="CM231" s="567"/>
      <c r="CN231" s="567"/>
      <c r="CO231" s="567"/>
      <c r="CP231" s="567"/>
      <c r="CQ231" s="567"/>
      <c r="CR231" s="567"/>
      <c r="CS231" s="567"/>
      <c r="CT231" s="567"/>
      <c r="CU231" s="567"/>
      <c r="CV231" s="567"/>
      <c r="CW231" s="567"/>
      <c r="CX231" s="567"/>
      <c r="CY231" s="567"/>
      <c r="CZ231" s="567"/>
      <c r="DA231" s="567"/>
      <c r="DB231" s="567"/>
      <c r="DC231" s="567"/>
      <c r="DD231" s="567"/>
      <c r="DE231" s="567"/>
      <c r="DF231" s="567"/>
      <c r="DG231" s="567"/>
      <c r="DH231" s="567"/>
      <c r="DI231" s="567"/>
      <c r="DJ231" s="567"/>
      <c r="DK231" s="567"/>
      <c r="DL231" s="567"/>
      <c r="DM231" s="567"/>
      <c r="DN231" s="567"/>
      <c r="DO231" s="567"/>
      <c r="DP231" s="567"/>
      <c r="DQ231" s="567"/>
    </row>
    <row r="232" spans="1:121" s="487" customFormat="1">
      <c r="A232" s="588"/>
      <c r="B232" s="588"/>
      <c r="C232" s="588"/>
      <c r="D232" s="588"/>
      <c r="E232" s="588"/>
      <c r="F232" s="588"/>
      <c r="G232" s="588"/>
      <c r="H232" s="588"/>
      <c r="I232" s="588"/>
      <c r="J232" s="588"/>
      <c r="K232" s="588"/>
      <c r="L232" s="702"/>
      <c r="M232" s="888"/>
      <c r="N232" s="888"/>
      <c r="O232" s="888"/>
      <c r="P232" s="888"/>
      <c r="Q232" s="888"/>
      <c r="R232" s="888"/>
      <c r="S232" s="888"/>
      <c r="T232" s="888"/>
      <c r="U232" s="888"/>
      <c r="V232" s="888"/>
      <c r="W232" s="888"/>
      <c r="X232" s="888"/>
      <c r="Y232" s="888"/>
      <c r="Z232" s="888"/>
      <c r="AA232" s="888"/>
      <c r="AB232" s="888"/>
      <c r="AC232" s="888"/>
      <c r="AD232" s="888"/>
      <c r="AE232" s="888"/>
      <c r="AF232" s="888"/>
      <c r="AG232" s="888"/>
      <c r="AH232" s="888"/>
      <c r="AI232" s="888"/>
      <c r="AJ232" s="888"/>
      <c r="AK232" s="888"/>
      <c r="AL232" s="888"/>
      <c r="AM232" s="888"/>
      <c r="AN232" s="888"/>
      <c r="AO232" s="888"/>
      <c r="AP232" s="888"/>
      <c r="AQ232" s="888"/>
      <c r="AR232" s="888"/>
      <c r="AS232" s="888"/>
      <c r="AT232" s="888"/>
      <c r="AU232" s="888"/>
      <c r="AV232" s="888"/>
      <c r="AW232" s="888"/>
      <c r="AX232" s="888"/>
      <c r="AY232" s="888"/>
      <c r="AZ232" s="567"/>
      <c r="BA232" s="567"/>
      <c r="BB232" s="567"/>
      <c r="BC232" s="567"/>
      <c r="BD232" s="567"/>
      <c r="BE232" s="567"/>
      <c r="BF232" s="567"/>
      <c r="BG232" s="567"/>
      <c r="BH232" s="567"/>
      <c r="BI232" s="567"/>
      <c r="BJ232" s="567"/>
      <c r="BK232" s="567"/>
      <c r="BL232" s="567"/>
      <c r="BM232" s="567"/>
      <c r="BN232" s="567"/>
      <c r="BO232" s="567"/>
      <c r="BP232" s="567"/>
      <c r="BQ232" s="567"/>
      <c r="BR232" s="567"/>
      <c r="BS232" s="567"/>
      <c r="BT232" s="567"/>
      <c r="BU232" s="567"/>
      <c r="BV232" s="567"/>
      <c r="BW232" s="567"/>
      <c r="BX232" s="567"/>
      <c r="BY232" s="567"/>
      <c r="BZ232" s="567"/>
      <c r="CA232" s="567"/>
      <c r="CB232" s="567"/>
      <c r="CC232" s="567"/>
      <c r="CD232" s="567"/>
      <c r="CE232" s="567"/>
      <c r="CF232" s="567"/>
      <c r="CG232" s="567"/>
      <c r="CH232" s="567"/>
      <c r="CI232" s="567"/>
      <c r="CJ232" s="567"/>
      <c r="CK232" s="567"/>
      <c r="CL232" s="567"/>
      <c r="CM232" s="567"/>
      <c r="CN232" s="567"/>
      <c r="CO232" s="567"/>
      <c r="CP232" s="567"/>
      <c r="CQ232" s="567"/>
      <c r="CR232" s="567"/>
      <c r="CS232" s="567"/>
      <c r="CT232" s="567"/>
      <c r="CU232" s="567"/>
      <c r="CV232" s="567"/>
      <c r="CW232" s="567"/>
      <c r="CX232" s="567"/>
      <c r="CY232" s="567"/>
      <c r="CZ232" s="567"/>
      <c r="DA232" s="567"/>
      <c r="DB232" s="567"/>
      <c r="DC232" s="567"/>
      <c r="DD232" s="567"/>
      <c r="DE232" s="567"/>
      <c r="DF232" s="567"/>
      <c r="DG232" s="567"/>
      <c r="DH232" s="567"/>
      <c r="DI232" s="567"/>
      <c r="DJ232" s="567"/>
      <c r="DK232" s="567"/>
      <c r="DL232" s="567"/>
      <c r="DM232" s="567"/>
      <c r="DN232" s="567"/>
      <c r="DO232" s="567"/>
      <c r="DP232" s="567"/>
      <c r="DQ232" s="567"/>
    </row>
    <row r="233" spans="1:121" s="487" customFormat="1">
      <c r="A233" s="588"/>
      <c r="B233" s="588"/>
      <c r="C233" s="588"/>
      <c r="D233" s="588"/>
      <c r="E233" s="588"/>
      <c r="F233" s="588"/>
      <c r="G233" s="588"/>
      <c r="H233" s="588"/>
      <c r="I233" s="588"/>
      <c r="J233" s="588"/>
      <c r="K233" s="588"/>
      <c r="L233" s="702"/>
      <c r="M233" s="888"/>
      <c r="N233" s="888"/>
      <c r="O233" s="888"/>
      <c r="P233" s="888"/>
      <c r="Q233" s="888"/>
      <c r="R233" s="888"/>
      <c r="S233" s="888"/>
      <c r="T233" s="888"/>
      <c r="U233" s="888"/>
      <c r="V233" s="888"/>
      <c r="W233" s="888"/>
      <c r="X233" s="888"/>
      <c r="Y233" s="888"/>
      <c r="Z233" s="888"/>
      <c r="AA233" s="888"/>
      <c r="AB233" s="888"/>
      <c r="AC233" s="888"/>
      <c r="AD233" s="888"/>
      <c r="AE233" s="888"/>
      <c r="AF233" s="888"/>
      <c r="AG233" s="888"/>
      <c r="AH233" s="888"/>
      <c r="AI233" s="888"/>
      <c r="AJ233" s="888"/>
      <c r="AK233" s="888"/>
      <c r="AL233" s="888"/>
      <c r="AM233" s="888"/>
      <c r="AN233" s="888"/>
      <c r="AO233" s="888"/>
      <c r="AP233" s="888"/>
      <c r="AQ233" s="888"/>
      <c r="AR233" s="888"/>
      <c r="AS233" s="888"/>
      <c r="AT233" s="888"/>
      <c r="AU233" s="888"/>
      <c r="AV233" s="888"/>
      <c r="AW233" s="888"/>
      <c r="AX233" s="888"/>
      <c r="AY233" s="888"/>
      <c r="AZ233" s="567"/>
      <c r="BA233" s="567"/>
      <c r="BB233" s="567"/>
      <c r="BC233" s="567"/>
      <c r="BD233" s="567"/>
      <c r="BE233" s="567"/>
      <c r="BF233" s="567"/>
      <c r="BG233" s="567"/>
      <c r="BH233" s="567"/>
      <c r="BI233" s="567"/>
      <c r="BJ233" s="567"/>
      <c r="BK233" s="567"/>
      <c r="BL233" s="567"/>
      <c r="BM233" s="567"/>
      <c r="BN233" s="567"/>
      <c r="BO233" s="567"/>
      <c r="BP233" s="567"/>
      <c r="BQ233" s="567"/>
      <c r="BR233" s="567"/>
      <c r="BS233" s="567"/>
      <c r="BT233" s="567"/>
      <c r="BU233" s="567"/>
      <c r="BV233" s="567"/>
      <c r="BW233" s="567"/>
      <c r="BX233" s="567"/>
      <c r="BY233" s="567"/>
      <c r="BZ233" s="567"/>
      <c r="CA233" s="567"/>
      <c r="CB233" s="567"/>
      <c r="CC233" s="567"/>
      <c r="CD233" s="567"/>
      <c r="CE233" s="567"/>
      <c r="CF233" s="567"/>
      <c r="CG233" s="567"/>
      <c r="CH233" s="567"/>
      <c r="CI233" s="567"/>
      <c r="CJ233" s="567"/>
      <c r="CK233" s="567"/>
      <c r="CL233" s="567"/>
      <c r="CM233" s="567"/>
      <c r="CN233" s="567"/>
      <c r="CO233" s="567"/>
      <c r="CP233" s="567"/>
      <c r="CQ233" s="567"/>
      <c r="CR233" s="567"/>
      <c r="CS233" s="567"/>
      <c r="CT233" s="567"/>
      <c r="CU233" s="567"/>
      <c r="CV233" s="567"/>
      <c r="CW233" s="567"/>
      <c r="CX233" s="567"/>
      <c r="CY233" s="567"/>
      <c r="CZ233" s="567"/>
      <c r="DA233" s="567"/>
      <c r="DB233" s="567"/>
      <c r="DC233" s="567"/>
      <c r="DD233" s="567"/>
      <c r="DE233" s="567"/>
      <c r="DF233" s="567"/>
      <c r="DG233" s="567"/>
      <c r="DH233" s="567"/>
      <c r="DI233" s="567"/>
      <c r="DJ233" s="567"/>
      <c r="DK233" s="567"/>
      <c r="DL233" s="567"/>
      <c r="DM233" s="567"/>
      <c r="DN233" s="567"/>
      <c r="DO233" s="567"/>
      <c r="DP233" s="567"/>
      <c r="DQ233" s="567"/>
    </row>
    <row r="234" spans="1:121" s="487" customFormat="1">
      <c r="A234" s="588"/>
      <c r="B234" s="588"/>
      <c r="C234" s="588"/>
      <c r="D234" s="588"/>
      <c r="E234" s="588"/>
      <c r="F234" s="588"/>
      <c r="G234" s="588"/>
      <c r="H234" s="588"/>
      <c r="I234" s="588"/>
      <c r="J234" s="588"/>
      <c r="K234" s="588"/>
      <c r="L234" s="702"/>
      <c r="M234" s="888"/>
      <c r="N234" s="888"/>
      <c r="O234" s="888"/>
      <c r="P234" s="888"/>
      <c r="Q234" s="888"/>
      <c r="R234" s="888"/>
      <c r="S234" s="888"/>
      <c r="T234" s="888"/>
      <c r="U234" s="888"/>
      <c r="V234" s="888"/>
      <c r="W234" s="888"/>
      <c r="X234" s="888"/>
      <c r="Y234" s="888"/>
      <c r="Z234" s="888"/>
      <c r="AA234" s="888"/>
      <c r="AB234" s="888"/>
      <c r="AC234" s="888"/>
      <c r="AD234" s="888"/>
      <c r="AE234" s="888"/>
      <c r="AF234" s="888"/>
      <c r="AG234" s="888"/>
      <c r="AH234" s="888"/>
      <c r="AI234" s="888"/>
      <c r="AJ234" s="888"/>
      <c r="AK234" s="888"/>
      <c r="AL234" s="888"/>
      <c r="AM234" s="888"/>
      <c r="AN234" s="888"/>
      <c r="AO234" s="888"/>
      <c r="AP234" s="888"/>
      <c r="AQ234" s="888"/>
      <c r="AR234" s="888"/>
      <c r="AS234" s="888"/>
      <c r="AT234" s="888"/>
      <c r="AU234" s="888"/>
      <c r="AV234" s="888"/>
      <c r="AW234" s="888"/>
      <c r="AX234" s="888"/>
      <c r="AY234" s="888"/>
      <c r="AZ234" s="567"/>
      <c r="BA234" s="567"/>
      <c r="BB234" s="567"/>
      <c r="BC234" s="567"/>
      <c r="BD234" s="567"/>
      <c r="BE234" s="567"/>
      <c r="BF234" s="567"/>
      <c r="BG234" s="567"/>
      <c r="BH234" s="567"/>
      <c r="BI234" s="567"/>
      <c r="BJ234" s="567"/>
      <c r="BK234" s="567"/>
      <c r="BL234" s="567"/>
      <c r="BM234" s="567"/>
      <c r="BN234" s="567"/>
      <c r="BO234" s="567"/>
      <c r="BP234" s="567"/>
      <c r="BQ234" s="567"/>
      <c r="BR234" s="567"/>
      <c r="BS234" s="567"/>
      <c r="BT234" s="567"/>
      <c r="BU234" s="567"/>
      <c r="BV234" s="567"/>
      <c r="BW234" s="567"/>
      <c r="BX234" s="567"/>
      <c r="BY234" s="567"/>
      <c r="BZ234" s="567"/>
      <c r="CA234" s="567"/>
      <c r="CB234" s="567"/>
      <c r="CC234" s="567"/>
      <c r="CD234" s="567"/>
      <c r="CE234" s="567"/>
      <c r="CF234" s="567"/>
      <c r="CG234" s="567"/>
      <c r="CH234" s="567"/>
      <c r="CI234" s="567"/>
      <c r="CJ234" s="567"/>
      <c r="CK234" s="567"/>
      <c r="CL234" s="567"/>
      <c r="CM234" s="567"/>
      <c r="CN234" s="567"/>
      <c r="CO234" s="567"/>
      <c r="CP234" s="567"/>
      <c r="CQ234" s="567"/>
      <c r="CR234" s="567"/>
      <c r="CS234" s="567"/>
      <c r="CT234" s="567"/>
      <c r="CU234" s="567"/>
      <c r="CV234" s="567"/>
      <c r="CW234" s="567"/>
      <c r="CX234" s="567"/>
      <c r="CY234" s="567"/>
      <c r="CZ234" s="567"/>
      <c r="DA234" s="567"/>
      <c r="DB234" s="567"/>
      <c r="DC234" s="567"/>
      <c r="DD234" s="567"/>
      <c r="DE234" s="567"/>
      <c r="DF234" s="567"/>
      <c r="DG234" s="567"/>
      <c r="DH234" s="567"/>
      <c r="DI234" s="567"/>
      <c r="DJ234" s="567"/>
      <c r="DK234" s="567"/>
      <c r="DL234" s="567"/>
      <c r="DM234" s="567"/>
      <c r="DN234" s="567"/>
      <c r="DO234" s="567"/>
      <c r="DP234" s="567"/>
      <c r="DQ234" s="567"/>
    </row>
    <row r="235" spans="1:121" s="487" customFormat="1">
      <c r="A235" s="588"/>
      <c r="B235" s="588"/>
      <c r="C235" s="588"/>
      <c r="D235" s="588"/>
      <c r="E235" s="588"/>
      <c r="F235" s="588"/>
      <c r="G235" s="588"/>
      <c r="H235" s="588"/>
      <c r="I235" s="588"/>
      <c r="J235" s="588"/>
      <c r="K235" s="588"/>
      <c r="L235" s="702"/>
      <c r="M235" s="888"/>
      <c r="N235" s="888"/>
      <c r="O235" s="888"/>
      <c r="P235" s="888"/>
      <c r="Q235" s="888"/>
      <c r="R235" s="888"/>
      <c r="S235" s="888"/>
      <c r="T235" s="888"/>
      <c r="U235" s="888"/>
      <c r="V235" s="888"/>
      <c r="W235" s="888"/>
      <c r="X235" s="888"/>
      <c r="Y235" s="888"/>
      <c r="Z235" s="888"/>
      <c r="AA235" s="888"/>
      <c r="AB235" s="888"/>
      <c r="AC235" s="888"/>
      <c r="AD235" s="888"/>
      <c r="AE235" s="888"/>
      <c r="AF235" s="888"/>
      <c r="AG235" s="888"/>
      <c r="AH235" s="888"/>
      <c r="AI235" s="888"/>
      <c r="AJ235" s="888"/>
      <c r="AK235" s="888"/>
      <c r="AL235" s="888"/>
      <c r="AM235" s="888"/>
      <c r="AN235" s="888"/>
      <c r="AO235" s="888"/>
      <c r="AP235" s="888"/>
      <c r="AQ235" s="888"/>
      <c r="AR235" s="888"/>
      <c r="AS235" s="888"/>
      <c r="AT235" s="888"/>
      <c r="AU235" s="888"/>
      <c r="AV235" s="888"/>
      <c r="AW235" s="888"/>
      <c r="AX235" s="888"/>
      <c r="AY235" s="888"/>
      <c r="AZ235" s="567"/>
      <c r="BA235" s="567"/>
      <c r="BB235" s="567"/>
      <c r="BC235" s="567"/>
      <c r="BD235" s="567"/>
      <c r="BE235" s="567"/>
      <c r="BF235" s="567"/>
      <c r="BG235" s="567"/>
      <c r="BH235" s="567"/>
      <c r="BI235" s="567"/>
      <c r="BJ235" s="567"/>
      <c r="BK235" s="567"/>
      <c r="BL235" s="567"/>
      <c r="BM235" s="567"/>
      <c r="BN235" s="567"/>
      <c r="BO235" s="567"/>
      <c r="BP235" s="567"/>
      <c r="BQ235" s="567"/>
      <c r="BR235" s="567"/>
      <c r="BS235" s="567"/>
      <c r="BT235" s="567"/>
      <c r="BU235" s="567"/>
      <c r="BV235" s="567"/>
      <c r="BW235" s="567"/>
      <c r="BX235" s="567"/>
      <c r="BY235" s="567"/>
      <c r="BZ235" s="567"/>
      <c r="CA235" s="567"/>
      <c r="CB235" s="567"/>
      <c r="CC235" s="567"/>
      <c r="CD235" s="567"/>
      <c r="CE235" s="567"/>
      <c r="CF235" s="567"/>
      <c r="CG235" s="567"/>
      <c r="CH235" s="567"/>
      <c r="CI235" s="567"/>
      <c r="CJ235" s="567"/>
      <c r="CK235" s="567"/>
      <c r="CL235" s="567"/>
      <c r="CM235" s="567"/>
      <c r="CN235" s="567"/>
      <c r="CO235" s="567"/>
      <c r="CP235" s="567"/>
      <c r="CQ235" s="567"/>
      <c r="CR235" s="567"/>
      <c r="CS235" s="567"/>
      <c r="CT235" s="567"/>
      <c r="CU235" s="567"/>
      <c r="CV235" s="567"/>
      <c r="CW235" s="567"/>
      <c r="CX235" s="567"/>
      <c r="CY235" s="567"/>
      <c r="CZ235" s="567"/>
      <c r="DA235" s="567"/>
      <c r="DB235" s="567"/>
      <c r="DC235" s="567"/>
      <c r="DD235" s="567"/>
      <c r="DE235" s="567"/>
      <c r="DF235" s="567"/>
      <c r="DG235" s="567"/>
      <c r="DH235" s="567"/>
      <c r="DI235" s="567"/>
      <c r="DJ235" s="567"/>
      <c r="DK235" s="567"/>
      <c r="DL235" s="567"/>
      <c r="DM235" s="567"/>
      <c r="DN235" s="567"/>
      <c r="DO235" s="567"/>
      <c r="DP235" s="567"/>
      <c r="DQ235" s="567"/>
    </row>
    <row r="236" spans="1:121" s="487" customFormat="1">
      <c r="A236" s="588"/>
      <c r="B236" s="588"/>
      <c r="C236" s="588"/>
      <c r="D236" s="588"/>
      <c r="E236" s="588"/>
      <c r="F236" s="588"/>
      <c r="G236" s="588"/>
      <c r="H236" s="588"/>
      <c r="I236" s="588"/>
      <c r="J236" s="588"/>
      <c r="K236" s="588"/>
      <c r="L236" s="702"/>
      <c r="M236" s="888"/>
      <c r="N236" s="888"/>
      <c r="O236" s="888"/>
      <c r="P236" s="888"/>
      <c r="Q236" s="888"/>
      <c r="R236" s="888"/>
      <c r="S236" s="888"/>
      <c r="T236" s="888"/>
      <c r="U236" s="888"/>
      <c r="V236" s="888"/>
      <c r="W236" s="888"/>
      <c r="X236" s="888"/>
      <c r="Y236" s="888"/>
      <c r="Z236" s="888"/>
      <c r="AA236" s="888"/>
      <c r="AB236" s="888"/>
      <c r="AC236" s="888"/>
      <c r="AD236" s="888"/>
      <c r="AE236" s="888"/>
      <c r="AF236" s="888"/>
      <c r="AG236" s="888"/>
      <c r="AH236" s="888"/>
      <c r="AI236" s="888"/>
      <c r="AJ236" s="888"/>
      <c r="AK236" s="888"/>
      <c r="AL236" s="888"/>
      <c r="AM236" s="888"/>
      <c r="AN236" s="888"/>
      <c r="AO236" s="888"/>
      <c r="AP236" s="888"/>
      <c r="AQ236" s="888"/>
      <c r="AR236" s="888"/>
      <c r="AS236" s="888"/>
      <c r="AT236" s="888"/>
      <c r="AU236" s="888"/>
      <c r="AV236" s="888"/>
      <c r="AW236" s="888"/>
      <c r="AX236" s="888"/>
      <c r="AY236" s="888"/>
      <c r="AZ236" s="567"/>
      <c r="BA236" s="567"/>
      <c r="BB236" s="567"/>
      <c r="BC236" s="567"/>
      <c r="BD236" s="567"/>
      <c r="BE236" s="567"/>
      <c r="BF236" s="567"/>
      <c r="BG236" s="567"/>
      <c r="BH236" s="567"/>
      <c r="BI236" s="567"/>
      <c r="BJ236" s="567"/>
      <c r="BK236" s="567"/>
      <c r="BL236" s="567"/>
      <c r="BM236" s="567"/>
      <c r="BN236" s="567"/>
      <c r="BO236" s="567"/>
      <c r="BP236" s="567"/>
      <c r="BQ236" s="567"/>
      <c r="BR236" s="567"/>
      <c r="BS236" s="567"/>
      <c r="BT236" s="567"/>
      <c r="BU236" s="567"/>
      <c r="BV236" s="567"/>
      <c r="BW236" s="567"/>
      <c r="BX236" s="567"/>
      <c r="BY236" s="567"/>
      <c r="BZ236" s="567"/>
      <c r="CA236" s="567"/>
      <c r="CB236" s="567"/>
      <c r="CC236" s="567"/>
      <c r="CD236" s="567"/>
      <c r="CE236" s="567"/>
      <c r="CF236" s="567"/>
      <c r="CG236" s="567"/>
      <c r="CH236" s="567"/>
      <c r="CI236" s="567"/>
      <c r="CJ236" s="567"/>
      <c r="CK236" s="567"/>
      <c r="CL236" s="567"/>
      <c r="CM236" s="567"/>
      <c r="CN236" s="567"/>
      <c r="CO236" s="567"/>
      <c r="CP236" s="567"/>
      <c r="CQ236" s="567"/>
      <c r="CR236" s="567"/>
      <c r="CS236" s="567"/>
      <c r="CT236" s="567"/>
      <c r="CU236" s="567"/>
      <c r="CV236" s="567"/>
      <c r="CW236" s="567"/>
      <c r="CX236" s="567"/>
      <c r="CY236" s="567"/>
      <c r="CZ236" s="567"/>
      <c r="DA236" s="567"/>
      <c r="DB236" s="567"/>
      <c r="DC236" s="567"/>
      <c r="DD236" s="567"/>
      <c r="DE236" s="567"/>
      <c r="DF236" s="567"/>
      <c r="DG236" s="567"/>
      <c r="DH236" s="567"/>
      <c r="DI236" s="567"/>
      <c r="DJ236" s="567"/>
      <c r="DK236" s="567"/>
      <c r="DL236" s="567"/>
      <c r="DM236" s="567"/>
      <c r="DN236" s="567"/>
      <c r="DO236" s="567"/>
      <c r="DP236" s="567"/>
      <c r="DQ236" s="567"/>
    </row>
    <row r="237" spans="1:121" s="487" customFormat="1">
      <c r="A237" s="588"/>
      <c r="B237" s="588"/>
      <c r="C237" s="588"/>
      <c r="D237" s="588"/>
      <c r="E237" s="588"/>
      <c r="F237" s="588"/>
      <c r="G237" s="588"/>
      <c r="H237" s="588"/>
      <c r="I237" s="588"/>
      <c r="J237" s="588"/>
      <c r="K237" s="588"/>
      <c r="L237" s="702"/>
      <c r="M237" s="888"/>
      <c r="N237" s="888"/>
      <c r="O237" s="888"/>
      <c r="P237" s="888"/>
      <c r="Q237" s="888"/>
      <c r="R237" s="888"/>
      <c r="S237" s="888"/>
      <c r="T237" s="888"/>
      <c r="U237" s="888"/>
      <c r="V237" s="888"/>
      <c r="W237" s="888"/>
      <c r="X237" s="888"/>
      <c r="Y237" s="888"/>
      <c r="Z237" s="888"/>
      <c r="AA237" s="888"/>
      <c r="AB237" s="888"/>
      <c r="AC237" s="888"/>
      <c r="AD237" s="888"/>
      <c r="AE237" s="888"/>
      <c r="AF237" s="888"/>
      <c r="AG237" s="888"/>
      <c r="AH237" s="888"/>
      <c r="AI237" s="888"/>
      <c r="AJ237" s="888"/>
      <c r="AK237" s="888"/>
      <c r="AL237" s="888"/>
      <c r="AM237" s="888"/>
      <c r="AN237" s="888"/>
      <c r="AO237" s="888"/>
      <c r="AP237" s="888"/>
      <c r="AQ237" s="888"/>
      <c r="AR237" s="888"/>
      <c r="AS237" s="888"/>
      <c r="AT237" s="888"/>
      <c r="AU237" s="888"/>
      <c r="AV237" s="888"/>
      <c r="AW237" s="888"/>
      <c r="AX237" s="888"/>
      <c r="AY237" s="888"/>
      <c r="AZ237" s="567"/>
      <c r="BA237" s="567"/>
      <c r="BB237" s="567"/>
      <c r="BC237" s="567"/>
      <c r="BD237" s="567"/>
      <c r="BE237" s="567"/>
      <c r="BF237" s="567"/>
      <c r="BG237" s="567"/>
      <c r="BH237" s="567"/>
      <c r="BI237" s="567"/>
      <c r="BJ237" s="567"/>
      <c r="BK237" s="567"/>
      <c r="BL237" s="567"/>
      <c r="BM237" s="567"/>
      <c r="BN237" s="567"/>
      <c r="BO237" s="567"/>
      <c r="BP237" s="567"/>
      <c r="BQ237" s="567"/>
      <c r="BR237" s="567"/>
      <c r="BS237" s="567"/>
      <c r="BT237" s="567"/>
      <c r="BU237" s="567"/>
      <c r="BV237" s="567"/>
      <c r="BW237" s="567"/>
      <c r="BX237" s="567"/>
      <c r="BY237" s="567"/>
      <c r="BZ237" s="567"/>
      <c r="CA237" s="567"/>
      <c r="CB237" s="567"/>
      <c r="CC237" s="567"/>
      <c r="CD237" s="567"/>
      <c r="CE237" s="567"/>
      <c r="CF237" s="567"/>
      <c r="CG237" s="567"/>
      <c r="CH237" s="567"/>
      <c r="CI237" s="567"/>
      <c r="CJ237" s="567"/>
      <c r="CK237" s="567"/>
      <c r="CL237" s="567"/>
      <c r="CM237" s="567"/>
      <c r="CN237" s="567"/>
      <c r="CO237" s="567"/>
      <c r="CP237" s="567"/>
      <c r="CQ237" s="567"/>
      <c r="CR237" s="567"/>
      <c r="CS237" s="567"/>
      <c r="CT237" s="567"/>
      <c r="CU237" s="567"/>
      <c r="CV237" s="567"/>
      <c r="CW237" s="567"/>
      <c r="CX237" s="567"/>
      <c r="CY237" s="567"/>
      <c r="CZ237" s="567"/>
      <c r="DA237" s="567"/>
      <c r="DB237" s="567"/>
      <c r="DC237" s="567"/>
      <c r="DD237" s="567"/>
      <c r="DE237" s="567"/>
      <c r="DF237" s="567"/>
      <c r="DG237" s="567"/>
      <c r="DH237" s="567"/>
      <c r="DI237" s="567"/>
      <c r="DJ237" s="567"/>
      <c r="DK237" s="567"/>
      <c r="DL237" s="567"/>
      <c r="DM237" s="567"/>
      <c r="DN237" s="567"/>
      <c r="DO237" s="567"/>
      <c r="DP237" s="567"/>
      <c r="DQ237" s="567"/>
    </row>
    <row r="238" spans="1:121" s="487" customFormat="1">
      <c r="A238" s="588"/>
      <c r="B238" s="588"/>
      <c r="C238" s="588"/>
      <c r="D238" s="588"/>
      <c r="E238" s="588"/>
      <c r="F238" s="588"/>
      <c r="G238" s="588"/>
      <c r="H238" s="588"/>
      <c r="I238" s="588"/>
      <c r="J238" s="588"/>
      <c r="K238" s="588"/>
      <c r="L238" s="702"/>
      <c r="M238" s="888"/>
      <c r="N238" s="888"/>
      <c r="O238" s="888"/>
      <c r="P238" s="888"/>
      <c r="Q238" s="888"/>
      <c r="R238" s="888"/>
      <c r="S238" s="888"/>
      <c r="T238" s="888"/>
      <c r="U238" s="888"/>
      <c r="V238" s="888"/>
      <c r="W238" s="888"/>
      <c r="X238" s="888"/>
      <c r="Y238" s="888"/>
      <c r="Z238" s="888"/>
      <c r="AA238" s="888"/>
      <c r="AB238" s="888"/>
      <c r="AC238" s="888"/>
      <c r="AD238" s="888"/>
      <c r="AE238" s="888"/>
      <c r="AF238" s="888"/>
      <c r="AG238" s="888"/>
      <c r="AH238" s="888"/>
      <c r="AI238" s="888"/>
      <c r="AJ238" s="888"/>
      <c r="AK238" s="888"/>
      <c r="AL238" s="888"/>
      <c r="AM238" s="888"/>
      <c r="AN238" s="888"/>
      <c r="AO238" s="888"/>
      <c r="AP238" s="888"/>
      <c r="AQ238" s="888"/>
      <c r="AR238" s="888"/>
      <c r="AS238" s="888"/>
      <c r="AT238" s="888"/>
      <c r="AU238" s="888"/>
      <c r="AV238" s="888"/>
      <c r="AW238" s="888"/>
      <c r="AX238" s="888"/>
      <c r="AY238" s="888"/>
      <c r="AZ238" s="567"/>
      <c r="BA238" s="567"/>
      <c r="BB238" s="567"/>
      <c r="BC238" s="567"/>
      <c r="BD238" s="567"/>
      <c r="BE238" s="567"/>
      <c r="BF238" s="567"/>
      <c r="BG238" s="567"/>
      <c r="BH238" s="567"/>
      <c r="BI238" s="567"/>
      <c r="BJ238" s="567"/>
      <c r="BK238" s="567"/>
      <c r="BL238" s="567"/>
      <c r="BM238" s="567"/>
      <c r="BN238" s="567"/>
      <c r="BO238" s="567"/>
      <c r="BP238" s="567"/>
      <c r="BQ238" s="567"/>
      <c r="BR238" s="567"/>
      <c r="BS238" s="567"/>
      <c r="BT238" s="567"/>
      <c r="BU238" s="567"/>
      <c r="BV238" s="567"/>
      <c r="BW238" s="567"/>
      <c r="BX238" s="567"/>
      <c r="BY238" s="567"/>
      <c r="BZ238" s="567"/>
      <c r="CA238" s="567"/>
      <c r="CB238" s="567"/>
      <c r="CC238" s="567"/>
      <c r="CD238" s="567"/>
      <c r="CE238" s="567"/>
      <c r="CF238" s="567"/>
      <c r="CG238" s="567"/>
      <c r="CH238" s="567"/>
      <c r="CI238" s="567"/>
      <c r="CJ238" s="567"/>
      <c r="CK238" s="567"/>
      <c r="CL238" s="567"/>
      <c r="CM238" s="567"/>
      <c r="CN238" s="567"/>
      <c r="CO238" s="567"/>
      <c r="CP238" s="567"/>
      <c r="CQ238" s="567"/>
      <c r="CR238" s="567"/>
      <c r="CS238" s="567"/>
      <c r="CT238" s="567"/>
      <c r="CU238" s="567"/>
      <c r="CV238" s="567"/>
      <c r="CW238" s="567"/>
      <c r="CX238" s="567"/>
      <c r="CY238" s="567"/>
      <c r="CZ238" s="567"/>
      <c r="DA238" s="567"/>
      <c r="DB238" s="567"/>
      <c r="DC238" s="567"/>
      <c r="DD238" s="567"/>
      <c r="DE238" s="567"/>
      <c r="DF238" s="567"/>
      <c r="DG238" s="567"/>
      <c r="DH238" s="567"/>
      <c r="DI238" s="567"/>
      <c r="DJ238" s="567"/>
      <c r="DK238" s="567"/>
      <c r="DL238" s="567"/>
      <c r="DM238" s="567"/>
      <c r="DN238" s="567"/>
      <c r="DO238" s="567"/>
      <c r="DP238" s="567"/>
      <c r="DQ238" s="567"/>
    </row>
    <row r="239" spans="1:121" s="487" customFormat="1">
      <c r="A239" s="588"/>
      <c r="B239" s="588"/>
      <c r="C239" s="588"/>
      <c r="D239" s="588"/>
      <c r="E239" s="588"/>
      <c r="F239" s="588"/>
      <c r="G239" s="588"/>
      <c r="H239" s="588"/>
      <c r="I239" s="588"/>
      <c r="J239" s="588"/>
      <c r="K239" s="588"/>
      <c r="L239" s="702"/>
      <c r="M239" s="888"/>
      <c r="N239" s="888"/>
      <c r="O239" s="888"/>
      <c r="P239" s="888"/>
      <c r="Q239" s="888"/>
      <c r="R239" s="888"/>
      <c r="S239" s="888"/>
      <c r="T239" s="888"/>
      <c r="U239" s="888"/>
      <c r="V239" s="888"/>
      <c r="W239" s="888"/>
      <c r="X239" s="888"/>
      <c r="Y239" s="888"/>
      <c r="Z239" s="888"/>
      <c r="AA239" s="888"/>
      <c r="AB239" s="888"/>
      <c r="AC239" s="888"/>
      <c r="AD239" s="888"/>
      <c r="AE239" s="888"/>
      <c r="AF239" s="888"/>
      <c r="AG239" s="888"/>
      <c r="AH239" s="888"/>
      <c r="AI239" s="888"/>
      <c r="AJ239" s="888"/>
      <c r="AK239" s="888"/>
      <c r="AL239" s="888"/>
      <c r="AM239" s="888"/>
      <c r="AN239" s="888"/>
      <c r="AO239" s="888"/>
      <c r="AP239" s="888"/>
      <c r="AQ239" s="888"/>
      <c r="AR239" s="888"/>
      <c r="AS239" s="888"/>
      <c r="AT239" s="888"/>
      <c r="AU239" s="888"/>
      <c r="AV239" s="888"/>
      <c r="AW239" s="888"/>
      <c r="AX239" s="888"/>
      <c r="AY239" s="888"/>
      <c r="AZ239" s="567"/>
      <c r="BA239" s="567"/>
      <c r="BB239" s="567"/>
      <c r="BC239" s="567"/>
      <c r="BD239" s="567"/>
      <c r="BE239" s="567"/>
      <c r="BF239" s="567"/>
      <c r="BG239" s="567"/>
      <c r="BH239" s="567"/>
      <c r="BI239" s="567"/>
      <c r="BJ239" s="567"/>
      <c r="BK239" s="567"/>
      <c r="BL239" s="567"/>
      <c r="BM239" s="567"/>
      <c r="BN239" s="567"/>
      <c r="BO239" s="567"/>
      <c r="BP239" s="567"/>
      <c r="BQ239" s="567"/>
      <c r="BR239" s="567"/>
      <c r="BS239" s="567"/>
      <c r="BT239" s="567"/>
      <c r="BU239" s="567"/>
      <c r="BV239" s="567"/>
      <c r="BW239" s="567"/>
      <c r="BX239" s="567"/>
      <c r="BY239" s="567"/>
      <c r="BZ239" s="567"/>
      <c r="CA239" s="567"/>
      <c r="CB239" s="567"/>
      <c r="CC239" s="567"/>
      <c r="CD239" s="567"/>
      <c r="CE239" s="567"/>
      <c r="CF239" s="567"/>
      <c r="CG239" s="567"/>
      <c r="CH239" s="567"/>
      <c r="CI239" s="567"/>
      <c r="CJ239" s="567"/>
      <c r="CK239" s="567"/>
      <c r="CL239" s="567"/>
      <c r="CM239" s="567"/>
      <c r="CN239" s="567"/>
      <c r="CO239" s="567"/>
      <c r="CP239" s="567"/>
      <c r="CQ239" s="567"/>
      <c r="CR239" s="567"/>
      <c r="CS239" s="567"/>
      <c r="CT239" s="567"/>
      <c r="CU239" s="567"/>
      <c r="CV239" s="567"/>
      <c r="CW239" s="567"/>
      <c r="CX239" s="567"/>
      <c r="CY239" s="567"/>
      <c r="CZ239" s="567"/>
      <c r="DA239" s="567"/>
      <c r="DB239" s="567"/>
      <c r="DC239" s="567"/>
      <c r="DD239" s="567"/>
      <c r="DE239" s="567"/>
      <c r="DF239" s="567"/>
      <c r="DG239" s="567"/>
      <c r="DH239" s="567"/>
      <c r="DI239" s="567"/>
      <c r="DJ239" s="567"/>
      <c r="DK239" s="567"/>
      <c r="DL239" s="567"/>
      <c r="DM239" s="567"/>
      <c r="DN239" s="567"/>
      <c r="DO239" s="567"/>
      <c r="DP239" s="567"/>
      <c r="DQ239" s="567"/>
    </row>
    <row r="240" spans="1:121" s="487" customFormat="1">
      <c r="A240" s="588"/>
      <c r="B240" s="588"/>
      <c r="C240" s="588"/>
      <c r="D240" s="588"/>
      <c r="E240" s="588"/>
      <c r="F240" s="588"/>
      <c r="G240" s="588"/>
      <c r="H240" s="588"/>
      <c r="I240" s="588"/>
      <c r="J240" s="588"/>
      <c r="K240" s="588"/>
      <c r="L240" s="702"/>
      <c r="M240" s="888"/>
      <c r="N240" s="888"/>
      <c r="O240" s="888"/>
      <c r="P240" s="888"/>
      <c r="Q240" s="888"/>
      <c r="R240" s="888"/>
      <c r="S240" s="888"/>
      <c r="T240" s="888"/>
      <c r="U240" s="888"/>
      <c r="V240" s="888"/>
      <c r="W240" s="888"/>
      <c r="X240" s="888"/>
      <c r="Y240" s="888"/>
      <c r="Z240" s="888"/>
      <c r="AA240" s="888"/>
      <c r="AB240" s="888"/>
      <c r="AC240" s="888"/>
      <c r="AD240" s="888"/>
      <c r="AE240" s="888"/>
      <c r="AF240" s="888"/>
      <c r="AG240" s="888"/>
      <c r="AH240" s="888"/>
      <c r="AI240" s="888"/>
      <c r="AJ240" s="888"/>
      <c r="AK240" s="888"/>
      <c r="AL240" s="888"/>
      <c r="AM240" s="888"/>
      <c r="AN240" s="888"/>
      <c r="AO240" s="888"/>
      <c r="AP240" s="888"/>
      <c r="AQ240" s="888"/>
      <c r="AR240" s="888"/>
      <c r="AS240" s="888"/>
      <c r="AT240" s="888"/>
      <c r="AU240" s="888"/>
      <c r="AV240" s="888"/>
      <c r="AW240" s="888"/>
      <c r="AX240" s="888"/>
      <c r="AY240" s="888"/>
      <c r="AZ240" s="567"/>
      <c r="BA240" s="567"/>
      <c r="BB240" s="567"/>
      <c r="BC240" s="567"/>
      <c r="BD240" s="567"/>
      <c r="BE240" s="567"/>
      <c r="BF240" s="567"/>
      <c r="BG240" s="567"/>
      <c r="BH240" s="567"/>
      <c r="BI240" s="567"/>
      <c r="BJ240" s="567"/>
      <c r="BK240" s="567"/>
      <c r="BL240" s="567"/>
      <c r="BM240" s="567"/>
      <c r="BN240" s="567"/>
      <c r="BO240" s="567"/>
      <c r="BP240" s="567"/>
      <c r="BQ240" s="567"/>
      <c r="BR240" s="567"/>
      <c r="BS240" s="567"/>
      <c r="BT240" s="567"/>
      <c r="BU240" s="567"/>
      <c r="BV240" s="567"/>
      <c r="BW240" s="567"/>
      <c r="BX240" s="567"/>
      <c r="BY240" s="567"/>
      <c r="BZ240" s="567"/>
      <c r="CA240" s="567"/>
      <c r="CB240" s="567"/>
      <c r="CC240" s="567"/>
      <c r="CD240" s="567"/>
      <c r="CE240" s="567"/>
      <c r="CF240" s="567"/>
      <c r="CG240" s="567"/>
      <c r="CH240" s="567"/>
      <c r="CI240" s="567"/>
      <c r="CJ240" s="567"/>
      <c r="CK240" s="567"/>
      <c r="CL240" s="567"/>
      <c r="CM240" s="567"/>
      <c r="CN240" s="567"/>
      <c r="CO240" s="567"/>
      <c r="CP240" s="567"/>
      <c r="CQ240" s="567"/>
      <c r="CR240" s="567"/>
      <c r="CS240" s="567"/>
      <c r="CT240" s="567"/>
      <c r="CU240" s="567"/>
      <c r="CV240" s="567"/>
      <c r="CW240" s="567"/>
      <c r="CX240" s="567"/>
      <c r="CY240" s="567"/>
      <c r="CZ240" s="567"/>
      <c r="DA240" s="567"/>
      <c r="DB240" s="567"/>
      <c r="DC240" s="567"/>
      <c r="DD240" s="567"/>
      <c r="DE240" s="567"/>
      <c r="DF240" s="567"/>
      <c r="DG240" s="567"/>
      <c r="DH240" s="567"/>
      <c r="DI240" s="567"/>
      <c r="DJ240" s="567"/>
      <c r="DK240" s="567"/>
      <c r="DL240" s="567"/>
      <c r="DM240" s="567"/>
      <c r="DN240" s="567"/>
      <c r="DO240" s="567"/>
      <c r="DP240" s="567"/>
      <c r="DQ240" s="567"/>
    </row>
    <row r="241" spans="1:121" s="487" customFormat="1">
      <c r="A241" s="588"/>
      <c r="B241" s="588"/>
      <c r="C241" s="588"/>
      <c r="D241" s="588"/>
      <c r="E241" s="588"/>
      <c r="F241" s="588"/>
      <c r="G241" s="588"/>
      <c r="H241" s="588"/>
      <c r="I241" s="588"/>
      <c r="J241" s="588"/>
      <c r="K241" s="588"/>
      <c r="L241" s="702"/>
      <c r="M241" s="888"/>
      <c r="N241" s="888"/>
      <c r="O241" s="888"/>
      <c r="P241" s="888"/>
      <c r="Q241" s="888"/>
      <c r="R241" s="888"/>
      <c r="S241" s="888"/>
      <c r="T241" s="888"/>
      <c r="U241" s="888"/>
      <c r="V241" s="888"/>
      <c r="W241" s="888"/>
      <c r="X241" s="888"/>
      <c r="Y241" s="888"/>
      <c r="Z241" s="888"/>
      <c r="AA241" s="888"/>
      <c r="AB241" s="888"/>
      <c r="AC241" s="888"/>
      <c r="AD241" s="888"/>
      <c r="AE241" s="888"/>
      <c r="AF241" s="888"/>
      <c r="AG241" s="888"/>
      <c r="AH241" s="888"/>
      <c r="AI241" s="888"/>
      <c r="AJ241" s="888"/>
      <c r="AK241" s="888"/>
      <c r="AL241" s="888"/>
      <c r="AM241" s="888"/>
      <c r="AN241" s="888"/>
      <c r="AO241" s="888"/>
      <c r="AP241" s="888"/>
      <c r="AQ241" s="888"/>
      <c r="AR241" s="888"/>
      <c r="AS241" s="888"/>
      <c r="AT241" s="888"/>
      <c r="AU241" s="888"/>
      <c r="AV241" s="888"/>
      <c r="AW241" s="888"/>
      <c r="AX241" s="888"/>
      <c r="AY241" s="888"/>
      <c r="AZ241" s="567"/>
      <c r="BA241" s="567"/>
      <c r="BB241" s="567"/>
      <c r="BC241" s="567"/>
      <c r="BD241" s="567"/>
      <c r="BE241" s="567"/>
      <c r="BF241" s="567"/>
      <c r="BG241" s="567"/>
      <c r="BH241" s="567"/>
      <c r="BI241" s="567"/>
      <c r="BJ241" s="567"/>
      <c r="BK241" s="567"/>
      <c r="BL241" s="567"/>
      <c r="BM241" s="567"/>
      <c r="BN241" s="567"/>
      <c r="BO241" s="567"/>
      <c r="BP241" s="567"/>
      <c r="BQ241" s="567"/>
      <c r="BR241" s="567"/>
      <c r="BS241" s="567"/>
      <c r="BT241" s="567"/>
      <c r="BU241" s="567"/>
      <c r="BV241" s="567"/>
      <c r="BW241" s="567"/>
      <c r="BX241" s="567"/>
      <c r="BY241" s="567"/>
      <c r="BZ241" s="567"/>
      <c r="CA241" s="567"/>
      <c r="CB241" s="567"/>
      <c r="CC241" s="567"/>
      <c r="CD241" s="567"/>
      <c r="CE241" s="567"/>
      <c r="CF241" s="567"/>
      <c r="CG241" s="567"/>
      <c r="CH241" s="567"/>
      <c r="CI241" s="567"/>
      <c r="CJ241" s="567"/>
      <c r="CK241" s="567"/>
      <c r="CL241" s="567"/>
      <c r="CM241" s="567"/>
      <c r="CN241" s="567"/>
      <c r="CO241" s="567"/>
      <c r="CP241" s="567"/>
      <c r="CQ241" s="567"/>
      <c r="CR241" s="567"/>
      <c r="CS241" s="567"/>
      <c r="CT241" s="567"/>
      <c r="CU241" s="567"/>
      <c r="CV241" s="567"/>
      <c r="CW241" s="567"/>
      <c r="CX241" s="567"/>
      <c r="CY241" s="567"/>
      <c r="CZ241" s="567"/>
      <c r="DA241" s="567"/>
      <c r="DB241" s="567"/>
      <c r="DC241" s="567"/>
      <c r="DD241" s="567"/>
      <c r="DE241" s="567"/>
      <c r="DF241" s="567"/>
      <c r="DG241" s="567"/>
      <c r="DH241" s="567"/>
      <c r="DI241" s="567"/>
      <c r="DJ241" s="567"/>
      <c r="DK241" s="567"/>
      <c r="DL241" s="567"/>
      <c r="DM241" s="567"/>
      <c r="DN241" s="567"/>
      <c r="DO241" s="567"/>
      <c r="DP241" s="567"/>
      <c r="DQ241" s="567"/>
    </row>
    <row r="242" spans="1:121" s="487" customFormat="1">
      <c r="A242" s="588"/>
      <c r="B242" s="588"/>
      <c r="C242" s="588"/>
      <c r="D242" s="588"/>
      <c r="E242" s="588"/>
      <c r="F242" s="588"/>
      <c r="G242" s="588"/>
      <c r="H242" s="588"/>
      <c r="I242" s="588"/>
      <c r="J242" s="588"/>
      <c r="K242" s="588"/>
      <c r="L242" s="702"/>
      <c r="M242" s="888"/>
      <c r="N242" s="888"/>
      <c r="O242" s="888"/>
      <c r="P242" s="888"/>
      <c r="Q242" s="888"/>
      <c r="R242" s="888"/>
      <c r="S242" s="888"/>
      <c r="T242" s="888"/>
      <c r="U242" s="888"/>
      <c r="V242" s="888"/>
      <c r="W242" s="888"/>
      <c r="X242" s="888"/>
      <c r="Y242" s="888"/>
      <c r="Z242" s="888"/>
      <c r="AA242" s="888"/>
      <c r="AB242" s="888"/>
      <c r="AC242" s="888"/>
      <c r="AD242" s="888"/>
      <c r="AE242" s="888"/>
      <c r="AF242" s="888"/>
      <c r="AG242" s="888"/>
      <c r="AH242" s="888"/>
      <c r="AI242" s="888"/>
      <c r="AJ242" s="888"/>
      <c r="AK242" s="888"/>
      <c r="AL242" s="888"/>
      <c r="AM242" s="888"/>
      <c r="AN242" s="888"/>
      <c r="AO242" s="888"/>
      <c r="AP242" s="888"/>
      <c r="AQ242" s="888"/>
      <c r="AR242" s="888"/>
      <c r="AS242" s="888"/>
      <c r="AT242" s="888"/>
      <c r="AU242" s="888"/>
      <c r="AV242" s="888"/>
      <c r="AW242" s="888"/>
      <c r="AX242" s="888"/>
      <c r="AY242" s="888"/>
      <c r="AZ242" s="567"/>
      <c r="BA242" s="567"/>
      <c r="BB242" s="567"/>
      <c r="BC242" s="567"/>
      <c r="BD242" s="567"/>
      <c r="BE242" s="567"/>
      <c r="BF242" s="567"/>
      <c r="BG242" s="567"/>
      <c r="BH242" s="567"/>
      <c r="BI242" s="567"/>
      <c r="BJ242" s="567"/>
      <c r="BK242" s="567"/>
      <c r="BL242" s="567"/>
      <c r="BM242" s="567"/>
      <c r="BN242" s="567"/>
      <c r="BO242" s="567"/>
      <c r="BP242" s="567"/>
      <c r="BQ242" s="567"/>
      <c r="BR242" s="567"/>
      <c r="BS242" s="567"/>
      <c r="BT242" s="567"/>
      <c r="BU242" s="567"/>
      <c r="BV242" s="567"/>
      <c r="BW242" s="567"/>
      <c r="BX242" s="567"/>
      <c r="BY242" s="567"/>
      <c r="BZ242" s="567"/>
      <c r="CA242" s="567"/>
      <c r="CB242" s="567"/>
      <c r="CC242" s="567"/>
      <c r="CD242" s="567"/>
      <c r="CE242" s="567"/>
      <c r="CF242" s="567"/>
      <c r="CG242" s="567"/>
      <c r="CH242" s="567"/>
      <c r="CI242" s="567"/>
      <c r="CJ242" s="567"/>
      <c r="CK242" s="567"/>
      <c r="CL242" s="567"/>
      <c r="CM242" s="567"/>
      <c r="CN242" s="567"/>
      <c r="CO242" s="567"/>
      <c r="CP242" s="567"/>
      <c r="CQ242" s="567"/>
      <c r="CR242" s="567"/>
      <c r="CS242" s="567"/>
      <c r="CT242" s="567"/>
      <c r="CU242" s="567"/>
      <c r="CV242" s="567"/>
      <c r="CW242" s="567"/>
      <c r="CX242" s="567"/>
      <c r="CY242" s="567"/>
      <c r="CZ242" s="567"/>
      <c r="DA242" s="567"/>
      <c r="DB242" s="567"/>
      <c r="DC242" s="567"/>
      <c r="DD242" s="567"/>
      <c r="DE242" s="567"/>
      <c r="DF242" s="567"/>
      <c r="DG242" s="567"/>
      <c r="DH242" s="567"/>
      <c r="DI242" s="567"/>
      <c r="DJ242" s="567"/>
      <c r="DK242" s="567"/>
      <c r="DL242" s="567"/>
      <c r="DM242" s="567"/>
      <c r="DN242" s="567"/>
      <c r="DO242" s="567"/>
      <c r="DP242" s="567"/>
      <c r="DQ242" s="567"/>
    </row>
    <row r="243" spans="1:121" s="487" customFormat="1">
      <c r="A243" s="588"/>
      <c r="B243" s="588"/>
      <c r="C243" s="588"/>
      <c r="D243" s="588"/>
      <c r="E243" s="588"/>
      <c r="F243" s="588"/>
      <c r="G243" s="588"/>
      <c r="H243" s="588"/>
      <c r="I243" s="588"/>
      <c r="J243" s="588"/>
      <c r="K243" s="588"/>
      <c r="L243" s="702"/>
      <c r="M243" s="888"/>
      <c r="N243" s="888"/>
      <c r="O243" s="888"/>
      <c r="P243" s="888"/>
      <c r="Q243" s="888"/>
      <c r="R243" s="888"/>
      <c r="S243" s="888"/>
      <c r="T243" s="888"/>
      <c r="U243" s="888"/>
      <c r="V243" s="888"/>
      <c r="W243" s="888"/>
      <c r="X243" s="888"/>
      <c r="Y243" s="888"/>
      <c r="Z243" s="888"/>
      <c r="AA243" s="888"/>
      <c r="AB243" s="888"/>
      <c r="AC243" s="888"/>
      <c r="AD243" s="888"/>
      <c r="AE243" s="888"/>
      <c r="AF243" s="888"/>
      <c r="AG243" s="888"/>
      <c r="AH243" s="888"/>
      <c r="AI243" s="888"/>
      <c r="AJ243" s="888"/>
      <c r="AK243" s="888"/>
      <c r="AL243" s="888"/>
      <c r="AM243" s="888"/>
      <c r="AN243" s="888"/>
      <c r="AO243" s="888"/>
      <c r="AP243" s="888"/>
      <c r="AQ243" s="888"/>
      <c r="AR243" s="888"/>
      <c r="AS243" s="888"/>
      <c r="AT243" s="888"/>
      <c r="AU243" s="888"/>
      <c r="AV243" s="888"/>
      <c r="AW243" s="888"/>
      <c r="AX243" s="888"/>
      <c r="AY243" s="888"/>
      <c r="AZ243" s="567"/>
      <c r="BA243" s="567"/>
      <c r="BB243" s="567"/>
      <c r="BC243" s="567"/>
      <c r="BD243" s="567"/>
      <c r="BE243" s="567"/>
      <c r="BF243" s="567"/>
      <c r="BG243" s="567"/>
      <c r="BH243" s="567"/>
      <c r="BI243" s="567"/>
      <c r="BJ243" s="567"/>
      <c r="BK243" s="567"/>
      <c r="BL243" s="567"/>
      <c r="BM243" s="567"/>
      <c r="BN243" s="567"/>
      <c r="BO243" s="567"/>
      <c r="BP243" s="567"/>
      <c r="BQ243" s="567"/>
      <c r="BR243" s="567"/>
      <c r="BS243" s="567"/>
      <c r="BT243" s="567"/>
      <c r="BU243" s="567"/>
      <c r="BV243" s="567"/>
      <c r="BW243" s="567"/>
      <c r="BX243" s="567"/>
      <c r="BY243" s="567"/>
      <c r="BZ243" s="567"/>
      <c r="CA243" s="567"/>
      <c r="CB243" s="567"/>
      <c r="CC243" s="567"/>
      <c r="CD243" s="567"/>
      <c r="CE243" s="567"/>
      <c r="CF243" s="567"/>
      <c r="CG243" s="567"/>
      <c r="CH243" s="567"/>
      <c r="CI243" s="567"/>
      <c r="CJ243" s="567"/>
      <c r="CK243" s="567"/>
      <c r="CL243" s="567"/>
      <c r="CM243" s="567"/>
      <c r="CN243" s="567"/>
      <c r="CO243" s="567"/>
      <c r="CP243" s="567"/>
      <c r="CQ243" s="567"/>
      <c r="CR243" s="567"/>
      <c r="CS243" s="567"/>
      <c r="CT243" s="567"/>
      <c r="CU243" s="567"/>
      <c r="CV243" s="567"/>
      <c r="CW243" s="567"/>
      <c r="CX243" s="567"/>
      <c r="CY243" s="567"/>
      <c r="CZ243" s="567"/>
      <c r="DA243" s="567"/>
      <c r="DB243" s="567"/>
      <c r="DC243" s="567"/>
      <c r="DD243" s="567"/>
      <c r="DE243" s="567"/>
      <c r="DF243" s="567"/>
      <c r="DG243" s="567"/>
      <c r="DH243" s="567"/>
      <c r="DI243" s="567"/>
      <c r="DJ243" s="567"/>
      <c r="DK243" s="567"/>
      <c r="DL243" s="567"/>
      <c r="DM243" s="567"/>
      <c r="DN243" s="567"/>
      <c r="DO243" s="567"/>
      <c r="DP243" s="567"/>
      <c r="DQ243" s="567"/>
    </row>
    <row r="244" spans="1:121" s="487" customFormat="1">
      <c r="A244" s="588"/>
      <c r="B244" s="588"/>
      <c r="C244" s="588"/>
      <c r="D244" s="588"/>
      <c r="E244" s="588"/>
      <c r="F244" s="588"/>
      <c r="G244" s="588"/>
      <c r="H244" s="588"/>
      <c r="I244" s="588"/>
      <c r="J244" s="588"/>
      <c r="K244" s="588"/>
      <c r="L244" s="702"/>
      <c r="M244" s="888"/>
      <c r="N244" s="888"/>
      <c r="O244" s="888"/>
      <c r="P244" s="888"/>
      <c r="Q244" s="888"/>
      <c r="R244" s="888"/>
      <c r="S244" s="888"/>
      <c r="T244" s="888"/>
      <c r="U244" s="888"/>
      <c r="V244" s="888"/>
      <c r="W244" s="888"/>
      <c r="X244" s="888"/>
      <c r="Y244" s="888"/>
      <c r="Z244" s="888"/>
      <c r="AA244" s="888"/>
      <c r="AB244" s="888"/>
      <c r="AC244" s="888"/>
      <c r="AD244" s="888"/>
      <c r="AE244" s="888"/>
      <c r="AF244" s="888"/>
      <c r="AG244" s="888"/>
      <c r="AH244" s="888"/>
      <c r="AI244" s="888"/>
      <c r="AJ244" s="888"/>
      <c r="AK244" s="888"/>
      <c r="AL244" s="888"/>
      <c r="AM244" s="888"/>
      <c r="AN244" s="888"/>
      <c r="AO244" s="888"/>
      <c r="AP244" s="888"/>
      <c r="AQ244" s="888"/>
      <c r="AR244" s="888"/>
      <c r="AS244" s="888"/>
      <c r="AT244" s="888"/>
      <c r="AU244" s="888"/>
      <c r="AV244" s="888"/>
      <c r="AW244" s="888"/>
      <c r="AX244" s="888"/>
      <c r="AY244" s="888"/>
      <c r="AZ244" s="567"/>
      <c r="BA244" s="567"/>
      <c r="BB244" s="567"/>
      <c r="BC244" s="567"/>
      <c r="BD244" s="567"/>
      <c r="BE244" s="567"/>
      <c r="BF244" s="567"/>
      <c r="BG244" s="567"/>
      <c r="BH244" s="567"/>
      <c r="BI244" s="567"/>
      <c r="BJ244" s="567"/>
      <c r="BK244" s="567"/>
      <c r="BL244" s="567"/>
      <c r="BM244" s="567"/>
      <c r="BN244" s="567"/>
      <c r="BO244" s="567"/>
      <c r="BP244" s="567"/>
      <c r="BQ244" s="567"/>
      <c r="BR244" s="567"/>
      <c r="BS244" s="567"/>
      <c r="BT244" s="567"/>
      <c r="BU244" s="567"/>
      <c r="BV244" s="567"/>
      <c r="BW244" s="567"/>
      <c r="BX244" s="567"/>
      <c r="BY244" s="567"/>
      <c r="BZ244" s="567"/>
      <c r="CA244" s="567"/>
      <c r="CB244" s="567"/>
      <c r="CC244" s="567"/>
      <c r="CD244" s="567"/>
      <c r="CE244" s="567"/>
      <c r="CF244" s="567"/>
      <c r="CG244" s="567"/>
      <c r="CH244" s="567"/>
      <c r="CI244" s="567"/>
      <c r="CJ244" s="567"/>
      <c r="CK244" s="567"/>
      <c r="CL244" s="567"/>
      <c r="CM244" s="567"/>
      <c r="CN244" s="567"/>
      <c r="CO244" s="567"/>
      <c r="CP244" s="567"/>
      <c r="CQ244" s="567"/>
      <c r="CR244" s="567"/>
      <c r="CS244" s="567"/>
      <c r="CT244" s="567"/>
      <c r="CU244" s="567"/>
      <c r="CV244" s="567"/>
      <c r="CW244" s="567"/>
      <c r="CX244" s="567"/>
      <c r="CY244" s="567"/>
      <c r="CZ244" s="567"/>
      <c r="DA244" s="567"/>
      <c r="DB244" s="567"/>
      <c r="DC244" s="567"/>
      <c r="DD244" s="567"/>
      <c r="DE244" s="567"/>
      <c r="DF244" s="567"/>
      <c r="DG244" s="567"/>
      <c r="DH244" s="567"/>
      <c r="DI244" s="567"/>
      <c r="DJ244" s="567"/>
      <c r="DK244" s="567"/>
      <c r="DL244" s="567"/>
      <c r="DM244" s="567"/>
      <c r="DN244" s="567"/>
      <c r="DO244" s="567"/>
      <c r="DP244" s="567"/>
      <c r="DQ244" s="567"/>
    </row>
    <row r="245" spans="1:121" s="487" customFormat="1">
      <c r="A245" s="588"/>
      <c r="B245" s="588"/>
      <c r="C245" s="588"/>
      <c r="D245" s="588"/>
      <c r="E245" s="588"/>
      <c r="F245" s="588"/>
      <c r="G245" s="588"/>
      <c r="H245" s="588"/>
      <c r="I245" s="588"/>
      <c r="J245" s="588"/>
      <c r="K245" s="588"/>
      <c r="L245" s="702"/>
      <c r="M245" s="888"/>
      <c r="N245" s="888"/>
      <c r="O245" s="888"/>
      <c r="P245" s="888"/>
      <c r="Q245" s="888"/>
      <c r="R245" s="888"/>
      <c r="S245" s="888"/>
      <c r="T245" s="888"/>
      <c r="U245" s="888"/>
      <c r="V245" s="888"/>
      <c r="W245" s="888"/>
      <c r="X245" s="888"/>
      <c r="Y245" s="888"/>
      <c r="Z245" s="888"/>
      <c r="AA245" s="888"/>
      <c r="AB245" s="888"/>
      <c r="AC245" s="888"/>
      <c r="AD245" s="888"/>
      <c r="AE245" s="888"/>
      <c r="AF245" s="888"/>
      <c r="AG245" s="888"/>
      <c r="AH245" s="888"/>
      <c r="AI245" s="888"/>
      <c r="AJ245" s="888"/>
      <c r="AK245" s="888"/>
      <c r="AL245" s="888"/>
      <c r="AM245" s="888"/>
      <c r="AN245" s="888"/>
      <c r="AO245" s="888"/>
      <c r="AP245" s="888"/>
      <c r="AQ245" s="888"/>
      <c r="AR245" s="888"/>
      <c r="AS245" s="888"/>
      <c r="AT245" s="888"/>
      <c r="AU245" s="888"/>
      <c r="AV245" s="888"/>
      <c r="AW245" s="888"/>
      <c r="AX245" s="888"/>
      <c r="AY245" s="888"/>
      <c r="AZ245" s="567"/>
      <c r="BA245" s="567"/>
      <c r="BB245" s="567"/>
      <c r="BC245" s="567"/>
      <c r="BD245" s="567"/>
      <c r="BE245" s="567"/>
      <c r="BF245" s="567"/>
      <c r="BG245" s="567"/>
      <c r="BH245" s="567"/>
      <c r="BI245" s="567"/>
      <c r="BJ245" s="567"/>
      <c r="BK245" s="567"/>
      <c r="BL245" s="567"/>
      <c r="BM245" s="567"/>
      <c r="BN245" s="567"/>
      <c r="BO245" s="567"/>
      <c r="BP245" s="567"/>
      <c r="BQ245" s="567"/>
      <c r="BR245" s="567"/>
      <c r="BS245" s="567"/>
      <c r="BT245" s="567"/>
      <c r="BU245" s="567"/>
      <c r="BV245" s="567"/>
      <c r="BW245" s="567"/>
      <c r="BX245" s="567"/>
      <c r="BY245" s="567"/>
      <c r="BZ245" s="567"/>
      <c r="CA245" s="567"/>
      <c r="CB245" s="567"/>
      <c r="CC245" s="567"/>
      <c r="CD245" s="567"/>
      <c r="CE245" s="567"/>
      <c r="CF245" s="567"/>
      <c r="CG245" s="567"/>
      <c r="CH245" s="567"/>
      <c r="CI245" s="567"/>
      <c r="CJ245" s="567"/>
      <c r="CK245" s="567"/>
      <c r="CL245" s="567"/>
      <c r="CM245" s="567"/>
      <c r="CN245" s="567"/>
      <c r="CO245" s="567"/>
      <c r="CP245" s="567"/>
      <c r="CQ245" s="567"/>
      <c r="CR245" s="567"/>
      <c r="CS245" s="567"/>
      <c r="CT245" s="567"/>
      <c r="CU245" s="567"/>
      <c r="CV245" s="567"/>
      <c r="CW245" s="567"/>
      <c r="CX245" s="567"/>
      <c r="CY245" s="567"/>
      <c r="CZ245" s="567"/>
      <c r="DA245" s="567"/>
      <c r="DB245" s="567"/>
      <c r="DC245" s="567"/>
      <c r="DD245" s="567"/>
      <c r="DE245" s="567"/>
      <c r="DF245" s="567"/>
      <c r="DG245" s="567"/>
      <c r="DH245" s="567"/>
      <c r="DI245" s="567"/>
      <c r="DJ245" s="567"/>
      <c r="DK245" s="567"/>
      <c r="DL245" s="567"/>
      <c r="DM245" s="567"/>
      <c r="DN245" s="567"/>
      <c r="DO245" s="567"/>
      <c r="DP245" s="567"/>
      <c r="DQ245" s="567"/>
    </row>
    <row r="246" spans="1:121" s="487" customFormat="1">
      <c r="A246" s="588"/>
      <c r="B246" s="588"/>
      <c r="C246" s="588"/>
      <c r="D246" s="588"/>
      <c r="E246" s="588"/>
      <c r="F246" s="588"/>
      <c r="G246" s="588"/>
      <c r="H246" s="588"/>
      <c r="I246" s="588"/>
      <c r="J246" s="588"/>
      <c r="K246" s="588"/>
      <c r="L246" s="702"/>
      <c r="M246" s="888"/>
      <c r="N246" s="888"/>
      <c r="O246" s="888"/>
      <c r="P246" s="888"/>
      <c r="Q246" s="888"/>
      <c r="R246" s="888"/>
      <c r="S246" s="888"/>
      <c r="T246" s="888"/>
      <c r="U246" s="888"/>
      <c r="V246" s="888"/>
      <c r="W246" s="888"/>
      <c r="X246" s="888"/>
      <c r="Y246" s="888"/>
      <c r="Z246" s="888"/>
      <c r="AA246" s="888"/>
      <c r="AB246" s="888"/>
      <c r="AC246" s="888"/>
      <c r="AD246" s="888"/>
      <c r="AE246" s="888"/>
      <c r="AF246" s="888"/>
      <c r="AG246" s="888"/>
      <c r="AH246" s="888"/>
      <c r="AI246" s="888"/>
      <c r="AJ246" s="888"/>
      <c r="AK246" s="888"/>
      <c r="AL246" s="888"/>
      <c r="AM246" s="888"/>
      <c r="AN246" s="888"/>
      <c r="AO246" s="888"/>
      <c r="AP246" s="888"/>
      <c r="AQ246" s="888"/>
      <c r="AR246" s="888"/>
      <c r="AS246" s="888"/>
      <c r="AT246" s="888"/>
      <c r="AU246" s="888"/>
      <c r="AV246" s="888"/>
      <c r="AW246" s="888"/>
      <c r="AX246" s="888"/>
      <c r="AY246" s="888"/>
      <c r="AZ246" s="567"/>
      <c r="BA246" s="567"/>
      <c r="BB246" s="567"/>
      <c r="BC246" s="567"/>
      <c r="BD246" s="567"/>
      <c r="BE246" s="567"/>
      <c r="BF246" s="567"/>
      <c r="BG246" s="567"/>
      <c r="BH246" s="567"/>
      <c r="BI246" s="567"/>
      <c r="BJ246" s="567"/>
      <c r="BK246" s="567"/>
      <c r="BL246" s="567"/>
      <c r="BM246" s="567"/>
      <c r="BN246" s="567"/>
      <c r="BO246" s="567"/>
      <c r="BP246" s="567"/>
      <c r="BQ246" s="567"/>
      <c r="BR246" s="567"/>
      <c r="BS246" s="567"/>
      <c r="BT246" s="567"/>
      <c r="BU246" s="567"/>
      <c r="BV246" s="567"/>
      <c r="BW246" s="567"/>
      <c r="BX246" s="567"/>
      <c r="BY246" s="567"/>
      <c r="BZ246" s="567"/>
      <c r="CA246" s="567"/>
      <c r="CB246" s="567"/>
      <c r="CC246" s="567"/>
      <c r="CD246" s="567"/>
      <c r="CE246" s="567"/>
      <c r="CF246" s="567"/>
      <c r="CG246" s="567"/>
      <c r="CH246" s="567"/>
      <c r="CI246" s="567"/>
      <c r="CJ246" s="567"/>
      <c r="CK246" s="567"/>
      <c r="CL246" s="567"/>
      <c r="CM246" s="567"/>
      <c r="CN246" s="567"/>
      <c r="CO246" s="567"/>
      <c r="CP246" s="567"/>
      <c r="CQ246" s="567"/>
      <c r="CR246" s="567"/>
      <c r="CS246" s="567"/>
      <c r="CT246" s="567"/>
      <c r="CU246" s="567"/>
      <c r="CV246" s="567"/>
      <c r="CW246" s="567"/>
      <c r="CX246" s="567"/>
      <c r="CY246" s="567"/>
      <c r="CZ246" s="567"/>
      <c r="DA246" s="567"/>
      <c r="DB246" s="567"/>
      <c r="DC246" s="567"/>
      <c r="DD246" s="567"/>
      <c r="DE246" s="567"/>
      <c r="DF246" s="567"/>
      <c r="DG246" s="567"/>
      <c r="DH246" s="567"/>
      <c r="DI246" s="567"/>
      <c r="DJ246" s="567"/>
      <c r="DK246" s="567"/>
      <c r="DL246" s="567"/>
      <c r="DM246" s="567"/>
      <c r="DN246" s="567"/>
      <c r="DO246" s="567"/>
      <c r="DP246" s="567"/>
      <c r="DQ246" s="567"/>
    </row>
    <row r="247" spans="1:121" s="487" customFormat="1">
      <c r="A247" s="588"/>
      <c r="B247" s="588"/>
      <c r="C247" s="588"/>
      <c r="D247" s="588"/>
      <c r="E247" s="588"/>
      <c r="F247" s="588"/>
      <c r="G247" s="588"/>
      <c r="H247" s="588"/>
      <c r="I247" s="588"/>
      <c r="J247" s="588"/>
      <c r="K247" s="588"/>
      <c r="L247" s="702"/>
      <c r="M247" s="888"/>
      <c r="N247" s="888"/>
      <c r="O247" s="888"/>
      <c r="P247" s="888"/>
      <c r="Q247" s="888"/>
      <c r="R247" s="888"/>
      <c r="S247" s="888"/>
      <c r="T247" s="888"/>
      <c r="U247" s="888"/>
      <c r="V247" s="888"/>
      <c r="W247" s="888"/>
      <c r="X247" s="888"/>
      <c r="Y247" s="888"/>
      <c r="Z247" s="888"/>
      <c r="AA247" s="888"/>
      <c r="AB247" s="888"/>
      <c r="AC247" s="888"/>
      <c r="AD247" s="888"/>
      <c r="AE247" s="888"/>
      <c r="AF247" s="888"/>
      <c r="AG247" s="888"/>
      <c r="AH247" s="888"/>
      <c r="AI247" s="888"/>
      <c r="AJ247" s="888"/>
      <c r="AK247" s="888"/>
      <c r="AL247" s="888"/>
      <c r="AM247" s="888"/>
      <c r="AN247" s="888"/>
      <c r="AO247" s="888"/>
      <c r="AP247" s="888"/>
      <c r="AQ247" s="888"/>
      <c r="AR247" s="888"/>
      <c r="AS247" s="888"/>
      <c r="AT247" s="888"/>
      <c r="AU247" s="888"/>
      <c r="AV247" s="888"/>
      <c r="AW247" s="888"/>
      <c r="AX247" s="888"/>
      <c r="AY247" s="888"/>
      <c r="AZ247" s="567"/>
      <c r="BA247" s="567"/>
      <c r="BB247" s="567"/>
      <c r="BC247" s="567"/>
      <c r="BD247" s="567"/>
      <c r="BE247" s="567"/>
      <c r="BF247" s="567"/>
      <c r="BG247" s="567"/>
      <c r="BH247" s="567"/>
      <c r="BI247" s="567"/>
      <c r="BJ247" s="567"/>
      <c r="BK247" s="567"/>
      <c r="BL247" s="567"/>
      <c r="BM247" s="567"/>
      <c r="BN247" s="567"/>
      <c r="BO247" s="567"/>
      <c r="BP247" s="567"/>
      <c r="BQ247" s="567"/>
      <c r="BR247" s="567"/>
      <c r="BS247" s="567"/>
      <c r="BT247" s="567"/>
      <c r="BU247" s="567"/>
      <c r="BV247" s="567"/>
      <c r="BW247" s="567"/>
      <c r="BX247" s="567"/>
      <c r="BY247" s="567"/>
      <c r="BZ247" s="567"/>
      <c r="CA247" s="567"/>
      <c r="CB247" s="567"/>
      <c r="CC247" s="567"/>
      <c r="CD247" s="567"/>
      <c r="CE247" s="567"/>
      <c r="CF247" s="567"/>
      <c r="CG247" s="567"/>
      <c r="CH247" s="567"/>
      <c r="CI247" s="567"/>
      <c r="CJ247" s="567"/>
      <c r="CK247" s="567"/>
      <c r="CL247" s="567"/>
      <c r="CM247" s="567"/>
      <c r="CN247" s="567"/>
      <c r="CO247" s="567"/>
      <c r="CP247" s="567"/>
      <c r="CQ247" s="567"/>
      <c r="CR247" s="567"/>
      <c r="CS247" s="567"/>
      <c r="CT247" s="567"/>
      <c r="CU247" s="567"/>
      <c r="CV247" s="567"/>
      <c r="CW247" s="567"/>
      <c r="CX247" s="567"/>
      <c r="CY247" s="567"/>
      <c r="CZ247" s="567"/>
      <c r="DA247" s="567"/>
      <c r="DB247" s="567"/>
      <c r="DC247" s="567"/>
      <c r="DD247" s="567"/>
      <c r="DE247" s="567"/>
      <c r="DF247" s="567"/>
      <c r="DG247" s="567"/>
      <c r="DH247" s="567"/>
      <c r="DI247" s="567"/>
      <c r="DJ247" s="567"/>
      <c r="DK247" s="567"/>
      <c r="DL247" s="567"/>
      <c r="DM247" s="567"/>
      <c r="DN247" s="567"/>
      <c r="DO247" s="567"/>
      <c r="DP247" s="567"/>
      <c r="DQ247" s="567"/>
    </row>
    <row r="248" spans="1:121" s="487" customFormat="1">
      <c r="A248" s="588"/>
      <c r="B248" s="588"/>
      <c r="C248" s="588"/>
      <c r="D248" s="588"/>
      <c r="E248" s="588"/>
      <c r="F248" s="588"/>
      <c r="G248" s="588"/>
      <c r="H248" s="588"/>
      <c r="I248" s="588"/>
      <c r="J248" s="588"/>
      <c r="K248" s="588"/>
      <c r="L248" s="702"/>
      <c r="M248" s="888"/>
      <c r="N248" s="888"/>
      <c r="O248" s="888"/>
      <c r="P248" s="888"/>
      <c r="Q248" s="888"/>
      <c r="R248" s="888"/>
      <c r="S248" s="888"/>
      <c r="T248" s="888"/>
      <c r="U248" s="888"/>
      <c r="V248" s="888"/>
      <c r="W248" s="888"/>
      <c r="X248" s="888"/>
      <c r="Y248" s="888"/>
      <c r="Z248" s="888"/>
      <c r="AA248" s="888"/>
      <c r="AB248" s="888"/>
      <c r="AC248" s="888"/>
      <c r="AD248" s="888"/>
      <c r="AE248" s="888"/>
      <c r="AF248" s="888"/>
      <c r="AG248" s="888"/>
      <c r="AH248" s="888"/>
      <c r="AI248" s="888"/>
      <c r="AJ248" s="888"/>
      <c r="AK248" s="888"/>
      <c r="AL248" s="888"/>
      <c r="AM248" s="888"/>
      <c r="AN248" s="888"/>
      <c r="AO248" s="888"/>
      <c r="AP248" s="888"/>
      <c r="AQ248" s="888"/>
      <c r="AR248" s="888"/>
      <c r="AS248" s="888"/>
      <c r="AT248" s="888"/>
      <c r="AU248" s="888"/>
      <c r="AV248" s="888"/>
      <c r="AW248" s="888"/>
      <c r="AX248" s="888"/>
      <c r="AY248" s="888"/>
      <c r="AZ248" s="567"/>
      <c r="BA248" s="567"/>
      <c r="BB248" s="567"/>
      <c r="BC248" s="567"/>
      <c r="BD248" s="567"/>
      <c r="BE248" s="567"/>
      <c r="BF248" s="567"/>
      <c r="BG248" s="567"/>
      <c r="BH248" s="567"/>
      <c r="BI248" s="567"/>
      <c r="BJ248" s="567"/>
      <c r="BK248" s="567"/>
      <c r="BL248" s="567"/>
      <c r="BM248" s="567"/>
      <c r="BN248" s="567"/>
      <c r="BO248" s="567"/>
      <c r="BP248" s="567"/>
      <c r="BQ248" s="567"/>
      <c r="BR248" s="567"/>
      <c r="BS248" s="567"/>
      <c r="BT248" s="567"/>
      <c r="BU248" s="567"/>
      <c r="BV248" s="567"/>
      <c r="BW248" s="567"/>
      <c r="BX248" s="567"/>
      <c r="BY248" s="567"/>
      <c r="BZ248" s="567"/>
      <c r="CA248" s="567"/>
      <c r="CB248" s="567"/>
      <c r="CC248" s="567"/>
      <c r="CD248" s="567"/>
      <c r="CE248" s="567"/>
      <c r="CF248" s="567"/>
      <c r="CG248" s="567"/>
      <c r="CH248" s="567"/>
      <c r="CI248" s="567"/>
      <c r="CJ248" s="567"/>
      <c r="CK248" s="567"/>
      <c r="CL248" s="567"/>
      <c r="CM248" s="567"/>
      <c r="CN248" s="567"/>
      <c r="CO248" s="567"/>
      <c r="CP248" s="567"/>
      <c r="CQ248" s="567"/>
      <c r="CR248" s="567"/>
      <c r="CS248" s="567"/>
      <c r="CT248" s="567"/>
      <c r="CU248" s="567"/>
      <c r="CV248" s="567"/>
      <c r="CW248" s="567"/>
      <c r="CX248" s="567"/>
      <c r="CY248" s="567"/>
      <c r="CZ248" s="567"/>
      <c r="DA248" s="567"/>
      <c r="DB248" s="567"/>
      <c r="DC248" s="567"/>
      <c r="DD248" s="567"/>
      <c r="DE248" s="567"/>
      <c r="DF248" s="567"/>
      <c r="DG248" s="567"/>
      <c r="DH248" s="567"/>
      <c r="DI248" s="567"/>
      <c r="DJ248" s="567"/>
      <c r="DK248" s="567"/>
      <c r="DL248" s="567"/>
      <c r="DM248" s="567"/>
      <c r="DN248" s="567"/>
      <c r="DO248" s="567"/>
      <c r="DP248" s="567"/>
      <c r="DQ248" s="567"/>
    </row>
    <row r="249" spans="1:121" s="487" customFormat="1">
      <c r="A249" s="588"/>
      <c r="B249" s="588"/>
      <c r="C249" s="588"/>
      <c r="D249" s="588"/>
      <c r="E249" s="588"/>
      <c r="F249" s="588"/>
      <c r="G249" s="588"/>
      <c r="H249" s="588"/>
      <c r="I249" s="588"/>
      <c r="J249" s="588"/>
      <c r="K249" s="588"/>
      <c r="L249" s="702"/>
      <c r="M249" s="888"/>
      <c r="N249" s="888"/>
      <c r="O249" s="888"/>
      <c r="P249" s="888"/>
      <c r="Q249" s="888"/>
      <c r="R249" s="888"/>
      <c r="S249" s="888"/>
      <c r="T249" s="888"/>
      <c r="U249" s="888"/>
      <c r="V249" s="888"/>
      <c r="W249" s="888"/>
      <c r="X249" s="888"/>
      <c r="Y249" s="888"/>
      <c r="Z249" s="888"/>
      <c r="AA249" s="888"/>
      <c r="AB249" s="888"/>
      <c r="AC249" s="888"/>
      <c r="AD249" s="888"/>
      <c r="AE249" s="888"/>
      <c r="AF249" s="888"/>
      <c r="AG249" s="888"/>
      <c r="AH249" s="888"/>
      <c r="AI249" s="888"/>
      <c r="AJ249" s="888"/>
      <c r="AK249" s="888"/>
      <c r="AL249" s="888"/>
      <c r="AM249" s="888"/>
      <c r="AN249" s="888"/>
      <c r="AO249" s="888"/>
      <c r="AP249" s="888"/>
      <c r="AQ249" s="888"/>
      <c r="AR249" s="888"/>
      <c r="AS249" s="888"/>
      <c r="AT249" s="888"/>
      <c r="AU249" s="888"/>
      <c r="AV249" s="888"/>
      <c r="AW249" s="888"/>
      <c r="AX249" s="888"/>
      <c r="AY249" s="888"/>
      <c r="AZ249" s="567"/>
      <c r="BA249" s="567"/>
      <c r="BB249" s="567"/>
      <c r="BC249" s="567"/>
      <c r="BD249" s="567"/>
      <c r="BE249" s="567"/>
      <c r="BF249" s="567"/>
      <c r="BG249" s="567"/>
      <c r="BH249" s="567"/>
      <c r="BI249" s="567"/>
      <c r="BJ249" s="567"/>
      <c r="BK249" s="567"/>
      <c r="BL249" s="567"/>
      <c r="BM249" s="567"/>
      <c r="BN249" s="567"/>
      <c r="BO249" s="567"/>
      <c r="BP249" s="567"/>
      <c r="BQ249" s="567"/>
      <c r="BR249" s="567"/>
      <c r="BS249" s="567"/>
      <c r="BT249" s="567"/>
      <c r="BU249" s="567"/>
      <c r="BV249" s="567"/>
      <c r="BW249" s="567"/>
      <c r="BX249" s="567"/>
      <c r="BY249" s="567"/>
      <c r="BZ249" s="567"/>
      <c r="CA249" s="567"/>
      <c r="CB249" s="567"/>
      <c r="CC249" s="567"/>
      <c r="CD249" s="567"/>
      <c r="CE249" s="567"/>
      <c r="CF249" s="567"/>
      <c r="CG249" s="567"/>
      <c r="CH249" s="567"/>
      <c r="CI249" s="567"/>
      <c r="CJ249" s="567"/>
      <c r="CK249" s="567"/>
      <c r="CL249" s="567"/>
      <c r="CM249" s="567"/>
      <c r="CN249" s="567"/>
      <c r="CO249" s="567"/>
      <c r="CP249" s="567"/>
      <c r="CQ249" s="567"/>
      <c r="CR249" s="567"/>
      <c r="CS249" s="567"/>
      <c r="CT249" s="567"/>
      <c r="CU249" s="567"/>
      <c r="CV249" s="567"/>
      <c r="CW249" s="567"/>
      <c r="CX249" s="567"/>
      <c r="CY249" s="567"/>
      <c r="CZ249" s="567"/>
      <c r="DA249" s="567"/>
      <c r="DB249" s="567"/>
      <c r="DC249" s="567"/>
      <c r="DD249" s="567"/>
      <c r="DE249" s="567"/>
      <c r="DF249" s="567"/>
      <c r="DG249" s="567"/>
      <c r="DH249" s="567"/>
      <c r="DI249" s="567"/>
      <c r="DJ249" s="567"/>
      <c r="DK249" s="567"/>
      <c r="DL249" s="567"/>
      <c r="DM249" s="567"/>
      <c r="DN249" s="567"/>
      <c r="DO249" s="567"/>
      <c r="DP249" s="567"/>
      <c r="DQ249" s="567"/>
    </row>
    <row r="250" spans="1:121" s="487" customFormat="1">
      <c r="A250" s="588"/>
      <c r="B250" s="588"/>
      <c r="C250" s="588"/>
      <c r="D250" s="588"/>
      <c r="E250" s="588"/>
      <c r="F250" s="588"/>
      <c r="G250" s="588"/>
      <c r="H250" s="588"/>
      <c r="I250" s="588"/>
      <c r="J250" s="588"/>
      <c r="K250" s="588"/>
      <c r="L250" s="702"/>
      <c r="M250" s="888"/>
      <c r="N250" s="888"/>
      <c r="O250" s="888"/>
      <c r="P250" s="888"/>
      <c r="Q250" s="888"/>
      <c r="R250" s="888"/>
      <c r="S250" s="888"/>
      <c r="T250" s="888"/>
      <c r="U250" s="888"/>
      <c r="V250" s="888"/>
      <c r="W250" s="888"/>
      <c r="X250" s="888"/>
      <c r="Y250" s="888"/>
      <c r="Z250" s="888"/>
      <c r="AA250" s="888"/>
      <c r="AB250" s="888"/>
      <c r="AC250" s="888"/>
      <c r="AD250" s="888"/>
      <c r="AE250" s="888"/>
      <c r="AF250" s="888"/>
      <c r="AG250" s="888"/>
      <c r="AH250" s="888"/>
      <c r="AI250" s="888"/>
      <c r="AJ250" s="888"/>
      <c r="AK250" s="888"/>
      <c r="AL250" s="888"/>
      <c r="AM250" s="888"/>
      <c r="AN250" s="888"/>
      <c r="AO250" s="888"/>
      <c r="AP250" s="888"/>
      <c r="AQ250" s="888"/>
      <c r="AR250" s="888"/>
      <c r="AS250" s="888"/>
      <c r="AT250" s="888"/>
      <c r="AU250" s="888"/>
      <c r="AV250" s="888"/>
      <c r="AW250" s="888"/>
      <c r="AX250" s="888"/>
      <c r="AY250" s="888"/>
      <c r="AZ250" s="567"/>
      <c r="BA250" s="567"/>
      <c r="BB250" s="567"/>
      <c r="BC250" s="567"/>
      <c r="BD250" s="567"/>
      <c r="BE250" s="567"/>
      <c r="BF250" s="567"/>
      <c r="BG250" s="567"/>
      <c r="BH250" s="567"/>
      <c r="BI250" s="567"/>
      <c r="BJ250" s="567"/>
      <c r="BK250" s="567"/>
      <c r="BL250" s="567"/>
      <c r="BM250" s="567"/>
      <c r="BN250" s="567"/>
      <c r="BO250" s="567"/>
      <c r="BP250" s="567"/>
      <c r="BQ250" s="567"/>
      <c r="BR250" s="567"/>
      <c r="BS250" s="567"/>
      <c r="BT250" s="567"/>
      <c r="BU250" s="567"/>
      <c r="BV250" s="567"/>
      <c r="BW250" s="567"/>
      <c r="BX250" s="567"/>
      <c r="BY250" s="567"/>
      <c r="BZ250" s="567"/>
      <c r="CA250" s="567"/>
      <c r="CB250" s="567"/>
      <c r="CC250" s="567"/>
      <c r="CD250" s="567"/>
      <c r="CE250" s="567"/>
      <c r="CF250" s="567"/>
      <c r="CG250" s="567"/>
      <c r="CH250" s="567"/>
      <c r="CI250" s="567"/>
      <c r="CJ250" s="567"/>
      <c r="CK250" s="567"/>
      <c r="CL250" s="567"/>
      <c r="CM250" s="567"/>
      <c r="CN250" s="567"/>
      <c r="CO250" s="567"/>
      <c r="CP250" s="567"/>
      <c r="CQ250" s="567"/>
      <c r="CR250" s="567"/>
      <c r="CS250" s="567"/>
      <c r="CT250" s="567"/>
      <c r="CU250" s="567"/>
      <c r="CV250" s="567"/>
      <c r="CW250" s="567"/>
      <c r="CX250" s="567"/>
      <c r="CY250" s="567"/>
      <c r="CZ250" s="567"/>
      <c r="DA250" s="567"/>
      <c r="DB250" s="567"/>
      <c r="DC250" s="567"/>
      <c r="DD250" s="567"/>
      <c r="DE250" s="567"/>
      <c r="DF250" s="567"/>
      <c r="DG250" s="567"/>
      <c r="DH250" s="567"/>
      <c r="DI250" s="567"/>
      <c r="DJ250" s="567"/>
      <c r="DK250" s="567"/>
      <c r="DL250" s="567"/>
      <c r="DM250" s="567"/>
      <c r="DN250" s="567"/>
      <c r="DO250" s="567"/>
      <c r="DP250" s="567"/>
      <c r="DQ250" s="567"/>
    </row>
    <row r="251" spans="1:121" s="487" customFormat="1">
      <c r="A251" s="588"/>
      <c r="B251" s="588"/>
      <c r="C251" s="588"/>
      <c r="D251" s="588"/>
      <c r="E251" s="588"/>
      <c r="F251" s="588"/>
      <c r="G251" s="588"/>
      <c r="H251" s="588"/>
      <c r="I251" s="588"/>
      <c r="J251" s="588"/>
      <c r="K251" s="588"/>
      <c r="L251" s="702"/>
      <c r="M251" s="888"/>
      <c r="N251" s="888"/>
      <c r="O251" s="888"/>
      <c r="P251" s="888"/>
      <c r="Q251" s="888"/>
      <c r="R251" s="888"/>
      <c r="S251" s="888"/>
      <c r="T251" s="888"/>
      <c r="U251" s="888"/>
      <c r="V251" s="888"/>
      <c r="W251" s="888"/>
      <c r="X251" s="888"/>
      <c r="Y251" s="888"/>
      <c r="Z251" s="888"/>
      <c r="AA251" s="888"/>
      <c r="AB251" s="888"/>
      <c r="AC251" s="888"/>
      <c r="AD251" s="888"/>
      <c r="AE251" s="888"/>
      <c r="AF251" s="888"/>
      <c r="AG251" s="888"/>
      <c r="AH251" s="888"/>
      <c r="AI251" s="888"/>
      <c r="AJ251" s="888"/>
      <c r="AK251" s="888"/>
      <c r="AL251" s="888"/>
      <c r="AM251" s="888"/>
      <c r="AN251" s="888"/>
      <c r="AO251" s="888"/>
      <c r="AP251" s="888"/>
      <c r="AQ251" s="888"/>
      <c r="AR251" s="888"/>
      <c r="AS251" s="888"/>
      <c r="AT251" s="888"/>
      <c r="AU251" s="888"/>
      <c r="AV251" s="888"/>
      <c r="AW251" s="888"/>
      <c r="AX251" s="888"/>
      <c r="AY251" s="888"/>
      <c r="AZ251" s="567"/>
      <c r="BA251" s="567"/>
      <c r="BB251" s="567"/>
      <c r="BC251" s="567"/>
      <c r="BD251" s="567"/>
      <c r="BE251" s="567"/>
      <c r="BF251" s="567"/>
      <c r="BG251" s="567"/>
      <c r="BH251" s="567"/>
      <c r="BI251" s="567"/>
      <c r="BJ251" s="567"/>
      <c r="BK251" s="567"/>
      <c r="BL251" s="567"/>
      <c r="BM251" s="567"/>
      <c r="BN251" s="567"/>
      <c r="BO251" s="567"/>
      <c r="BP251" s="567"/>
      <c r="BQ251" s="567"/>
      <c r="BR251" s="567"/>
      <c r="BS251" s="567"/>
      <c r="BT251" s="567"/>
      <c r="BU251" s="567"/>
      <c r="BV251" s="567"/>
      <c r="BW251" s="567"/>
      <c r="BX251" s="567"/>
      <c r="BY251" s="567"/>
      <c r="BZ251" s="567"/>
      <c r="CA251" s="567"/>
      <c r="CB251" s="567"/>
      <c r="CC251" s="567"/>
      <c r="CD251" s="567"/>
      <c r="CE251" s="567"/>
      <c r="CF251" s="567"/>
      <c r="CG251" s="567"/>
      <c r="CH251" s="567"/>
      <c r="CI251" s="567"/>
      <c r="CJ251" s="567"/>
      <c r="CK251" s="567"/>
      <c r="CL251" s="567"/>
      <c r="CM251" s="567"/>
      <c r="CN251" s="567"/>
      <c r="CO251" s="567"/>
      <c r="CP251" s="567"/>
      <c r="CQ251" s="567"/>
      <c r="CR251" s="567"/>
      <c r="CS251" s="567"/>
      <c r="CT251" s="567"/>
      <c r="CU251" s="567"/>
      <c r="CV251" s="567"/>
      <c r="CW251" s="567"/>
      <c r="CX251" s="567"/>
      <c r="CY251" s="567"/>
      <c r="CZ251" s="567"/>
      <c r="DA251" s="567"/>
      <c r="DB251" s="567"/>
      <c r="DC251" s="567"/>
      <c r="DD251" s="567"/>
      <c r="DE251" s="567"/>
      <c r="DF251" s="567"/>
      <c r="DG251" s="567"/>
      <c r="DH251" s="567"/>
      <c r="DI251" s="567"/>
      <c r="DJ251" s="567"/>
      <c r="DK251" s="567"/>
      <c r="DL251" s="567"/>
      <c r="DM251" s="567"/>
      <c r="DN251" s="567"/>
      <c r="DO251" s="567"/>
      <c r="DP251" s="567"/>
      <c r="DQ251" s="567"/>
    </row>
    <row r="252" spans="1:121" s="487" customFormat="1">
      <c r="A252" s="588"/>
      <c r="B252" s="588"/>
      <c r="C252" s="588"/>
      <c r="D252" s="588"/>
      <c r="E252" s="588"/>
      <c r="F252" s="588"/>
      <c r="G252" s="588"/>
      <c r="H252" s="588"/>
      <c r="I252" s="588"/>
      <c r="J252" s="588"/>
      <c r="K252" s="588"/>
      <c r="L252" s="702"/>
      <c r="M252" s="888"/>
      <c r="N252" s="888"/>
      <c r="O252" s="888"/>
      <c r="P252" s="888"/>
      <c r="Q252" s="888"/>
      <c r="R252" s="888"/>
      <c r="S252" s="888"/>
      <c r="T252" s="888"/>
      <c r="U252" s="888"/>
      <c r="V252" s="888"/>
      <c r="W252" s="888"/>
      <c r="X252" s="888"/>
      <c r="Y252" s="888"/>
      <c r="Z252" s="888"/>
      <c r="AA252" s="888"/>
      <c r="AB252" s="888"/>
      <c r="AC252" s="888"/>
      <c r="AD252" s="888"/>
      <c r="AE252" s="888"/>
      <c r="AF252" s="888"/>
      <c r="AG252" s="888"/>
      <c r="AH252" s="888"/>
      <c r="AI252" s="888"/>
      <c r="AJ252" s="888"/>
      <c r="AK252" s="888"/>
      <c r="AL252" s="888"/>
      <c r="AM252" s="888"/>
      <c r="AN252" s="888"/>
      <c r="AO252" s="888"/>
      <c r="AP252" s="888"/>
      <c r="AQ252" s="888"/>
      <c r="AR252" s="888"/>
      <c r="AS252" s="888"/>
      <c r="AT252" s="888"/>
      <c r="AU252" s="888"/>
      <c r="AV252" s="888"/>
      <c r="AW252" s="888"/>
      <c r="AX252" s="888"/>
      <c r="AY252" s="888"/>
      <c r="AZ252" s="567"/>
      <c r="BA252" s="567"/>
      <c r="BB252" s="567"/>
      <c r="BC252" s="567"/>
      <c r="BD252" s="567"/>
      <c r="BE252" s="567"/>
      <c r="BF252" s="567"/>
      <c r="BG252" s="567"/>
      <c r="BH252" s="567"/>
      <c r="BI252" s="567"/>
      <c r="BJ252" s="567"/>
      <c r="BK252" s="567"/>
      <c r="BL252" s="567"/>
      <c r="BM252" s="567"/>
      <c r="BN252" s="567"/>
      <c r="BO252" s="567"/>
      <c r="BP252" s="567"/>
      <c r="BQ252" s="567"/>
      <c r="BR252" s="567"/>
      <c r="BS252" s="567"/>
      <c r="BT252" s="567"/>
      <c r="BU252" s="567"/>
      <c r="BV252" s="567"/>
      <c r="BW252" s="567"/>
      <c r="BX252" s="567"/>
      <c r="BY252" s="567"/>
      <c r="BZ252" s="567"/>
      <c r="CA252" s="567"/>
      <c r="CB252" s="567"/>
      <c r="CC252" s="567"/>
      <c r="CD252" s="567"/>
      <c r="CE252" s="567"/>
      <c r="CF252" s="567"/>
      <c r="CG252" s="567"/>
      <c r="CH252" s="567"/>
      <c r="CI252" s="567"/>
      <c r="CJ252" s="567"/>
      <c r="CK252" s="567"/>
      <c r="CL252" s="567"/>
      <c r="CM252" s="567"/>
      <c r="CN252" s="567"/>
      <c r="CO252" s="567"/>
      <c r="CP252" s="567"/>
      <c r="CQ252" s="567"/>
      <c r="CR252" s="567"/>
      <c r="CS252" s="567"/>
      <c r="CT252" s="567"/>
      <c r="CU252" s="567"/>
      <c r="CV252" s="567"/>
      <c r="CW252" s="567"/>
      <c r="CX252" s="567"/>
      <c r="CY252" s="567"/>
      <c r="CZ252" s="567"/>
      <c r="DA252" s="567"/>
      <c r="DB252" s="567"/>
      <c r="DC252" s="567"/>
      <c r="DD252" s="567"/>
      <c r="DE252" s="567"/>
      <c r="DF252" s="567"/>
      <c r="DG252" s="567"/>
      <c r="DH252" s="567"/>
      <c r="DI252" s="567"/>
      <c r="DJ252" s="567"/>
      <c r="DK252" s="567"/>
      <c r="DL252" s="567"/>
      <c r="DM252" s="567"/>
      <c r="DN252" s="567"/>
      <c r="DO252" s="567"/>
      <c r="DP252" s="567"/>
      <c r="DQ252" s="567"/>
    </row>
    <row r="253" spans="1:121" s="487" customFormat="1">
      <c r="A253" s="588"/>
      <c r="B253" s="588"/>
      <c r="C253" s="588"/>
      <c r="D253" s="588"/>
      <c r="E253" s="588"/>
      <c r="F253" s="588"/>
      <c r="G253" s="588"/>
      <c r="H253" s="588"/>
      <c r="I253" s="588"/>
      <c r="J253" s="588"/>
      <c r="K253" s="588"/>
      <c r="L253" s="702"/>
      <c r="M253" s="888"/>
      <c r="N253" s="888"/>
      <c r="O253" s="888"/>
      <c r="P253" s="888"/>
      <c r="Q253" s="888"/>
      <c r="R253" s="888"/>
      <c r="S253" s="888"/>
      <c r="T253" s="888"/>
      <c r="U253" s="888"/>
      <c r="V253" s="888"/>
      <c r="W253" s="888"/>
      <c r="X253" s="888"/>
      <c r="Y253" s="888"/>
      <c r="Z253" s="888"/>
      <c r="AA253" s="888"/>
      <c r="AB253" s="888"/>
      <c r="AC253" s="888"/>
      <c r="AD253" s="888"/>
      <c r="AE253" s="888"/>
      <c r="AF253" s="888"/>
      <c r="AG253" s="888"/>
      <c r="AH253" s="888"/>
      <c r="AI253" s="888"/>
      <c r="AJ253" s="888"/>
      <c r="AK253" s="888"/>
      <c r="AL253" s="888"/>
      <c r="AM253" s="888"/>
      <c r="AN253" s="888"/>
      <c r="AO253" s="888"/>
      <c r="AP253" s="888"/>
      <c r="AQ253" s="888"/>
      <c r="AR253" s="888"/>
      <c r="AS253" s="888"/>
      <c r="AT253" s="888"/>
      <c r="AU253" s="888"/>
      <c r="AV253" s="888"/>
      <c r="AW253" s="888"/>
      <c r="AX253" s="888"/>
      <c r="AY253" s="888"/>
      <c r="AZ253" s="567"/>
      <c r="BA253" s="567"/>
      <c r="BB253" s="567"/>
      <c r="BC253" s="567"/>
      <c r="BD253" s="567"/>
      <c r="BE253" s="567"/>
      <c r="BF253" s="567"/>
      <c r="BG253" s="567"/>
      <c r="BH253" s="567"/>
      <c r="BI253" s="567"/>
      <c r="BJ253" s="567"/>
      <c r="BK253" s="567"/>
      <c r="BL253" s="567"/>
      <c r="BM253" s="567"/>
      <c r="BN253" s="567"/>
      <c r="BO253" s="567"/>
      <c r="BP253" s="567"/>
      <c r="BQ253" s="567"/>
      <c r="BR253" s="567"/>
      <c r="BS253" s="567"/>
      <c r="BT253" s="567"/>
      <c r="BU253" s="567"/>
      <c r="BV253" s="567"/>
      <c r="BW253" s="567"/>
      <c r="BX253" s="567"/>
      <c r="BY253" s="567"/>
      <c r="BZ253" s="567"/>
      <c r="CA253" s="567"/>
      <c r="CB253" s="567"/>
      <c r="CC253" s="567"/>
      <c r="CD253" s="567"/>
      <c r="CE253" s="567"/>
      <c r="CF253" s="567"/>
      <c r="CG253" s="567"/>
      <c r="CH253" s="567"/>
      <c r="CI253" s="567"/>
      <c r="CJ253" s="567"/>
      <c r="CK253" s="567"/>
      <c r="CL253" s="567"/>
      <c r="CM253" s="567"/>
      <c r="CN253" s="567"/>
      <c r="CO253" s="567"/>
      <c r="CP253" s="567"/>
      <c r="CQ253" s="567"/>
      <c r="CR253" s="567"/>
      <c r="CS253" s="567"/>
      <c r="CT253" s="567"/>
      <c r="CU253" s="567"/>
      <c r="CV253" s="567"/>
      <c r="CW253" s="567"/>
      <c r="CX253" s="567"/>
      <c r="CY253" s="567"/>
      <c r="CZ253" s="567"/>
      <c r="DA253" s="567"/>
      <c r="DB253" s="567"/>
      <c r="DC253" s="567"/>
      <c r="DD253" s="567"/>
      <c r="DE253" s="567"/>
      <c r="DF253" s="567"/>
      <c r="DG253" s="567"/>
      <c r="DH253" s="567"/>
      <c r="DI253" s="567"/>
      <c r="DJ253" s="567"/>
      <c r="DK253" s="567"/>
      <c r="DL253" s="567"/>
      <c r="DM253" s="567"/>
      <c r="DN253" s="567"/>
      <c r="DO253" s="567"/>
      <c r="DP253" s="567"/>
      <c r="DQ253" s="567"/>
    </row>
    <row r="254" spans="1:121" s="487" customFormat="1">
      <c r="A254" s="588"/>
      <c r="B254" s="588"/>
      <c r="C254" s="588"/>
      <c r="D254" s="588"/>
      <c r="E254" s="588"/>
      <c r="F254" s="588"/>
      <c r="G254" s="588"/>
      <c r="H254" s="588"/>
      <c r="I254" s="588"/>
      <c r="J254" s="588"/>
      <c r="K254" s="588"/>
      <c r="L254" s="702"/>
      <c r="M254" s="888"/>
      <c r="N254" s="888"/>
      <c r="O254" s="888"/>
      <c r="P254" s="888"/>
      <c r="Q254" s="888"/>
      <c r="R254" s="888"/>
      <c r="S254" s="888"/>
      <c r="T254" s="888"/>
      <c r="U254" s="888"/>
      <c r="V254" s="888"/>
      <c r="W254" s="888"/>
      <c r="X254" s="888"/>
      <c r="Y254" s="888"/>
      <c r="Z254" s="888"/>
      <c r="AA254" s="888"/>
      <c r="AB254" s="888"/>
      <c r="AC254" s="888"/>
      <c r="AD254" s="888"/>
      <c r="AE254" s="888"/>
      <c r="AF254" s="888"/>
      <c r="AG254" s="888"/>
      <c r="AH254" s="888"/>
      <c r="AI254" s="888"/>
      <c r="AJ254" s="888"/>
      <c r="AK254" s="888"/>
      <c r="AL254" s="888"/>
      <c r="AM254" s="888"/>
      <c r="AN254" s="888"/>
      <c r="AO254" s="888"/>
      <c r="AP254" s="888"/>
      <c r="AQ254" s="888"/>
      <c r="AR254" s="888"/>
      <c r="AS254" s="888"/>
      <c r="AT254" s="888"/>
      <c r="AU254" s="888"/>
      <c r="AV254" s="888"/>
      <c r="AW254" s="888"/>
      <c r="AX254" s="888"/>
      <c r="AY254" s="888"/>
      <c r="AZ254" s="567"/>
      <c r="BA254" s="567"/>
      <c r="BB254" s="567"/>
      <c r="BC254" s="567"/>
      <c r="BD254" s="567"/>
      <c r="BE254" s="567"/>
      <c r="BF254" s="567"/>
      <c r="BG254" s="567"/>
      <c r="BH254" s="567"/>
      <c r="BI254" s="567"/>
      <c r="BJ254" s="567"/>
      <c r="BK254" s="567"/>
      <c r="BL254" s="567"/>
      <c r="BM254" s="567"/>
      <c r="BN254" s="567"/>
      <c r="BO254" s="567"/>
      <c r="BP254" s="567"/>
      <c r="BQ254" s="567"/>
      <c r="BR254" s="567"/>
      <c r="BS254" s="567"/>
      <c r="BT254" s="567"/>
      <c r="BU254" s="567"/>
      <c r="BV254" s="567"/>
      <c r="BW254" s="567"/>
      <c r="BX254" s="567"/>
      <c r="BY254" s="567"/>
      <c r="BZ254" s="567"/>
      <c r="CA254" s="567"/>
      <c r="CB254" s="567"/>
      <c r="CC254" s="567"/>
      <c r="CD254" s="567"/>
      <c r="CE254" s="567"/>
      <c r="CF254" s="567"/>
      <c r="CG254" s="567"/>
      <c r="CH254" s="567"/>
      <c r="CI254" s="567"/>
      <c r="CJ254" s="567"/>
      <c r="CK254" s="567"/>
      <c r="CL254" s="567"/>
      <c r="CM254" s="567"/>
      <c r="CN254" s="567"/>
      <c r="CO254" s="567"/>
      <c r="CP254" s="567"/>
      <c r="CQ254" s="567"/>
      <c r="CR254" s="567"/>
      <c r="CS254" s="567"/>
      <c r="CT254" s="567"/>
      <c r="CU254" s="567"/>
      <c r="CV254" s="567"/>
      <c r="CW254" s="567"/>
      <c r="CX254" s="567"/>
      <c r="CY254" s="567"/>
      <c r="CZ254" s="567"/>
      <c r="DA254" s="567"/>
      <c r="DB254" s="567"/>
      <c r="DC254" s="567"/>
      <c r="DD254" s="567"/>
      <c r="DE254" s="567"/>
      <c r="DF254" s="567"/>
      <c r="DG254" s="567"/>
      <c r="DH254" s="567"/>
      <c r="DI254" s="567"/>
      <c r="DJ254" s="567"/>
      <c r="DK254" s="567"/>
      <c r="DL254" s="567"/>
      <c r="DM254" s="567"/>
      <c r="DN254" s="567"/>
      <c r="DO254" s="567"/>
      <c r="DP254" s="567"/>
      <c r="DQ254" s="567"/>
    </row>
    <row r="255" spans="1:121" s="487" customFormat="1">
      <c r="A255" s="588"/>
      <c r="B255" s="588"/>
      <c r="C255" s="588"/>
      <c r="D255" s="588"/>
      <c r="E255" s="588"/>
      <c r="F255" s="588"/>
      <c r="G255" s="588"/>
      <c r="H255" s="588"/>
      <c r="I255" s="588"/>
      <c r="J255" s="588"/>
      <c r="K255" s="588"/>
      <c r="L255" s="702"/>
      <c r="M255" s="888"/>
      <c r="N255" s="888"/>
      <c r="O255" s="888"/>
      <c r="P255" s="888"/>
      <c r="Q255" s="888"/>
      <c r="R255" s="888"/>
      <c r="S255" s="888"/>
      <c r="T255" s="888"/>
      <c r="U255" s="888"/>
      <c r="V255" s="888"/>
      <c r="W255" s="888"/>
      <c r="X255" s="888"/>
      <c r="Y255" s="888"/>
      <c r="Z255" s="888"/>
      <c r="AA255" s="888"/>
      <c r="AB255" s="888"/>
      <c r="AC255" s="888"/>
      <c r="AD255" s="888"/>
      <c r="AE255" s="888"/>
      <c r="AF255" s="888"/>
      <c r="AG255" s="888"/>
      <c r="AH255" s="888"/>
      <c r="AI255" s="888"/>
      <c r="AJ255" s="888"/>
      <c r="AK255" s="888"/>
      <c r="AL255" s="888"/>
      <c r="AM255" s="888"/>
      <c r="AN255" s="888"/>
      <c r="AO255" s="888"/>
      <c r="AP255" s="888"/>
      <c r="AQ255" s="888"/>
      <c r="AR255" s="888"/>
      <c r="AS255" s="888"/>
      <c r="AT255" s="888"/>
      <c r="AU255" s="888"/>
      <c r="AV255" s="888"/>
      <c r="AW255" s="888"/>
      <c r="AX255" s="888"/>
      <c r="AY255" s="888"/>
      <c r="AZ255" s="567"/>
      <c r="BA255" s="567"/>
      <c r="BB255" s="567"/>
      <c r="BC255" s="567"/>
      <c r="BD255" s="567"/>
      <c r="BE255" s="567"/>
      <c r="BF255" s="567"/>
      <c r="BG255" s="567"/>
      <c r="BH255" s="567"/>
      <c r="BI255" s="567"/>
      <c r="BJ255" s="567"/>
      <c r="BK255" s="567"/>
      <c r="BL255" s="567"/>
      <c r="BM255" s="567"/>
      <c r="BN255" s="567"/>
      <c r="BO255" s="567"/>
      <c r="BP255" s="567"/>
      <c r="BQ255" s="567"/>
      <c r="BR255" s="567"/>
      <c r="BS255" s="567"/>
      <c r="BT255" s="567"/>
      <c r="BU255" s="567"/>
      <c r="BV255" s="567"/>
      <c r="BW255" s="567"/>
      <c r="BX255" s="567"/>
      <c r="BY255" s="567"/>
      <c r="BZ255" s="567"/>
      <c r="CA255" s="567"/>
      <c r="CB255" s="567"/>
      <c r="CC255" s="567"/>
      <c r="CD255" s="567"/>
      <c r="CE255" s="567"/>
      <c r="CF255" s="567"/>
      <c r="CG255" s="567"/>
      <c r="CH255" s="567"/>
      <c r="CI255" s="567"/>
      <c r="CJ255" s="567"/>
      <c r="CK255" s="567"/>
      <c r="CL255" s="567"/>
      <c r="CM255" s="567"/>
      <c r="CN255" s="567"/>
      <c r="CO255" s="567"/>
      <c r="CP255" s="567"/>
      <c r="CQ255" s="567"/>
      <c r="CR255" s="567"/>
      <c r="CS255" s="567"/>
      <c r="CT255" s="567"/>
      <c r="CU255" s="567"/>
      <c r="CV255" s="567"/>
      <c r="CW255" s="567"/>
      <c r="CX255" s="567"/>
      <c r="CY255" s="567"/>
      <c r="CZ255" s="567"/>
      <c r="DA255" s="567"/>
      <c r="DB255" s="567"/>
      <c r="DC255" s="567"/>
      <c r="DD255" s="567"/>
      <c r="DE255" s="567"/>
      <c r="DF255" s="567"/>
      <c r="DG255" s="567"/>
      <c r="DH255" s="567"/>
      <c r="DI255" s="567"/>
      <c r="DJ255" s="567"/>
      <c r="DK255" s="567"/>
      <c r="DL255" s="567"/>
      <c r="DM255" s="567"/>
      <c r="DN255" s="567"/>
      <c r="DO255" s="567"/>
      <c r="DP255" s="567"/>
      <c r="DQ255" s="567"/>
    </row>
    <row r="256" spans="1:121" s="487" customFormat="1">
      <c r="A256" s="588"/>
      <c r="B256" s="588"/>
      <c r="C256" s="588"/>
      <c r="D256" s="588"/>
      <c r="E256" s="588"/>
      <c r="F256" s="588"/>
      <c r="G256" s="588"/>
      <c r="H256" s="588"/>
      <c r="I256" s="588"/>
      <c r="J256" s="588"/>
      <c r="K256" s="588"/>
      <c r="L256" s="702"/>
      <c r="M256" s="888"/>
      <c r="N256" s="888"/>
      <c r="O256" s="888"/>
      <c r="P256" s="888"/>
      <c r="Q256" s="888"/>
      <c r="R256" s="888"/>
      <c r="S256" s="888"/>
      <c r="T256" s="888"/>
      <c r="U256" s="888"/>
      <c r="V256" s="888"/>
      <c r="W256" s="888"/>
      <c r="X256" s="888"/>
      <c r="Y256" s="888"/>
      <c r="Z256" s="888"/>
      <c r="AA256" s="888"/>
      <c r="AB256" s="888"/>
      <c r="AC256" s="888"/>
      <c r="AD256" s="888"/>
      <c r="AE256" s="888"/>
      <c r="AF256" s="888"/>
      <c r="AG256" s="888"/>
      <c r="AH256" s="888"/>
      <c r="AI256" s="888"/>
      <c r="AJ256" s="888"/>
      <c r="AK256" s="888"/>
      <c r="AL256" s="888"/>
      <c r="AM256" s="888"/>
      <c r="AN256" s="888"/>
      <c r="AO256" s="888"/>
      <c r="AP256" s="888"/>
      <c r="AQ256" s="888"/>
      <c r="AR256" s="888"/>
      <c r="AS256" s="888"/>
      <c r="AT256" s="888"/>
      <c r="AU256" s="888"/>
      <c r="AV256" s="888"/>
      <c r="AW256" s="888"/>
      <c r="AX256" s="888"/>
      <c r="AY256" s="888"/>
      <c r="AZ256" s="567"/>
      <c r="BA256" s="567"/>
      <c r="BB256" s="567"/>
      <c r="BC256" s="567"/>
      <c r="BD256" s="567"/>
      <c r="BE256" s="567"/>
      <c r="BF256" s="567"/>
      <c r="BG256" s="567"/>
      <c r="BH256" s="567"/>
      <c r="BI256" s="567"/>
      <c r="BJ256" s="567"/>
      <c r="BK256" s="567"/>
      <c r="BL256" s="567"/>
      <c r="BM256" s="567"/>
      <c r="BN256" s="567"/>
      <c r="BO256" s="567"/>
      <c r="BP256" s="567"/>
      <c r="BQ256" s="567"/>
      <c r="BR256" s="567"/>
      <c r="BS256" s="567"/>
      <c r="BT256" s="567"/>
      <c r="BU256" s="567"/>
      <c r="BV256" s="567"/>
      <c r="BW256" s="567"/>
      <c r="BX256" s="567"/>
      <c r="BY256" s="567"/>
      <c r="BZ256" s="567"/>
      <c r="CA256" s="567"/>
      <c r="CB256" s="567"/>
      <c r="CC256" s="567"/>
      <c r="CD256" s="567"/>
      <c r="CE256" s="567"/>
      <c r="CF256" s="567"/>
      <c r="CG256" s="567"/>
      <c r="CH256" s="567"/>
      <c r="CI256" s="567"/>
      <c r="CJ256" s="567"/>
      <c r="CK256" s="567"/>
      <c r="CL256" s="567"/>
      <c r="CM256" s="567"/>
      <c r="CN256" s="567"/>
      <c r="CO256" s="567"/>
      <c r="CP256" s="567"/>
      <c r="CQ256" s="567"/>
      <c r="CR256" s="567"/>
      <c r="CS256" s="567"/>
      <c r="CT256" s="567"/>
      <c r="CU256" s="567"/>
      <c r="CV256" s="567"/>
      <c r="CW256" s="567"/>
      <c r="CX256" s="567"/>
      <c r="CY256" s="567"/>
      <c r="CZ256" s="567"/>
      <c r="DA256" s="567"/>
      <c r="DB256" s="567"/>
      <c r="DC256" s="567"/>
      <c r="DD256" s="567"/>
      <c r="DE256" s="567"/>
      <c r="DF256" s="567"/>
      <c r="DG256" s="567"/>
      <c r="DH256" s="567"/>
      <c r="DI256" s="567"/>
      <c r="DJ256" s="567"/>
      <c r="DK256" s="567"/>
      <c r="DL256" s="567"/>
      <c r="DM256" s="567"/>
      <c r="DN256" s="567"/>
      <c r="DO256" s="567"/>
      <c r="DP256" s="567"/>
      <c r="DQ256" s="567"/>
    </row>
    <row r="257" spans="1:121" s="487" customFormat="1">
      <c r="A257" s="588"/>
      <c r="B257" s="588"/>
      <c r="C257" s="588"/>
      <c r="D257" s="588"/>
      <c r="E257" s="588"/>
      <c r="F257" s="588"/>
      <c r="G257" s="588"/>
      <c r="H257" s="588"/>
      <c r="I257" s="588"/>
      <c r="J257" s="588"/>
      <c r="K257" s="588"/>
      <c r="L257" s="702"/>
      <c r="M257" s="888"/>
      <c r="N257" s="888"/>
      <c r="O257" s="888"/>
      <c r="P257" s="888"/>
      <c r="Q257" s="888"/>
      <c r="R257" s="888"/>
      <c r="S257" s="888"/>
      <c r="T257" s="888"/>
      <c r="U257" s="888"/>
      <c r="V257" s="888"/>
      <c r="W257" s="888"/>
      <c r="X257" s="888"/>
      <c r="Y257" s="888"/>
      <c r="Z257" s="888"/>
      <c r="AA257" s="888"/>
      <c r="AB257" s="888"/>
      <c r="AC257" s="888"/>
      <c r="AD257" s="888"/>
      <c r="AE257" s="888"/>
      <c r="AF257" s="888"/>
      <c r="AG257" s="888"/>
      <c r="AH257" s="888"/>
      <c r="AI257" s="888"/>
      <c r="AJ257" s="888"/>
      <c r="AK257" s="888"/>
      <c r="AL257" s="888"/>
      <c r="AM257" s="888"/>
      <c r="AN257" s="888"/>
      <c r="AO257" s="888"/>
      <c r="AP257" s="888"/>
      <c r="AQ257" s="888"/>
      <c r="AR257" s="888"/>
      <c r="AS257" s="888"/>
      <c r="AT257" s="888"/>
      <c r="AU257" s="888"/>
      <c r="AV257" s="888"/>
      <c r="AW257" s="888"/>
      <c r="AX257" s="888"/>
      <c r="AY257" s="888"/>
      <c r="AZ257" s="567"/>
      <c r="BA257" s="567"/>
      <c r="BB257" s="567"/>
      <c r="BC257" s="567"/>
      <c r="BD257" s="567"/>
      <c r="BE257" s="567"/>
      <c r="BF257" s="567"/>
      <c r="BG257" s="567"/>
      <c r="BH257" s="567"/>
      <c r="BI257" s="567"/>
      <c r="BJ257" s="567"/>
      <c r="BK257" s="567"/>
      <c r="BL257" s="567"/>
      <c r="BM257" s="567"/>
      <c r="BN257" s="567"/>
      <c r="BO257" s="567"/>
      <c r="BP257" s="567"/>
      <c r="BQ257" s="567"/>
      <c r="BR257" s="567"/>
      <c r="BS257" s="567"/>
      <c r="BT257" s="567"/>
      <c r="BU257" s="567"/>
      <c r="BV257" s="567"/>
      <c r="BW257" s="567"/>
      <c r="BX257" s="567"/>
      <c r="BY257" s="567"/>
      <c r="BZ257" s="567"/>
      <c r="CA257" s="567"/>
      <c r="CB257" s="567"/>
      <c r="CC257" s="567"/>
      <c r="CD257" s="567"/>
      <c r="CE257" s="567"/>
      <c r="CF257" s="567"/>
      <c r="CG257" s="567"/>
      <c r="CH257" s="567"/>
      <c r="CI257" s="567"/>
      <c r="CJ257" s="567"/>
      <c r="CK257" s="567"/>
      <c r="CL257" s="567"/>
      <c r="CM257" s="567"/>
      <c r="CN257" s="567"/>
      <c r="CO257" s="567"/>
      <c r="CP257" s="567"/>
      <c r="CQ257" s="567"/>
      <c r="CR257" s="567"/>
      <c r="CS257" s="567"/>
      <c r="CT257" s="567"/>
      <c r="CU257" s="567"/>
      <c r="CV257" s="567"/>
      <c r="CW257" s="567"/>
      <c r="CX257" s="567"/>
      <c r="CY257" s="567"/>
      <c r="CZ257" s="567"/>
      <c r="DA257" s="567"/>
      <c r="DB257" s="567"/>
      <c r="DC257" s="567"/>
      <c r="DD257" s="567"/>
      <c r="DE257" s="567"/>
      <c r="DF257" s="567"/>
      <c r="DG257" s="567"/>
      <c r="DH257" s="567"/>
      <c r="DI257" s="567"/>
      <c r="DJ257" s="567"/>
      <c r="DK257" s="567"/>
      <c r="DL257" s="567"/>
      <c r="DM257" s="567"/>
      <c r="DN257" s="567"/>
      <c r="DO257" s="567"/>
      <c r="DP257" s="567"/>
      <c r="DQ257" s="567"/>
    </row>
    <row r="258" spans="1:121" s="487" customFormat="1">
      <c r="A258" s="588"/>
      <c r="B258" s="588"/>
      <c r="C258" s="588"/>
      <c r="D258" s="588"/>
      <c r="E258" s="588"/>
      <c r="F258" s="588"/>
      <c r="G258" s="588"/>
      <c r="H258" s="588"/>
      <c r="I258" s="588"/>
      <c r="J258" s="588"/>
      <c r="K258" s="588"/>
      <c r="L258" s="702"/>
      <c r="M258" s="888"/>
      <c r="N258" s="888"/>
      <c r="O258" s="888"/>
      <c r="P258" s="888"/>
      <c r="Q258" s="888"/>
      <c r="R258" s="888"/>
      <c r="S258" s="888"/>
      <c r="T258" s="888"/>
      <c r="U258" s="888"/>
      <c r="V258" s="888"/>
      <c r="W258" s="888"/>
      <c r="X258" s="888"/>
      <c r="Y258" s="888"/>
      <c r="Z258" s="888"/>
      <c r="AA258" s="888"/>
      <c r="AB258" s="888"/>
      <c r="AC258" s="888"/>
      <c r="AD258" s="888"/>
      <c r="AE258" s="888"/>
      <c r="AF258" s="888"/>
      <c r="AG258" s="888"/>
      <c r="AH258" s="888"/>
      <c r="AI258" s="888"/>
      <c r="AJ258" s="888"/>
      <c r="AK258" s="888"/>
      <c r="AL258" s="888"/>
      <c r="AM258" s="888"/>
      <c r="AN258" s="888"/>
      <c r="AO258" s="888"/>
      <c r="AP258" s="888"/>
      <c r="AQ258" s="888"/>
      <c r="AR258" s="888"/>
      <c r="AS258" s="888"/>
      <c r="AT258" s="888"/>
      <c r="AU258" s="888"/>
      <c r="AV258" s="888"/>
      <c r="AW258" s="888"/>
      <c r="AX258" s="888"/>
      <c r="AY258" s="888"/>
      <c r="AZ258" s="567"/>
      <c r="BA258" s="567"/>
      <c r="BB258" s="567"/>
      <c r="BC258" s="567"/>
      <c r="BD258" s="567"/>
      <c r="BE258" s="567"/>
      <c r="BF258" s="567"/>
      <c r="BG258" s="567"/>
      <c r="BH258" s="567"/>
      <c r="BI258" s="567"/>
      <c r="BJ258" s="567"/>
      <c r="BK258" s="567"/>
      <c r="BL258" s="567"/>
      <c r="BM258" s="567"/>
      <c r="BN258" s="567"/>
      <c r="BO258" s="567"/>
      <c r="BP258" s="567"/>
      <c r="BQ258" s="567"/>
      <c r="BR258" s="567"/>
      <c r="BS258" s="567"/>
      <c r="BT258" s="567"/>
      <c r="BU258" s="567"/>
      <c r="BV258" s="567"/>
      <c r="BW258" s="567"/>
      <c r="BX258" s="567"/>
      <c r="BY258" s="567"/>
      <c r="BZ258" s="567"/>
      <c r="CA258" s="567"/>
      <c r="CB258" s="567"/>
      <c r="CC258" s="567"/>
      <c r="CD258" s="567"/>
      <c r="CE258" s="567"/>
      <c r="CF258" s="567"/>
      <c r="CG258" s="567"/>
      <c r="CH258" s="567"/>
      <c r="CI258" s="567"/>
      <c r="CJ258" s="567"/>
      <c r="CK258" s="567"/>
      <c r="CL258" s="567"/>
      <c r="CM258" s="567"/>
      <c r="CN258" s="567"/>
      <c r="CO258" s="567"/>
      <c r="CP258" s="567"/>
      <c r="CQ258" s="567"/>
      <c r="CR258" s="567"/>
      <c r="CS258" s="567"/>
      <c r="CT258" s="567"/>
      <c r="CU258" s="567"/>
      <c r="CV258" s="567"/>
      <c r="CW258" s="567"/>
      <c r="CX258" s="567"/>
      <c r="CY258" s="567"/>
      <c r="CZ258" s="567"/>
      <c r="DA258" s="567"/>
      <c r="DB258" s="567"/>
      <c r="DC258" s="567"/>
      <c r="DD258" s="567"/>
      <c r="DE258" s="567"/>
      <c r="DF258" s="567"/>
      <c r="DG258" s="567"/>
      <c r="DH258" s="567"/>
      <c r="DI258" s="567"/>
      <c r="DJ258" s="567"/>
      <c r="DK258" s="567"/>
      <c r="DL258" s="567"/>
      <c r="DM258" s="567"/>
      <c r="DN258" s="567"/>
      <c r="DO258" s="567"/>
      <c r="DP258" s="567"/>
      <c r="DQ258" s="567"/>
    </row>
    <row r="259" spans="1:121" s="487" customFormat="1">
      <c r="A259" s="588"/>
      <c r="B259" s="588"/>
      <c r="C259" s="588"/>
      <c r="D259" s="588"/>
      <c r="E259" s="588"/>
      <c r="F259" s="588"/>
      <c r="G259" s="588"/>
      <c r="H259" s="588"/>
      <c r="I259" s="588"/>
      <c r="J259" s="588"/>
      <c r="K259" s="588"/>
      <c r="L259" s="702"/>
      <c r="M259" s="888"/>
      <c r="N259" s="888"/>
      <c r="O259" s="888"/>
      <c r="P259" s="888"/>
      <c r="Q259" s="888"/>
      <c r="R259" s="888"/>
      <c r="S259" s="888"/>
      <c r="T259" s="888"/>
      <c r="U259" s="888"/>
      <c r="V259" s="888"/>
      <c r="W259" s="888"/>
      <c r="X259" s="888"/>
      <c r="Y259" s="888"/>
      <c r="Z259" s="888"/>
      <c r="AA259" s="888"/>
      <c r="AB259" s="888"/>
      <c r="AC259" s="888"/>
      <c r="AD259" s="888"/>
      <c r="AE259" s="888"/>
      <c r="AF259" s="888"/>
      <c r="AG259" s="888"/>
      <c r="AH259" s="888"/>
      <c r="AI259" s="888"/>
      <c r="AJ259" s="888"/>
      <c r="AK259" s="888"/>
      <c r="AL259" s="888"/>
      <c r="AM259" s="888"/>
      <c r="AN259" s="888"/>
      <c r="AO259" s="888"/>
      <c r="AP259" s="888"/>
      <c r="AQ259" s="888"/>
      <c r="AR259" s="888"/>
      <c r="AS259" s="888"/>
      <c r="AT259" s="888"/>
      <c r="AU259" s="888"/>
      <c r="AV259" s="888"/>
      <c r="AW259" s="888"/>
      <c r="AX259" s="888"/>
      <c r="AY259" s="888"/>
      <c r="AZ259" s="567"/>
      <c r="BA259" s="567"/>
      <c r="BB259" s="567"/>
      <c r="BC259" s="567"/>
      <c r="BD259" s="567"/>
      <c r="BE259" s="567"/>
      <c r="BF259" s="567"/>
      <c r="BG259" s="567"/>
      <c r="BH259" s="567"/>
      <c r="BI259" s="567"/>
      <c r="BJ259" s="567"/>
      <c r="BK259" s="567"/>
      <c r="BL259" s="567"/>
      <c r="BM259" s="567"/>
      <c r="BN259" s="567"/>
      <c r="BO259" s="567"/>
      <c r="BP259" s="567"/>
      <c r="BQ259" s="567"/>
      <c r="BR259" s="567"/>
      <c r="BS259" s="567"/>
      <c r="BT259" s="567"/>
      <c r="BU259" s="567"/>
      <c r="BV259" s="567"/>
      <c r="BW259" s="567"/>
      <c r="BX259" s="567"/>
      <c r="BY259" s="567"/>
      <c r="BZ259" s="567"/>
      <c r="CA259" s="567"/>
      <c r="CB259" s="567"/>
      <c r="CC259" s="567"/>
      <c r="CD259" s="567"/>
      <c r="CE259" s="567"/>
      <c r="CF259" s="567"/>
      <c r="CG259" s="567"/>
      <c r="CH259" s="567"/>
      <c r="CI259" s="567"/>
      <c r="CJ259" s="567"/>
      <c r="CK259" s="567"/>
      <c r="CL259" s="567"/>
      <c r="CM259" s="567"/>
      <c r="CN259" s="567"/>
      <c r="CO259" s="567"/>
      <c r="CP259" s="567"/>
      <c r="CQ259" s="567"/>
      <c r="CR259" s="567"/>
      <c r="CS259" s="567"/>
      <c r="CT259" s="567"/>
      <c r="CU259" s="567"/>
      <c r="CV259" s="567"/>
      <c r="CW259" s="567"/>
      <c r="CX259" s="567"/>
      <c r="CY259" s="567"/>
      <c r="CZ259" s="567"/>
      <c r="DA259" s="567"/>
      <c r="DB259" s="567"/>
      <c r="DC259" s="567"/>
      <c r="DD259" s="567"/>
      <c r="DE259" s="567"/>
      <c r="DF259" s="567"/>
      <c r="DG259" s="567"/>
      <c r="DH259" s="567"/>
      <c r="DI259" s="567"/>
      <c r="DJ259" s="567"/>
      <c r="DK259" s="567"/>
      <c r="DL259" s="567"/>
      <c r="DM259" s="567"/>
      <c r="DN259" s="567"/>
      <c r="DO259" s="567"/>
      <c r="DP259" s="567"/>
      <c r="DQ259" s="567"/>
    </row>
    <row r="260" spans="1:121" s="487" customFormat="1">
      <c r="A260" s="588"/>
      <c r="B260" s="588"/>
      <c r="C260" s="588"/>
      <c r="D260" s="588"/>
      <c r="E260" s="588"/>
      <c r="F260" s="588"/>
      <c r="G260" s="588"/>
      <c r="H260" s="588"/>
      <c r="I260" s="588"/>
      <c r="J260" s="588"/>
      <c r="K260" s="588"/>
      <c r="L260" s="702"/>
      <c r="M260" s="888"/>
      <c r="N260" s="888"/>
      <c r="O260" s="888"/>
      <c r="P260" s="888"/>
      <c r="Q260" s="888"/>
      <c r="R260" s="888"/>
      <c r="S260" s="888"/>
      <c r="T260" s="888"/>
      <c r="U260" s="888"/>
      <c r="V260" s="888"/>
      <c r="W260" s="888"/>
      <c r="X260" s="888"/>
      <c r="Y260" s="888"/>
      <c r="Z260" s="888"/>
      <c r="AA260" s="888"/>
      <c r="AB260" s="888"/>
      <c r="AC260" s="888"/>
      <c r="AD260" s="888"/>
      <c r="AE260" s="888"/>
      <c r="AF260" s="888"/>
      <c r="AG260" s="888"/>
      <c r="AH260" s="888"/>
      <c r="AI260" s="888"/>
      <c r="AJ260" s="888"/>
      <c r="AK260" s="888"/>
      <c r="AL260" s="888"/>
      <c r="AM260" s="888"/>
      <c r="AN260" s="888"/>
      <c r="AO260" s="888"/>
      <c r="AP260" s="888"/>
      <c r="AQ260" s="888"/>
      <c r="AR260" s="888"/>
      <c r="AS260" s="888"/>
      <c r="AT260" s="888"/>
      <c r="AU260" s="888"/>
      <c r="AV260" s="888"/>
      <c r="AW260" s="888"/>
      <c r="AX260" s="888"/>
      <c r="AY260" s="888"/>
      <c r="AZ260" s="567"/>
      <c r="BA260" s="567"/>
      <c r="BB260" s="567"/>
      <c r="BC260" s="567"/>
      <c r="BD260" s="567"/>
      <c r="BE260" s="567"/>
      <c r="BF260" s="567"/>
      <c r="BG260" s="567"/>
      <c r="BH260" s="567"/>
      <c r="BI260" s="567"/>
      <c r="BJ260" s="567"/>
      <c r="BK260" s="567"/>
      <c r="BL260" s="567"/>
      <c r="BM260" s="567"/>
      <c r="BN260" s="567"/>
      <c r="BO260" s="567"/>
      <c r="BP260" s="567"/>
      <c r="BQ260" s="567"/>
      <c r="BR260" s="567"/>
      <c r="BS260" s="567"/>
      <c r="BT260" s="567"/>
      <c r="BU260" s="567"/>
      <c r="BV260" s="567"/>
      <c r="BW260" s="567"/>
      <c r="BX260" s="567"/>
      <c r="BY260" s="567"/>
      <c r="BZ260" s="567"/>
      <c r="CA260" s="567"/>
      <c r="CB260" s="567"/>
      <c r="CC260" s="567"/>
      <c r="CD260" s="567"/>
      <c r="CE260" s="567"/>
      <c r="CF260" s="567"/>
      <c r="CG260" s="567"/>
      <c r="CH260" s="567"/>
      <c r="CI260" s="567"/>
      <c r="CJ260" s="567"/>
      <c r="CK260" s="567"/>
      <c r="CL260" s="567"/>
      <c r="CM260" s="567"/>
      <c r="CN260" s="567"/>
      <c r="CO260" s="567"/>
      <c r="CP260" s="567"/>
      <c r="CQ260" s="567"/>
      <c r="CR260" s="567"/>
      <c r="CS260" s="567"/>
      <c r="CT260" s="567"/>
      <c r="CU260" s="567"/>
      <c r="CV260" s="567"/>
      <c r="CW260" s="567"/>
      <c r="CX260" s="567"/>
      <c r="CY260" s="567"/>
      <c r="CZ260" s="567"/>
      <c r="DA260" s="567"/>
      <c r="DB260" s="567"/>
      <c r="DC260" s="567"/>
      <c r="DD260" s="567"/>
      <c r="DE260" s="567"/>
      <c r="DF260" s="567"/>
      <c r="DG260" s="567"/>
      <c r="DH260" s="567"/>
      <c r="DI260" s="567"/>
      <c r="DJ260" s="567"/>
      <c r="DK260" s="567"/>
      <c r="DL260" s="567"/>
      <c r="DM260" s="567"/>
      <c r="DN260" s="567"/>
      <c r="DO260" s="567"/>
      <c r="DP260" s="567"/>
      <c r="DQ260" s="567"/>
    </row>
    <row r="261" spans="1:121" s="487" customFormat="1">
      <c r="A261" s="588"/>
      <c r="B261" s="588"/>
      <c r="C261" s="588"/>
      <c r="D261" s="588"/>
      <c r="E261" s="588"/>
      <c r="F261" s="588"/>
      <c r="G261" s="588"/>
      <c r="H261" s="588"/>
      <c r="I261" s="588"/>
      <c r="J261" s="588"/>
      <c r="K261" s="588"/>
      <c r="L261" s="702"/>
      <c r="M261" s="888"/>
      <c r="N261" s="888"/>
      <c r="O261" s="888"/>
      <c r="P261" s="888"/>
      <c r="Q261" s="888"/>
      <c r="R261" s="888"/>
      <c r="S261" s="888"/>
      <c r="T261" s="888"/>
      <c r="U261" s="888"/>
      <c r="V261" s="888"/>
      <c r="W261" s="888"/>
      <c r="X261" s="888"/>
      <c r="Y261" s="888"/>
      <c r="Z261" s="888"/>
      <c r="AA261" s="888"/>
      <c r="AB261" s="888"/>
      <c r="AC261" s="888"/>
      <c r="AD261" s="888"/>
      <c r="AE261" s="888"/>
      <c r="AF261" s="888"/>
      <c r="AG261" s="888"/>
      <c r="AH261" s="888"/>
      <c r="AI261" s="888"/>
      <c r="AJ261" s="888"/>
      <c r="AK261" s="888"/>
      <c r="AL261" s="888"/>
      <c r="AM261" s="888"/>
      <c r="AN261" s="888"/>
      <c r="AO261" s="888"/>
      <c r="AP261" s="888"/>
      <c r="AQ261" s="888"/>
      <c r="AR261" s="888"/>
      <c r="AS261" s="888"/>
      <c r="AT261" s="888"/>
      <c r="AU261" s="888"/>
      <c r="AV261" s="888"/>
      <c r="AW261" s="888"/>
      <c r="AX261" s="888"/>
      <c r="AY261" s="888"/>
      <c r="AZ261" s="567"/>
      <c r="BA261" s="567"/>
      <c r="BB261" s="567"/>
      <c r="BC261" s="567"/>
      <c r="BD261" s="567"/>
      <c r="BE261" s="567"/>
      <c r="BF261" s="567"/>
      <c r="BG261" s="567"/>
      <c r="BH261" s="567"/>
      <c r="BI261" s="567"/>
      <c r="BJ261" s="567"/>
      <c r="BK261" s="567"/>
      <c r="BL261" s="567"/>
      <c r="BM261" s="567"/>
      <c r="BN261" s="567"/>
      <c r="BO261" s="567"/>
      <c r="BP261" s="567"/>
      <c r="BQ261" s="567"/>
      <c r="BR261" s="567"/>
      <c r="BS261" s="567"/>
      <c r="BT261" s="567"/>
      <c r="BU261" s="567"/>
      <c r="BV261" s="567"/>
      <c r="BW261" s="567"/>
      <c r="BX261" s="567"/>
      <c r="BY261" s="567"/>
      <c r="BZ261" s="567"/>
      <c r="CA261" s="567"/>
      <c r="CB261" s="567"/>
      <c r="CC261" s="567"/>
      <c r="CD261" s="567"/>
      <c r="CE261" s="567"/>
      <c r="CF261" s="567"/>
      <c r="CG261" s="567"/>
      <c r="CH261" s="567"/>
      <c r="CI261" s="567"/>
      <c r="CJ261" s="567"/>
      <c r="CK261" s="567"/>
      <c r="CL261" s="567"/>
      <c r="CM261" s="567"/>
      <c r="CN261" s="567"/>
      <c r="CO261" s="567"/>
      <c r="CP261" s="567"/>
      <c r="CQ261" s="567"/>
      <c r="CR261" s="567"/>
      <c r="CS261" s="567"/>
      <c r="CT261" s="567"/>
      <c r="CU261" s="567"/>
      <c r="CV261" s="567"/>
      <c r="CW261" s="567"/>
      <c r="CX261" s="567"/>
      <c r="CY261" s="567"/>
      <c r="CZ261" s="567"/>
      <c r="DA261" s="567"/>
      <c r="DB261" s="567"/>
      <c r="DC261" s="567"/>
      <c r="DD261" s="567"/>
      <c r="DE261" s="567"/>
      <c r="DF261" s="567"/>
      <c r="DG261" s="567"/>
      <c r="DH261" s="567"/>
      <c r="DI261" s="567"/>
      <c r="DJ261" s="567"/>
      <c r="DK261" s="567"/>
      <c r="DL261" s="567"/>
      <c r="DM261" s="567"/>
      <c r="DN261" s="567"/>
      <c r="DO261" s="567"/>
      <c r="DP261" s="567"/>
      <c r="DQ261" s="567"/>
    </row>
    <row r="262" spans="1:121" s="487" customFormat="1">
      <c r="A262" s="588"/>
      <c r="B262" s="588"/>
      <c r="C262" s="588"/>
      <c r="D262" s="588"/>
      <c r="E262" s="588"/>
      <c r="F262" s="588"/>
      <c r="G262" s="588"/>
      <c r="H262" s="588"/>
      <c r="I262" s="588"/>
      <c r="J262" s="588"/>
      <c r="K262" s="588"/>
      <c r="L262" s="702"/>
      <c r="M262" s="888"/>
      <c r="N262" s="888"/>
      <c r="O262" s="888"/>
      <c r="P262" s="888"/>
      <c r="Q262" s="888"/>
      <c r="R262" s="888"/>
      <c r="S262" s="888"/>
      <c r="T262" s="888"/>
      <c r="U262" s="888"/>
      <c r="V262" s="888"/>
      <c r="W262" s="888"/>
      <c r="X262" s="888"/>
      <c r="Y262" s="888"/>
      <c r="Z262" s="888"/>
      <c r="AA262" s="888"/>
      <c r="AB262" s="888"/>
      <c r="AC262" s="888"/>
      <c r="AD262" s="888"/>
      <c r="AE262" s="888"/>
      <c r="AF262" s="888"/>
      <c r="AG262" s="888"/>
      <c r="AH262" s="888"/>
      <c r="AI262" s="888"/>
      <c r="AJ262" s="888"/>
      <c r="AK262" s="888"/>
      <c r="AL262" s="888"/>
      <c r="AM262" s="888"/>
      <c r="AN262" s="888"/>
      <c r="AO262" s="888"/>
      <c r="AP262" s="888"/>
      <c r="AQ262" s="888"/>
      <c r="AR262" s="888"/>
      <c r="AS262" s="888"/>
      <c r="AT262" s="888"/>
      <c r="AU262" s="888"/>
      <c r="AV262" s="888"/>
      <c r="AW262" s="888"/>
      <c r="AX262" s="888"/>
      <c r="AY262" s="888"/>
      <c r="AZ262" s="567"/>
      <c r="BA262" s="567"/>
      <c r="BB262" s="567"/>
      <c r="BC262" s="567"/>
      <c r="BD262" s="567"/>
      <c r="BE262" s="567"/>
      <c r="BF262" s="567"/>
      <c r="BG262" s="567"/>
      <c r="BH262" s="567"/>
      <c r="BI262" s="567"/>
      <c r="BJ262" s="567"/>
      <c r="BK262" s="567"/>
      <c r="BL262" s="567"/>
      <c r="BM262" s="567"/>
      <c r="BN262" s="567"/>
      <c r="BO262" s="567"/>
      <c r="BP262" s="567"/>
      <c r="BQ262" s="567"/>
      <c r="BR262" s="567"/>
      <c r="BS262" s="567"/>
      <c r="BT262" s="567"/>
      <c r="BU262" s="567"/>
      <c r="BV262" s="567"/>
      <c r="BW262" s="567"/>
      <c r="BX262" s="567"/>
      <c r="BY262" s="567"/>
      <c r="BZ262" s="567"/>
      <c r="CA262" s="567"/>
      <c r="CB262" s="567"/>
      <c r="CC262" s="567"/>
      <c r="CD262" s="567"/>
      <c r="CE262" s="567"/>
      <c r="CF262" s="567"/>
      <c r="CG262" s="567"/>
      <c r="CH262" s="567"/>
      <c r="CI262" s="567"/>
      <c r="CJ262" s="567"/>
      <c r="CK262" s="567"/>
      <c r="CL262" s="567"/>
      <c r="CM262" s="567"/>
      <c r="CN262" s="567"/>
      <c r="CO262" s="567"/>
      <c r="CP262" s="567"/>
      <c r="CQ262" s="567"/>
      <c r="CR262" s="567"/>
      <c r="CS262" s="567"/>
      <c r="CT262" s="567"/>
      <c r="CU262" s="567"/>
      <c r="CV262" s="567"/>
      <c r="CW262" s="567"/>
      <c r="CX262" s="567"/>
      <c r="CY262" s="567"/>
      <c r="CZ262" s="567"/>
      <c r="DA262" s="567"/>
      <c r="DB262" s="567"/>
      <c r="DC262" s="567"/>
      <c r="DD262" s="567"/>
      <c r="DE262" s="567"/>
      <c r="DF262" s="567"/>
      <c r="DG262" s="567"/>
      <c r="DH262" s="567"/>
      <c r="DI262" s="567"/>
      <c r="DJ262" s="567"/>
      <c r="DK262" s="567"/>
      <c r="DL262" s="567"/>
      <c r="DM262" s="567"/>
      <c r="DN262" s="567"/>
      <c r="DO262" s="567"/>
      <c r="DP262" s="567"/>
      <c r="DQ262" s="567"/>
    </row>
    <row r="263" spans="1:121" s="487" customFormat="1">
      <c r="A263" s="588"/>
      <c r="B263" s="588"/>
      <c r="C263" s="588"/>
      <c r="D263" s="588"/>
      <c r="E263" s="588"/>
      <c r="F263" s="588"/>
      <c r="G263" s="588"/>
      <c r="H263" s="588"/>
      <c r="I263" s="588"/>
      <c r="J263" s="588"/>
      <c r="K263" s="588"/>
      <c r="L263" s="702"/>
      <c r="M263" s="888"/>
      <c r="N263" s="888"/>
      <c r="O263" s="888"/>
      <c r="P263" s="888"/>
      <c r="Q263" s="888"/>
      <c r="R263" s="888"/>
      <c r="S263" s="888"/>
      <c r="T263" s="888"/>
      <c r="U263" s="888"/>
      <c r="V263" s="888"/>
      <c r="W263" s="888"/>
      <c r="X263" s="888"/>
      <c r="Y263" s="888"/>
      <c r="Z263" s="888"/>
      <c r="AA263" s="888"/>
      <c r="AB263" s="888"/>
      <c r="AC263" s="888"/>
      <c r="AD263" s="888"/>
      <c r="AE263" s="888"/>
      <c r="AF263" s="888"/>
      <c r="AG263" s="888"/>
      <c r="AH263" s="888"/>
      <c r="AI263" s="888"/>
      <c r="AJ263" s="888"/>
      <c r="AK263" s="888"/>
      <c r="AL263" s="888"/>
      <c r="AM263" s="888"/>
      <c r="AN263" s="888"/>
      <c r="AO263" s="888"/>
      <c r="AP263" s="888"/>
      <c r="AQ263" s="888"/>
      <c r="AR263" s="888"/>
      <c r="AS263" s="888"/>
      <c r="AT263" s="888"/>
      <c r="AU263" s="888"/>
      <c r="AV263" s="888"/>
      <c r="AW263" s="888"/>
      <c r="AX263" s="888"/>
      <c r="AY263" s="888"/>
      <c r="AZ263" s="567"/>
      <c r="BA263" s="567"/>
      <c r="BB263" s="567"/>
      <c r="BC263" s="567"/>
      <c r="BD263" s="567"/>
      <c r="BE263" s="567"/>
      <c r="BF263" s="567"/>
      <c r="BG263" s="567"/>
      <c r="BH263" s="567"/>
      <c r="BI263" s="567"/>
      <c r="BJ263" s="567"/>
      <c r="BK263" s="567"/>
      <c r="BL263" s="567"/>
      <c r="BM263" s="567"/>
      <c r="BN263" s="567"/>
      <c r="BO263" s="567"/>
      <c r="BP263" s="567"/>
      <c r="BQ263" s="567"/>
      <c r="BR263" s="567"/>
      <c r="BS263" s="567"/>
      <c r="BT263" s="567"/>
      <c r="BU263" s="567"/>
      <c r="BV263" s="567"/>
      <c r="BW263" s="567"/>
      <c r="BX263" s="567"/>
      <c r="BY263" s="567"/>
      <c r="BZ263" s="567"/>
      <c r="CA263" s="567"/>
      <c r="CB263" s="567"/>
      <c r="CC263" s="567"/>
      <c r="CD263" s="567"/>
      <c r="CE263" s="567"/>
      <c r="CF263" s="567"/>
      <c r="CG263" s="567"/>
      <c r="CH263" s="567"/>
      <c r="CI263" s="567"/>
      <c r="CJ263" s="567"/>
      <c r="CK263" s="567"/>
      <c r="CL263" s="567"/>
      <c r="CM263" s="567"/>
      <c r="CN263" s="567"/>
      <c r="CO263" s="567"/>
      <c r="CP263" s="567"/>
      <c r="CQ263" s="567"/>
      <c r="CR263" s="567"/>
      <c r="CS263" s="567"/>
      <c r="CT263" s="567"/>
      <c r="CU263" s="567"/>
      <c r="CV263" s="567"/>
      <c r="CW263" s="567"/>
      <c r="CX263" s="567"/>
      <c r="CY263" s="567"/>
      <c r="CZ263" s="567"/>
      <c r="DA263" s="567"/>
      <c r="DB263" s="567"/>
      <c r="DC263" s="567"/>
      <c r="DD263" s="567"/>
      <c r="DE263" s="567"/>
      <c r="DF263" s="567"/>
      <c r="DG263" s="567"/>
      <c r="DH263" s="567"/>
      <c r="DI263" s="567"/>
      <c r="DJ263" s="567"/>
      <c r="DK263" s="567"/>
      <c r="DL263" s="567"/>
      <c r="DM263" s="567"/>
      <c r="DN263" s="567"/>
      <c r="DO263" s="567"/>
      <c r="DP263" s="567"/>
      <c r="DQ263" s="567"/>
    </row>
    <row r="264" spans="1:121" s="487" customFormat="1">
      <c r="A264" s="588"/>
      <c r="B264" s="588"/>
      <c r="C264" s="588"/>
      <c r="D264" s="588"/>
      <c r="E264" s="588"/>
      <c r="F264" s="588"/>
      <c r="G264" s="588"/>
      <c r="H264" s="588"/>
      <c r="I264" s="588"/>
      <c r="J264" s="588"/>
      <c r="K264" s="588"/>
      <c r="L264" s="702"/>
      <c r="M264" s="888"/>
      <c r="N264" s="888"/>
      <c r="O264" s="888"/>
      <c r="P264" s="888"/>
      <c r="Q264" s="888"/>
      <c r="R264" s="888"/>
      <c r="S264" s="888"/>
      <c r="T264" s="888"/>
      <c r="U264" s="888"/>
      <c r="V264" s="888"/>
      <c r="W264" s="888"/>
      <c r="X264" s="888"/>
      <c r="Y264" s="888"/>
      <c r="Z264" s="888"/>
      <c r="AA264" s="888"/>
      <c r="AB264" s="888"/>
      <c r="AC264" s="888"/>
      <c r="AD264" s="888"/>
      <c r="AE264" s="888"/>
      <c r="AF264" s="888"/>
      <c r="AG264" s="888"/>
      <c r="AH264" s="888"/>
      <c r="AI264" s="888"/>
      <c r="AJ264" s="888"/>
      <c r="AK264" s="888"/>
      <c r="AL264" s="888"/>
      <c r="AM264" s="888"/>
      <c r="AN264" s="888"/>
      <c r="AO264" s="888"/>
      <c r="AP264" s="888"/>
      <c r="AQ264" s="888"/>
      <c r="AR264" s="888"/>
      <c r="AS264" s="888"/>
      <c r="AT264" s="888"/>
      <c r="AU264" s="888"/>
      <c r="AV264" s="888"/>
      <c r="AW264" s="888"/>
      <c r="AX264" s="888"/>
      <c r="AY264" s="888"/>
      <c r="AZ264" s="567"/>
      <c r="BA264" s="567"/>
      <c r="BB264" s="567"/>
      <c r="BC264" s="567"/>
      <c r="BD264" s="567"/>
      <c r="BE264" s="567"/>
      <c r="BF264" s="567"/>
      <c r="BG264" s="567"/>
      <c r="BH264" s="567"/>
      <c r="BI264" s="567"/>
      <c r="BJ264" s="567"/>
      <c r="BK264" s="567"/>
      <c r="BL264" s="567"/>
      <c r="BM264" s="567"/>
      <c r="BN264" s="567"/>
      <c r="BO264" s="567"/>
      <c r="BP264" s="567"/>
      <c r="BQ264" s="567"/>
      <c r="BR264" s="567"/>
      <c r="BS264" s="567"/>
      <c r="BT264" s="567"/>
      <c r="BU264" s="567"/>
      <c r="BV264" s="567"/>
      <c r="BW264" s="567"/>
      <c r="BX264" s="567"/>
      <c r="BY264" s="567"/>
      <c r="BZ264" s="567"/>
      <c r="CA264" s="567"/>
      <c r="CB264" s="567"/>
      <c r="CC264" s="567"/>
      <c r="CD264" s="567"/>
      <c r="CE264" s="567"/>
      <c r="CF264" s="567"/>
      <c r="CG264" s="567"/>
      <c r="CH264" s="567"/>
      <c r="CI264" s="567"/>
      <c r="CJ264" s="567"/>
      <c r="CK264" s="567"/>
      <c r="CL264" s="567"/>
      <c r="CM264" s="567"/>
      <c r="CN264" s="567"/>
      <c r="CO264" s="567"/>
      <c r="CP264" s="567"/>
      <c r="CQ264" s="567"/>
      <c r="CR264" s="567"/>
      <c r="CS264" s="567"/>
      <c r="CT264" s="567"/>
      <c r="CU264" s="567"/>
      <c r="CV264" s="567"/>
      <c r="CW264" s="567"/>
      <c r="CX264" s="567"/>
      <c r="CY264" s="567"/>
      <c r="CZ264" s="567"/>
      <c r="DA264" s="567"/>
      <c r="DB264" s="567"/>
      <c r="DC264" s="567"/>
      <c r="DD264" s="567"/>
      <c r="DE264" s="567"/>
      <c r="DF264" s="567"/>
      <c r="DG264" s="567"/>
      <c r="DH264" s="567"/>
      <c r="DI264" s="567"/>
      <c r="DJ264" s="567"/>
      <c r="DK264" s="567"/>
      <c r="DL264" s="567"/>
      <c r="DM264" s="567"/>
      <c r="DN264" s="567"/>
      <c r="DO264" s="567"/>
      <c r="DP264" s="567"/>
      <c r="DQ264" s="567"/>
    </row>
    <row r="265" spans="1:121" s="487" customFormat="1">
      <c r="A265" s="588"/>
      <c r="B265" s="588"/>
      <c r="C265" s="588"/>
      <c r="D265" s="588"/>
      <c r="E265" s="588"/>
      <c r="F265" s="588"/>
      <c r="G265" s="588"/>
      <c r="H265" s="588"/>
      <c r="I265" s="588"/>
      <c r="J265" s="588"/>
      <c r="K265" s="588"/>
      <c r="L265" s="702"/>
      <c r="M265" s="888"/>
      <c r="N265" s="888"/>
      <c r="O265" s="888"/>
      <c r="P265" s="888"/>
      <c r="Q265" s="888"/>
      <c r="R265" s="888"/>
      <c r="S265" s="888"/>
      <c r="T265" s="888"/>
      <c r="U265" s="888"/>
      <c r="V265" s="888"/>
      <c r="W265" s="888"/>
      <c r="X265" s="888"/>
      <c r="Y265" s="888"/>
      <c r="Z265" s="888"/>
      <c r="AA265" s="888"/>
      <c r="AB265" s="888"/>
      <c r="AC265" s="888"/>
      <c r="AD265" s="888"/>
      <c r="AE265" s="888"/>
      <c r="AF265" s="888"/>
      <c r="AG265" s="888"/>
      <c r="AH265" s="888"/>
      <c r="AI265" s="888"/>
      <c r="AJ265" s="888"/>
      <c r="AK265" s="888"/>
      <c r="AL265" s="888"/>
      <c r="AM265" s="888"/>
      <c r="AN265" s="888"/>
      <c r="AO265" s="888"/>
      <c r="AP265" s="888"/>
      <c r="AQ265" s="888"/>
      <c r="AR265" s="888"/>
      <c r="AS265" s="888"/>
      <c r="AT265" s="888"/>
      <c r="AU265" s="888"/>
      <c r="AV265" s="888"/>
      <c r="AW265" s="888"/>
      <c r="AX265" s="888"/>
      <c r="AY265" s="888"/>
      <c r="AZ265" s="567"/>
      <c r="BA265" s="567"/>
      <c r="BB265" s="567"/>
      <c r="BC265" s="567"/>
      <c r="BD265" s="567"/>
      <c r="BE265" s="567"/>
      <c r="BF265" s="567"/>
      <c r="BG265" s="567"/>
      <c r="BH265" s="567"/>
      <c r="BI265" s="567"/>
      <c r="BJ265" s="567"/>
      <c r="BK265" s="567"/>
      <c r="BL265" s="567"/>
      <c r="BM265" s="567"/>
      <c r="BN265" s="567"/>
      <c r="BO265" s="567"/>
      <c r="BP265" s="567"/>
      <c r="BQ265" s="567"/>
      <c r="BR265" s="567"/>
      <c r="BS265" s="567"/>
      <c r="BT265" s="567"/>
      <c r="BU265" s="567"/>
      <c r="BV265" s="567"/>
      <c r="BW265" s="567"/>
      <c r="BX265" s="567"/>
      <c r="BY265" s="567"/>
      <c r="BZ265" s="567"/>
      <c r="CA265" s="567"/>
      <c r="CB265" s="567"/>
      <c r="CC265" s="567"/>
      <c r="CD265" s="567"/>
      <c r="CE265" s="567"/>
      <c r="CF265" s="567"/>
      <c r="CG265" s="567"/>
      <c r="CH265" s="567"/>
      <c r="CI265" s="567"/>
      <c r="CJ265" s="567"/>
      <c r="CK265" s="567"/>
      <c r="CL265" s="567"/>
      <c r="CM265" s="567"/>
      <c r="CN265" s="567"/>
      <c r="CO265" s="567"/>
      <c r="CP265" s="567"/>
      <c r="CQ265" s="567"/>
      <c r="CR265" s="567"/>
      <c r="CS265" s="567"/>
      <c r="CT265" s="567"/>
      <c r="CU265" s="567"/>
      <c r="CV265" s="567"/>
      <c r="CW265" s="567"/>
      <c r="CX265" s="567"/>
      <c r="CY265" s="567"/>
      <c r="CZ265" s="567"/>
      <c r="DA265" s="567"/>
      <c r="DB265" s="567"/>
      <c r="DC265" s="567"/>
      <c r="DD265" s="567"/>
      <c r="DE265" s="567"/>
      <c r="DF265" s="567"/>
      <c r="DG265" s="567"/>
      <c r="DH265" s="567"/>
      <c r="DI265" s="567"/>
      <c r="DJ265" s="567"/>
      <c r="DK265" s="567"/>
      <c r="DL265" s="567"/>
      <c r="DM265" s="567"/>
      <c r="DN265" s="567"/>
      <c r="DO265" s="567"/>
      <c r="DP265" s="567"/>
      <c r="DQ265" s="567"/>
    </row>
    <row r="266" spans="1:121" s="487" customFormat="1">
      <c r="A266" s="588"/>
      <c r="B266" s="588"/>
      <c r="C266" s="588"/>
      <c r="D266" s="588"/>
      <c r="E266" s="588"/>
      <c r="F266" s="588"/>
      <c r="G266" s="588"/>
      <c r="H266" s="588"/>
      <c r="I266" s="588"/>
      <c r="J266" s="588"/>
      <c r="K266" s="588"/>
      <c r="L266" s="702"/>
      <c r="M266" s="888"/>
      <c r="N266" s="888"/>
      <c r="O266" s="888"/>
      <c r="P266" s="888"/>
      <c r="Q266" s="888"/>
      <c r="R266" s="888"/>
      <c r="S266" s="888"/>
      <c r="T266" s="888"/>
      <c r="U266" s="888"/>
      <c r="V266" s="888"/>
      <c r="W266" s="888"/>
      <c r="X266" s="888"/>
      <c r="Y266" s="888"/>
      <c r="Z266" s="888"/>
      <c r="AA266" s="888"/>
      <c r="AB266" s="888"/>
      <c r="AC266" s="888"/>
      <c r="AD266" s="888"/>
      <c r="AE266" s="888"/>
      <c r="AF266" s="888"/>
      <c r="AG266" s="888"/>
      <c r="AH266" s="888"/>
      <c r="AI266" s="888"/>
      <c r="AJ266" s="888"/>
      <c r="AK266" s="888"/>
      <c r="AL266" s="888"/>
      <c r="AM266" s="888"/>
      <c r="AN266" s="888"/>
      <c r="AO266" s="888"/>
      <c r="AP266" s="888"/>
      <c r="AQ266" s="888"/>
      <c r="AR266" s="888"/>
      <c r="AS266" s="888"/>
      <c r="AT266" s="888"/>
      <c r="AU266" s="888"/>
      <c r="AV266" s="888"/>
      <c r="AW266" s="888"/>
      <c r="AX266" s="888"/>
      <c r="AY266" s="888"/>
      <c r="AZ266" s="567"/>
      <c r="BA266" s="567"/>
      <c r="BB266" s="567"/>
      <c r="BC266" s="567"/>
      <c r="BD266" s="567"/>
      <c r="BE266" s="567"/>
      <c r="BF266" s="567"/>
      <c r="BG266" s="567"/>
      <c r="BH266" s="567"/>
      <c r="BI266" s="567"/>
      <c r="BJ266" s="567"/>
      <c r="BK266" s="567"/>
      <c r="BL266" s="567"/>
      <c r="BM266" s="567"/>
      <c r="BN266" s="567"/>
      <c r="BO266" s="567"/>
      <c r="BP266" s="567"/>
      <c r="BQ266" s="567"/>
      <c r="BR266" s="567"/>
      <c r="BS266" s="567"/>
      <c r="BT266" s="567"/>
      <c r="BU266" s="567"/>
      <c r="BV266" s="567"/>
      <c r="BW266" s="567"/>
      <c r="BX266" s="567"/>
      <c r="BY266" s="567"/>
      <c r="BZ266" s="567"/>
      <c r="CA266" s="567"/>
      <c r="CB266" s="567"/>
      <c r="CC266" s="567"/>
      <c r="CD266" s="567"/>
      <c r="CE266" s="567"/>
      <c r="CF266" s="567"/>
      <c r="CG266" s="567"/>
      <c r="CH266" s="567"/>
      <c r="CI266" s="567"/>
      <c r="CJ266" s="567"/>
      <c r="CK266" s="567"/>
      <c r="CL266" s="567"/>
      <c r="CM266" s="567"/>
      <c r="CN266" s="567"/>
      <c r="CO266" s="567"/>
      <c r="CP266" s="567"/>
      <c r="CQ266" s="567"/>
      <c r="CR266" s="567"/>
      <c r="CS266" s="567"/>
      <c r="CT266" s="567"/>
      <c r="CU266" s="567"/>
      <c r="CV266" s="567"/>
      <c r="CW266" s="567"/>
      <c r="CX266" s="567"/>
      <c r="CY266" s="567"/>
      <c r="CZ266" s="567"/>
      <c r="DA266" s="567"/>
      <c r="DB266" s="567"/>
      <c r="DC266" s="567"/>
      <c r="DD266" s="567"/>
      <c r="DE266" s="567"/>
      <c r="DF266" s="567"/>
      <c r="DG266" s="567"/>
      <c r="DH266" s="567"/>
      <c r="DI266" s="567"/>
      <c r="DJ266" s="567"/>
      <c r="DK266" s="567"/>
      <c r="DL266" s="567"/>
      <c r="DM266" s="567"/>
      <c r="DN266" s="567"/>
      <c r="DO266" s="567"/>
      <c r="DP266" s="567"/>
      <c r="DQ266" s="567"/>
    </row>
    <row r="267" spans="1:121" s="487" customFormat="1">
      <c r="A267" s="588"/>
      <c r="B267" s="588"/>
      <c r="C267" s="588"/>
      <c r="D267" s="588"/>
      <c r="E267" s="588"/>
      <c r="F267" s="588"/>
      <c r="G267" s="588"/>
      <c r="H267" s="588"/>
      <c r="I267" s="588"/>
      <c r="J267" s="588"/>
      <c r="K267" s="588"/>
      <c r="L267" s="702"/>
      <c r="M267" s="888"/>
      <c r="N267" s="888"/>
      <c r="O267" s="888"/>
      <c r="P267" s="888"/>
      <c r="Q267" s="888"/>
      <c r="R267" s="888"/>
      <c r="S267" s="888"/>
      <c r="T267" s="888"/>
      <c r="U267" s="888"/>
      <c r="V267" s="888"/>
      <c r="W267" s="888"/>
      <c r="X267" s="888"/>
      <c r="Y267" s="888"/>
      <c r="Z267" s="888"/>
      <c r="AA267" s="888"/>
      <c r="AB267" s="888"/>
      <c r="AC267" s="888"/>
      <c r="AD267" s="888"/>
      <c r="AE267" s="888"/>
      <c r="AF267" s="888"/>
      <c r="AG267" s="888"/>
      <c r="AH267" s="888"/>
      <c r="AI267" s="888"/>
      <c r="AJ267" s="888"/>
      <c r="AK267" s="888"/>
      <c r="AL267" s="888"/>
      <c r="AM267" s="888"/>
      <c r="AN267" s="888"/>
      <c r="AO267" s="888"/>
      <c r="AP267" s="888"/>
      <c r="AQ267" s="888"/>
      <c r="AR267" s="888"/>
      <c r="AS267" s="888"/>
      <c r="AT267" s="888"/>
      <c r="AU267" s="888"/>
      <c r="AV267" s="888"/>
      <c r="AW267" s="888"/>
      <c r="AX267" s="888"/>
      <c r="AY267" s="888"/>
      <c r="AZ267" s="567"/>
      <c r="BA267" s="567"/>
      <c r="BB267" s="567"/>
      <c r="BC267" s="567"/>
      <c r="BD267" s="567"/>
      <c r="BE267" s="567"/>
      <c r="BF267" s="567"/>
      <c r="BG267" s="567"/>
      <c r="BH267" s="567"/>
      <c r="BI267" s="567"/>
      <c r="BJ267" s="567"/>
      <c r="BK267" s="567"/>
      <c r="BL267" s="567"/>
      <c r="BM267" s="567"/>
      <c r="BN267" s="567"/>
      <c r="BO267" s="567"/>
      <c r="BP267" s="567"/>
      <c r="BQ267" s="567"/>
      <c r="BR267" s="567"/>
      <c r="BS267" s="567"/>
      <c r="BT267" s="567"/>
      <c r="BU267" s="567"/>
      <c r="BV267" s="567"/>
      <c r="BW267" s="567"/>
      <c r="BX267" s="567"/>
      <c r="BY267" s="567"/>
      <c r="BZ267" s="567"/>
      <c r="CA267" s="567"/>
      <c r="CB267" s="567"/>
      <c r="CC267" s="567"/>
      <c r="CD267" s="567"/>
      <c r="CE267" s="567"/>
      <c r="CF267" s="567"/>
      <c r="CG267" s="567"/>
      <c r="CH267" s="567"/>
      <c r="CI267" s="567"/>
      <c r="CJ267" s="567"/>
      <c r="CK267" s="567"/>
      <c r="CL267" s="567"/>
      <c r="CM267" s="567"/>
      <c r="CN267" s="567"/>
      <c r="CO267" s="567"/>
      <c r="CP267" s="567"/>
      <c r="CQ267" s="567"/>
      <c r="CR267" s="567"/>
      <c r="CS267" s="567"/>
      <c r="CT267" s="567"/>
      <c r="CU267" s="567"/>
      <c r="CV267" s="567"/>
      <c r="CW267" s="567"/>
      <c r="CX267" s="567"/>
      <c r="CY267" s="567"/>
      <c r="CZ267" s="567"/>
      <c r="DA267" s="567"/>
      <c r="DB267" s="567"/>
      <c r="DC267" s="567"/>
      <c r="DD267" s="567"/>
      <c r="DE267" s="567"/>
      <c r="DF267" s="567"/>
      <c r="DG267" s="567"/>
      <c r="DH267" s="567"/>
      <c r="DI267" s="567"/>
      <c r="DJ267" s="567"/>
      <c r="DK267" s="567"/>
      <c r="DL267" s="567"/>
      <c r="DM267" s="567"/>
      <c r="DN267" s="567"/>
      <c r="DO267" s="567"/>
      <c r="DP267" s="567"/>
      <c r="DQ267" s="567"/>
    </row>
    <row r="268" spans="1:121" s="487" customFormat="1">
      <c r="A268" s="588"/>
      <c r="B268" s="588"/>
      <c r="C268" s="588"/>
      <c r="D268" s="588"/>
      <c r="E268" s="588"/>
      <c r="F268" s="588"/>
      <c r="G268" s="588"/>
      <c r="H268" s="588"/>
      <c r="I268" s="588"/>
      <c r="J268" s="588"/>
      <c r="K268" s="588"/>
      <c r="L268" s="702"/>
      <c r="M268" s="888"/>
      <c r="N268" s="888"/>
      <c r="O268" s="888"/>
      <c r="P268" s="888"/>
      <c r="Q268" s="888"/>
      <c r="R268" s="888"/>
      <c r="S268" s="888"/>
      <c r="T268" s="888"/>
      <c r="U268" s="888"/>
      <c r="V268" s="888"/>
      <c r="W268" s="888"/>
      <c r="X268" s="888"/>
      <c r="Y268" s="888"/>
      <c r="Z268" s="888"/>
      <c r="AA268" s="888"/>
      <c r="AB268" s="888"/>
      <c r="AC268" s="888"/>
      <c r="AD268" s="888"/>
      <c r="AE268" s="888"/>
      <c r="AF268" s="888"/>
      <c r="AG268" s="888"/>
      <c r="AH268" s="888"/>
      <c r="AI268" s="888"/>
      <c r="AJ268" s="888"/>
      <c r="AK268" s="888"/>
      <c r="AL268" s="888"/>
      <c r="AM268" s="888"/>
      <c r="AN268" s="888"/>
      <c r="AO268" s="888"/>
      <c r="AP268" s="888"/>
      <c r="AQ268" s="888"/>
      <c r="AR268" s="888"/>
      <c r="AS268" s="888"/>
      <c r="AT268" s="888"/>
      <c r="AU268" s="888"/>
      <c r="AV268" s="888"/>
      <c r="AW268" s="888"/>
      <c r="AX268" s="888"/>
      <c r="AY268" s="888"/>
      <c r="AZ268" s="567"/>
      <c r="BA268" s="567"/>
      <c r="BB268" s="567"/>
      <c r="BC268" s="567"/>
      <c r="BD268" s="567"/>
      <c r="BE268" s="567"/>
      <c r="BF268" s="567"/>
      <c r="BG268" s="567"/>
      <c r="BH268" s="567"/>
      <c r="BI268" s="567"/>
      <c r="BJ268" s="567"/>
      <c r="BK268" s="567"/>
      <c r="BL268" s="567"/>
      <c r="BM268" s="567"/>
      <c r="BN268" s="567"/>
      <c r="BO268" s="567"/>
      <c r="BP268" s="567"/>
      <c r="BQ268" s="567"/>
      <c r="BR268" s="567"/>
      <c r="BS268" s="567"/>
      <c r="BT268" s="567"/>
      <c r="BU268" s="567"/>
      <c r="BV268" s="567"/>
      <c r="BW268" s="567"/>
      <c r="BX268" s="567"/>
      <c r="BY268" s="567"/>
      <c r="BZ268" s="567"/>
      <c r="CA268" s="567"/>
      <c r="CB268" s="567"/>
      <c r="CC268" s="567"/>
      <c r="CD268" s="567"/>
      <c r="CE268" s="567"/>
      <c r="CF268" s="567"/>
      <c r="CG268" s="567"/>
      <c r="CH268" s="567"/>
      <c r="CI268" s="567"/>
      <c r="CJ268" s="567"/>
      <c r="CK268" s="567"/>
      <c r="CL268" s="567"/>
      <c r="CM268" s="567"/>
      <c r="CN268" s="567"/>
      <c r="CO268" s="567"/>
      <c r="CP268" s="567"/>
      <c r="CQ268" s="567"/>
      <c r="CR268" s="567"/>
      <c r="CS268" s="567"/>
      <c r="CT268" s="567"/>
      <c r="CU268" s="567"/>
      <c r="CV268" s="567"/>
      <c r="CW268" s="567"/>
      <c r="CX268" s="567"/>
      <c r="CY268" s="567"/>
      <c r="CZ268" s="567"/>
      <c r="DA268" s="567"/>
      <c r="DB268" s="567"/>
      <c r="DC268" s="567"/>
      <c r="DD268" s="567"/>
      <c r="DE268" s="567"/>
      <c r="DF268" s="567"/>
      <c r="DG268" s="567"/>
      <c r="DH268" s="567"/>
      <c r="DI268" s="567"/>
      <c r="DJ268" s="567"/>
      <c r="DK268" s="567"/>
      <c r="DL268" s="567"/>
      <c r="DM268" s="567"/>
      <c r="DN268" s="567"/>
      <c r="DO268" s="567"/>
      <c r="DP268" s="567"/>
      <c r="DQ268" s="567"/>
    </row>
    <row r="269" spans="1:121" s="487" customFormat="1">
      <c r="A269" s="588"/>
      <c r="B269" s="588"/>
      <c r="C269" s="588"/>
      <c r="D269" s="588"/>
      <c r="E269" s="588"/>
      <c r="F269" s="588"/>
      <c r="G269" s="588"/>
      <c r="H269" s="588"/>
      <c r="I269" s="588"/>
      <c r="J269" s="588"/>
      <c r="K269" s="588"/>
      <c r="L269" s="702"/>
      <c r="M269" s="888"/>
      <c r="N269" s="888"/>
      <c r="O269" s="888"/>
      <c r="P269" s="888"/>
      <c r="Q269" s="888"/>
      <c r="R269" s="888"/>
      <c r="S269" s="888"/>
      <c r="T269" s="888"/>
      <c r="U269" s="888"/>
      <c r="V269" s="888"/>
      <c r="W269" s="888"/>
      <c r="X269" s="888"/>
      <c r="Y269" s="888"/>
      <c r="Z269" s="888"/>
      <c r="AA269" s="888"/>
      <c r="AB269" s="888"/>
      <c r="AC269" s="888"/>
      <c r="AD269" s="888"/>
      <c r="AE269" s="888"/>
      <c r="AF269" s="888"/>
      <c r="AG269" s="888"/>
      <c r="AH269" s="888"/>
      <c r="AI269" s="888"/>
      <c r="AJ269" s="888"/>
      <c r="AK269" s="888"/>
      <c r="AL269" s="888"/>
      <c r="AM269" s="888"/>
      <c r="AN269" s="888"/>
      <c r="AO269" s="888"/>
      <c r="AP269" s="888"/>
      <c r="AQ269" s="888"/>
      <c r="AR269" s="888"/>
      <c r="AS269" s="888"/>
      <c r="AT269" s="888"/>
      <c r="AU269" s="888"/>
      <c r="AV269" s="888"/>
      <c r="AW269" s="888"/>
      <c r="AX269" s="888"/>
      <c r="AY269" s="888"/>
      <c r="AZ269" s="567"/>
      <c r="BA269" s="567"/>
      <c r="BB269" s="567"/>
      <c r="BC269" s="567"/>
      <c r="BD269" s="567"/>
      <c r="BE269" s="567"/>
      <c r="BF269" s="567"/>
      <c r="BG269" s="567"/>
      <c r="BH269" s="567"/>
      <c r="BI269" s="567"/>
      <c r="BJ269" s="567"/>
      <c r="BK269" s="567"/>
      <c r="BL269" s="567"/>
      <c r="BM269" s="567"/>
      <c r="BN269" s="567"/>
      <c r="BO269" s="567"/>
      <c r="BP269" s="567"/>
      <c r="BQ269" s="567"/>
      <c r="BR269" s="567"/>
      <c r="BS269" s="567"/>
      <c r="BT269" s="567"/>
      <c r="BU269" s="567"/>
      <c r="BV269" s="567"/>
      <c r="BW269" s="567"/>
      <c r="BX269" s="567"/>
      <c r="BY269" s="567"/>
      <c r="BZ269" s="567"/>
      <c r="CA269" s="567"/>
      <c r="CB269" s="567"/>
      <c r="CC269" s="567"/>
      <c r="CD269" s="567"/>
      <c r="CE269" s="567"/>
      <c r="CF269" s="567"/>
      <c r="CG269" s="567"/>
      <c r="CH269" s="567"/>
      <c r="CI269" s="567"/>
      <c r="CJ269" s="567"/>
      <c r="CK269" s="567"/>
      <c r="CL269" s="567"/>
      <c r="CM269" s="567"/>
      <c r="CN269" s="567"/>
      <c r="CO269" s="567"/>
      <c r="CP269" s="567"/>
      <c r="CQ269" s="567"/>
      <c r="CR269" s="567"/>
      <c r="CS269" s="567"/>
      <c r="CT269" s="567"/>
      <c r="CU269" s="567"/>
      <c r="CV269" s="567"/>
      <c r="CW269" s="567"/>
      <c r="CX269" s="567"/>
      <c r="CY269" s="567"/>
      <c r="CZ269" s="567"/>
      <c r="DA269" s="567"/>
      <c r="DB269" s="567"/>
      <c r="DC269" s="567"/>
      <c r="DD269" s="567"/>
      <c r="DE269" s="567"/>
      <c r="DF269" s="567"/>
      <c r="DG269" s="567"/>
      <c r="DH269" s="567"/>
      <c r="DI269" s="567"/>
      <c r="DJ269" s="567"/>
      <c r="DK269" s="567"/>
      <c r="DL269" s="567"/>
      <c r="DM269" s="567"/>
      <c r="DN269" s="567"/>
      <c r="DO269" s="567"/>
      <c r="DP269" s="567"/>
      <c r="DQ269" s="567"/>
    </row>
    <row r="270" spans="1:121" s="487" customFormat="1">
      <c r="A270" s="588"/>
      <c r="B270" s="588"/>
      <c r="C270" s="588"/>
      <c r="D270" s="588"/>
      <c r="E270" s="588"/>
      <c r="F270" s="588"/>
      <c r="G270" s="588"/>
      <c r="H270" s="588"/>
      <c r="I270" s="588"/>
      <c r="J270" s="588"/>
      <c r="K270" s="588"/>
      <c r="L270" s="702"/>
      <c r="M270" s="888"/>
      <c r="N270" s="888"/>
      <c r="O270" s="888"/>
      <c r="P270" s="888"/>
      <c r="Q270" s="888"/>
      <c r="R270" s="888"/>
      <c r="S270" s="888"/>
      <c r="T270" s="888"/>
      <c r="U270" s="888"/>
      <c r="V270" s="888"/>
      <c r="W270" s="888"/>
      <c r="X270" s="888"/>
      <c r="Y270" s="888"/>
      <c r="Z270" s="888"/>
      <c r="AA270" s="888"/>
      <c r="AB270" s="888"/>
      <c r="AC270" s="888"/>
      <c r="AD270" s="888"/>
      <c r="AE270" s="888"/>
      <c r="AF270" s="888"/>
      <c r="AG270" s="888"/>
      <c r="AH270" s="888"/>
      <c r="AI270" s="888"/>
      <c r="AJ270" s="888"/>
      <c r="AK270" s="888"/>
      <c r="AL270" s="888"/>
      <c r="AM270" s="888"/>
      <c r="AN270" s="888"/>
      <c r="AO270" s="888"/>
      <c r="AP270" s="888"/>
      <c r="AQ270" s="888"/>
      <c r="AR270" s="888"/>
      <c r="AS270" s="888"/>
      <c r="AT270" s="888"/>
      <c r="AU270" s="888"/>
      <c r="AV270" s="888"/>
      <c r="AW270" s="888"/>
      <c r="AX270" s="888"/>
      <c r="AY270" s="888"/>
      <c r="AZ270" s="567"/>
      <c r="BA270" s="567"/>
      <c r="BB270" s="567"/>
      <c r="BC270" s="567"/>
      <c r="BD270" s="567"/>
      <c r="BE270" s="567"/>
      <c r="BF270" s="567"/>
      <c r="BG270" s="567"/>
      <c r="BH270" s="567"/>
      <c r="BI270" s="567"/>
      <c r="BJ270" s="567"/>
      <c r="BK270" s="567"/>
      <c r="BL270" s="567"/>
      <c r="BM270" s="567"/>
      <c r="BN270" s="567"/>
      <c r="BO270" s="567"/>
      <c r="BP270" s="567"/>
      <c r="BQ270" s="567"/>
      <c r="BR270" s="567"/>
      <c r="BS270" s="567"/>
      <c r="BT270" s="567"/>
      <c r="BU270" s="567"/>
      <c r="BV270" s="567"/>
      <c r="BW270" s="567"/>
      <c r="BX270" s="567"/>
      <c r="BY270" s="567"/>
      <c r="BZ270" s="567"/>
      <c r="CA270" s="567"/>
      <c r="CB270" s="567"/>
      <c r="CC270" s="567"/>
      <c r="CD270" s="567"/>
      <c r="CE270" s="567"/>
      <c r="CF270" s="567"/>
      <c r="CG270" s="567"/>
      <c r="CH270" s="567"/>
      <c r="CI270" s="567"/>
      <c r="CJ270" s="567"/>
      <c r="CK270" s="567"/>
      <c r="CL270" s="567"/>
      <c r="CM270" s="567"/>
      <c r="CN270" s="567"/>
      <c r="CO270" s="567"/>
      <c r="CP270" s="567"/>
      <c r="CQ270" s="567"/>
      <c r="CR270" s="567"/>
      <c r="CS270" s="567"/>
      <c r="CT270" s="567"/>
      <c r="CU270" s="567"/>
      <c r="CV270" s="567"/>
      <c r="CW270" s="567"/>
      <c r="CX270" s="567"/>
      <c r="CY270" s="567"/>
      <c r="CZ270" s="567"/>
      <c r="DA270" s="567"/>
      <c r="DB270" s="567"/>
      <c r="DC270" s="567"/>
      <c r="DD270" s="567"/>
      <c r="DE270" s="567"/>
      <c r="DF270" s="567"/>
      <c r="DG270" s="567"/>
      <c r="DH270" s="567"/>
      <c r="DI270" s="567"/>
      <c r="DJ270" s="567"/>
      <c r="DK270" s="567"/>
      <c r="DL270" s="567"/>
      <c r="DM270" s="567"/>
      <c r="DN270" s="567"/>
      <c r="DO270" s="567"/>
      <c r="DP270" s="567"/>
      <c r="DQ270" s="567"/>
    </row>
    <row r="271" spans="1:121" s="487" customFormat="1">
      <c r="A271" s="588"/>
      <c r="B271" s="588"/>
      <c r="C271" s="588"/>
      <c r="D271" s="588"/>
      <c r="E271" s="588"/>
      <c r="F271" s="588"/>
      <c r="G271" s="588"/>
      <c r="H271" s="588"/>
      <c r="I271" s="588"/>
      <c r="J271" s="588"/>
      <c r="K271" s="588"/>
      <c r="L271" s="702"/>
      <c r="M271" s="888"/>
      <c r="N271" s="888"/>
      <c r="O271" s="888"/>
      <c r="P271" s="888"/>
      <c r="Q271" s="888"/>
      <c r="R271" s="888"/>
      <c r="S271" s="888"/>
      <c r="T271" s="888"/>
      <c r="U271" s="888"/>
      <c r="V271" s="888"/>
      <c r="W271" s="888"/>
      <c r="X271" s="888"/>
      <c r="Y271" s="888"/>
      <c r="Z271" s="888"/>
      <c r="AA271" s="888"/>
      <c r="AB271" s="888"/>
      <c r="AC271" s="888"/>
      <c r="AD271" s="888"/>
      <c r="AE271" s="888"/>
      <c r="AF271" s="888"/>
      <c r="AG271" s="888"/>
      <c r="AH271" s="888"/>
      <c r="AI271" s="888"/>
      <c r="AJ271" s="888"/>
      <c r="AK271" s="888"/>
      <c r="AL271" s="888"/>
      <c r="AM271" s="888"/>
      <c r="AN271" s="888"/>
      <c r="AO271" s="888"/>
      <c r="AP271" s="888"/>
      <c r="AQ271" s="888"/>
      <c r="AR271" s="888"/>
      <c r="AS271" s="888"/>
      <c r="AT271" s="888"/>
      <c r="AU271" s="888"/>
      <c r="AV271" s="888"/>
      <c r="AW271" s="888"/>
      <c r="AX271" s="888"/>
      <c r="AY271" s="888"/>
      <c r="AZ271" s="567"/>
      <c r="BA271" s="567"/>
      <c r="BB271" s="567"/>
      <c r="BC271" s="567"/>
      <c r="BD271" s="567"/>
      <c r="BE271" s="567"/>
      <c r="BF271" s="567"/>
      <c r="BG271" s="567"/>
      <c r="BH271" s="567"/>
      <c r="BI271" s="567"/>
      <c r="BJ271" s="567"/>
      <c r="BK271" s="567"/>
      <c r="BL271" s="567"/>
      <c r="BM271" s="567"/>
      <c r="BN271" s="567"/>
      <c r="BO271" s="567"/>
      <c r="BP271" s="567"/>
      <c r="BQ271" s="567"/>
      <c r="BR271" s="567"/>
      <c r="BS271" s="567"/>
      <c r="BT271" s="567"/>
      <c r="BU271" s="567"/>
      <c r="BV271" s="567"/>
      <c r="BW271" s="567"/>
      <c r="BX271" s="567"/>
      <c r="BY271" s="567"/>
      <c r="BZ271" s="567"/>
      <c r="CA271" s="567"/>
      <c r="CB271" s="567"/>
      <c r="CC271" s="567"/>
      <c r="CD271" s="567"/>
      <c r="CE271" s="567"/>
      <c r="CF271" s="567"/>
      <c r="CG271" s="567"/>
      <c r="CH271" s="567"/>
      <c r="CI271" s="567"/>
      <c r="CJ271" s="567"/>
      <c r="CK271" s="567"/>
      <c r="CL271" s="567"/>
      <c r="CM271" s="567"/>
      <c r="CN271" s="567"/>
      <c r="CO271" s="567"/>
      <c r="CP271" s="567"/>
      <c r="CQ271" s="567"/>
      <c r="CR271" s="567"/>
      <c r="CS271" s="567"/>
      <c r="CT271" s="567"/>
      <c r="CU271" s="567"/>
      <c r="CV271" s="567"/>
      <c r="CW271" s="567"/>
      <c r="CX271" s="567"/>
      <c r="CY271" s="567"/>
      <c r="CZ271" s="567"/>
      <c r="DA271" s="567"/>
      <c r="DB271" s="567"/>
      <c r="DC271" s="567"/>
      <c r="DD271" s="567"/>
      <c r="DE271" s="567"/>
      <c r="DF271" s="567"/>
      <c r="DG271" s="567"/>
      <c r="DH271" s="567"/>
      <c r="DI271" s="567"/>
      <c r="DJ271" s="567"/>
      <c r="DK271" s="567"/>
      <c r="DL271" s="567"/>
      <c r="DM271" s="567"/>
      <c r="DN271" s="567"/>
      <c r="DO271" s="567"/>
      <c r="DP271" s="567"/>
      <c r="DQ271" s="567"/>
    </row>
    <row r="272" spans="1:121" s="487" customFormat="1">
      <c r="A272" s="588"/>
      <c r="B272" s="588"/>
      <c r="C272" s="588"/>
      <c r="D272" s="588"/>
      <c r="E272" s="588"/>
      <c r="F272" s="588"/>
      <c r="G272" s="588"/>
      <c r="H272" s="588"/>
      <c r="I272" s="588"/>
      <c r="J272" s="588"/>
      <c r="K272" s="588"/>
      <c r="L272" s="702"/>
      <c r="M272" s="888"/>
      <c r="N272" s="888"/>
      <c r="O272" s="888"/>
      <c r="P272" s="888"/>
      <c r="Q272" s="888"/>
      <c r="R272" s="888"/>
      <c r="S272" s="888"/>
      <c r="T272" s="888"/>
      <c r="U272" s="888"/>
      <c r="V272" s="888"/>
      <c r="W272" s="888"/>
      <c r="X272" s="888"/>
      <c r="Y272" s="888"/>
      <c r="Z272" s="888"/>
      <c r="AA272" s="888"/>
      <c r="AB272" s="888"/>
      <c r="AC272" s="888"/>
      <c r="AD272" s="888"/>
      <c r="AE272" s="888"/>
      <c r="AF272" s="888"/>
      <c r="AG272" s="888"/>
      <c r="AH272" s="888"/>
      <c r="AI272" s="888"/>
      <c r="AJ272" s="888"/>
      <c r="AK272" s="888"/>
      <c r="AL272" s="888"/>
      <c r="AM272" s="888"/>
      <c r="AN272" s="888"/>
      <c r="AO272" s="888"/>
      <c r="AP272" s="888"/>
      <c r="AQ272" s="888"/>
      <c r="AR272" s="888"/>
      <c r="AS272" s="888"/>
      <c r="AT272" s="888"/>
      <c r="AU272" s="888"/>
      <c r="AV272" s="888"/>
      <c r="AW272" s="888"/>
      <c r="AX272" s="888"/>
      <c r="AY272" s="888"/>
      <c r="AZ272" s="567"/>
      <c r="BA272" s="567"/>
      <c r="BB272" s="567"/>
      <c r="BC272" s="567"/>
      <c r="BD272" s="567"/>
      <c r="BE272" s="567"/>
      <c r="BF272" s="567"/>
      <c r="BG272" s="567"/>
      <c r="BH272" s="567"/>
      <c r="BI272" s="567"/>
      <c r="BJ272" s="567"/>
      <c r="BK272" s="567"/>
      <c r="BL272" s="567"/>
      <c r="BM272" s="567"/>
      <c r="BN272" s="567"/>
      <c r="BO272" s="567"/>
      <c r="BP272" s="567"/>
      <c r="BQ272" s="567"/>
      <c r="BR272" s="567"/>
      <c r="BS272" s="567"/>
      <c r="BT272" s="567"/>
      <c r="BU272" s="567"/>
      <c r="BV272" s="567"/>
      <c r="BW272" s="567"/>
      <c r="BX272" s="567"/>
      <c r="BY272" s="567"/>
      <c r="BZ272" s="567"/>
      <c r="CA272" s="567"/>
      <c r="CB272" s="567"/>
      <c r="CC272" s="567"/>
      <c r="CD272" s="567"/>
      <c r="CE272" s="567"/>
      <c r="CF272" s="567"/>
      <c r="CG272" s="567"/>
      <c r="CH272" s="567"/>
      <c r="CI272" s="567"/>
      <c r="CJ272" s="567"/>
      <c r="CK272" s="567"/>
      <c r="CL272" s="567"/>
      <c r="CM272" s="567"/>
      <c r="CN272" s="567"/>
      <c r="CO272" s="567"/>
      <c r="CP272" s="567"/>
      <c r="CQ272" s="567"/>
      <c r="CR272" s="567"/>
      <c r="CS272" s="567"/>
      <c r="CT272" s="567"/>
      <c r="CU272" s="567"/>
      <c r="CV272" s="567"/>
      <c r="CW272" s="567"/>
      <c r="CX272" s="567"/>
      <c r="CY272" s="567"/>
      <c r="CZ272" s="567"/>
      <c r="DA272" s="567"/>
      <c r="DB272" s="567"/>
      <c r="DC272" s="567"/>
      <c r="DD272" s="567"/>
      <c r="DE272" s="567"/>
      <c r="DF272" s="567"/>
      <c r="DG272" s="567"/>
      <c r="DH272" s="567"/>
      <c r="DI272" s="567"/>
      <c r="DJ272" s="567"/>
      <c r="DK272" s="567"/>
      <c r="DL272" s="567"/>
      <c r="DM272" s="567"/>
      <c r="DN272" s="567"/>
      <c r="DO272" s="567"/>
      <c r="DP272" s="567"/>
      <c r="DQ272" s="567"/>
    </row>
    <row r="273" spans="1:121" s="487" customFormat="1">
      <c r="A273" s="588"/>
      <c r="B273" s="588"/>
      <c r="C273" s="588"/>
      <c r="D273" s="588"/>
      <c r="E273" s="588"/>
      <c r="F273" s="588"/>
      <c r="G273" s="588"/>
      <c r="H273" s="588"/>
      <c r="I273" s="588"/>
      <c r="J273" s="588"/>
      <c r="K273" s="588"/>
      <c r="L273" s="702"/>
      <c r="M273" s="888"/>
      <c r="N273" s="888"/>
      <c r="O273" s="888"/>
      <c r="P273" s="888"/>
      <c r="Q273" s="888"/>
      <c r="R273" s="888"/>
      <c r="S273" s="888"/>
      <c r="T273" s="888"/>
      <c r="U273" s="888"/>
      <c r="V273" s="888"/>
      <c r="W273" s="888"/>
      <c r="X273" s="888"/>
      <c r="Y273" s="888"/>
      <c r="Z273" s="888"/>
      <c r="AA273" s="888"/>
      <c r="AB273" s="888"/>
      <c r="AC273" s="888"/>
      <c r="AD273" s="888"/>
      <c r="AE273" s="888"/>
      <c r="AF273" s="888"/>
      <c r="AG273" s="888"/>
      <c r="AH273" s="888"/>
      <c r="AI273" s="888"/>
      <c r="AJ273" s="888"/>
      <c r="AK273" s="888"/>
      <c r="AL273" s="888"/>
      <c r="AM273" s="888"/>
      <c r="AN273" s="888"/>
      <c r="AO273" s="888"/>
      <c r="AP273" s="888"/>
      <c r="AQ273" s="888"/>
      <c r="AR273" s="888"/>
      <c r="AS273" s="888"/>
      <c r="AT273" s="888"/>
      <c r="AU273" s="888"/>
      <c r="AV273" s="888"/>
      <c r="AW273" s="888"/>
      <c r="AX273" s="888"/>
      <c r="AY273" s="888"/>
      <c r="AZ273" s="567"/>
      <c r="BA273" s="567"/>
      <c r="BB273" s="567"/>
      <c r="BC273" s="567"/>
      <c r="BD273" s="567"/>
      <c r="BE273" s="567"/>
      <c r="BF273" s="567"/>
      <c r="BG273" s="567"/>
      <c r="BH273" s="567"/>
      <c r="BI273" s="567"/>
      <c r="BJ273" s="567"/>
      <c r="BK273" s="567"/>
      <c r="BL273" s="567"/>
      <c r="BM273" s="567"/>
      <c r="BN273" s="567"/>
      <c r="BO273" s="567"/>
      <c r="BP273" s="567"/>
      <c r="BQ273" s="567"/>
      <c r="BR273" s="567"/>
      <c r="BS273" s="567"/>
      <c r="BT273" s="567"/>
      <c r="BU273" s="567"/>
      <c r="BV273" s="567"/>
      <c r="BW273" s="567"/>
      <c r="BX273" s="567"/>
      <c r="BY273" s="567"/>
      <c r="BZ273" s="567"/>
      <c r="CA273" s="567"/>
      <c r="CB273" s="567"/>
      <c r="CC273" s="567"/>
      <c r="CD273" s="567"/>
      <c r="CE273" s="567"/>
      <c r="CF273" s="567"/>
      <c r="CG273" s="567"/>
      <c r="CH273" s="567"/>
      <c r="CI273" s="567"/>
      <c r="CJ273" s="567"/>
      <c r="CK273" s="567"/>
      <c r="CL273" s="567"/>
      <c r="CM273" s="567"/>
      <c r="CN273" s="567"/>
      <c r="CO273" s="567"/>
      <c r="CP273" s="567"/>
      <c r="CQ273" s="567"/>
      <c r="CR273" s="567"/>
      <c r="CS273" s="567"/>
      <c r="CT273" s="567"/>
      <c r="CU273" s="567"/>
      <c r="CV273" s="567"/>
      <c r="CW273" s="567"/>
      <c r="CX273" s="567"/>
      <c r="CY273" s="567"/>
      <c r="CZ273" s="567"/>
      <c r="DA273" s="567"/>
      <c r="DB273" s="567"/>
      <c r="DC273" s="567"/>
      <c r="DD273" s="567"/>
      <c r="DE273" s="567"/>
      <c r="DF273" s="567"/>
      <c r="DG273" s="567"/>
      <c r="DH273" s="567"/>
      <c r="DI273" s="567"/>
      <c r="DJ273" s="567"/>
      <c r="DK273" s="567"/>
      <c r="DL273" s="567"/>
      <c r="DM273" s="567"/>
      <c r="DN273" s="567"/>
      <c r="DO273" s="567"/>
      <c r="DP273" s="567"/>
      <c r="DQ273" s="567"/>
    </row>
    <row r="274" spans="1:121" s="487" customFormat="1">
      <c r="A274" s="588"/>
      <c r="B274" s="588"/>
      <c r="C274" s="588"/>
      <c r="D274" s="588"/>
      <c r="E274" s="588"/>
      <c r="F274" s="588"/>
      <c r="G274" s="588"/>
      <c r="H274" s="588"/>
      <c r="I274" s="588"/>
      <c r="J274" s="588"/>
      <c r="K274" s="588"/>
      <c r="L274" s="702"/>
      <c r="M274" s="888"/>
      <c r="N274" s="888"/>
      <c r="O274" s="888"/>
      <c r="P274" s="888"/>
      <c r="Q274" s="888"/>
      <c r="R274" s="888"/>
      <c r="S274" s="888"/>
      <c r="T274" s="888"/>
      <c r="U274" s="888"/>
      <c r="V274" s="888"/>
      <c r="W274" s="888"/>
      <c r="X274" s="888"/>
      <c r="Y274" s="888"/>
      <c r="Z274" s="888"/>
      <c r="AA274" s="888"/>
      <c r="AB274" s="888"/>
      <c r="AC274" s="888"/>
      <c r="AD274" s="888"/>
      <c r="AE274" s="888"/>
      <c r="AF274" s="888"/>
      <c r="AG274" s="888"/>
      <c r="AH274" s="888"/>
      <c r="AI274" s="888"/>
      <c r="AJ274" s="888"/>
      <c r="AK274" s="888"/>
      <c r="AL274" s="888"/>
      <c r="AM274" s="888"/>
      <c r="AN274" s="888"/>
      <c r="AO274" s="888"/>
      <c r="AP274" s="888"/>
      <c r="AQ274" s="888"/>
      <c r="AR274" s="888"/>
      <c r="AS274" s="888"/>
      <c r="AT274" s="888"/>
      <c r="AU274" s="888"/>
      <c r="AV274" s="888"/>
      <c r="AW274" s="888"/>
      <c r="AX274" s="888"/>
      <c r="AY274" s="888"/>
      <c r="AZ274" s="567"/>
      <c r="BA274" s="567"/>
      <c r="BB274" s="567"/>
      <c r="BC274" s="567"/>
      <c r="BD274" s="567"/>
      <c r="BE274" s="567"/>
      <c r="BF274" s="567"/>
      <c r="BG274" s="567"/>
      <c r="BH274" s="567"/>
      <c r="BI274" s="567"/>
      <c r="BJ274" s="567"/>
      <c r="BK274" s="567"/>
      <c r="BL274" s="567"/>
      <c r="BM274" s="567"/>
      <c r="BN274" s="567"/>
      <c r="BO274" s="567"/>
      <c r="BP274" s="567"/>
      <c r="BQ274" s="567"/>
      <c r="BR274" s="567"/>
      <c r="BS274" s="567"/>
      <c r="BT274" s="567"/>
      <c r="BU274" s="567"/>
      <c r="BV274" s="567"/>
      <c r="BW274" s="567"/>
      <c r="BX274" s="567"/>
      <c r="BY274" s="567"/>
      <c r="BZ274" s="567"/>
      <c r="CA274" s="567"/>
      <c r="CB274" s="567"/>
      <c r="CC274" s="567"/>
      <c r="CD274" s="567"/>
      <c r="CE274" s="567"/>
      <c r="CF274" s="567"/>
      <c r="CG274" s="567"/>
      <c r="CH274" s="567"/>
      <c r="CI274" s="567"/>
      <c r="CJ274" s="567"/>
      <c r="CK274" s="567"/>
      <c r="CL274" s="567"/>
      <c r="CM274" s="567"/>
      <c r="CN274" s="567"/>
      <c r="CO274" s="567"/>
      <c r="CP274" s="567"/>
      <c r="CQ274" s="567"/>
      <c r="CR274" s="567"/>
      <c r="CS274" s="567"/>
      <c r="CT274" s="567"/>
      <c r="CU274" s="567"/>
      <c r="CV274" s="567"/>
      <c r="CW274" s="567"/>
      <c r="CX274" s="567"/>
      <c r="CY274" s="567"/>
      <c r="CZ274" s="567"/>
      <c r="DA274" s="567"/>
      <c r="DB274" s="567"/>
      <c r="DC274" s="567"/>
      <c r="DD274" s="567"/>
      <c r="DE274" s="567"/>
      <c r="DF274" s="567"/>
      <c r="DG274" s="567"/>
      <c r="DH274" s="567"/>
      <c r="DI274" s="567"/>
      <c r="DJ274" s="567"/>
      <c r="DK274" s="567"/>
      <c r="DL274" s="567"/>
      <c r="DM274" s="567"/>
      <c r="DN274" s="567"/>
      <c r="DO274" s="567"/>
      <c r="DP274" s="567"/>
      <c r="DQ274" s="567"/>
    </row>
    <row r="275" spans="1:121" s="487" customFormat="1">
      <c r="A275" s="588"/>
      <c r="B275" s="588"/>
      <c r="C275" s="588"/>
      <c r="D275" s="588"/>
      <c r="E275" s="588"/>
      <c r="F275" s="588"/>
      <c r="G275" s="588"/>
      <c r="H275" s="588"/>
      <c r="I275" s="588"/>
      <c r="J275" s="588"/>
      <c r="K275" s="588"/>
      <c r="L275" s="702"/>
      <c r="M275" s="888"/>
      <c r="N275" s="888"/>
      <c r="O275" s="888"/>
      <c r="P275" s="888"/>
      <c r="Q275" s="888"/>
      <c r="R275" s="888"/>
      <c r="S275" s="888"/>
      <c r="T275" s="888"/>
      <c r="U275" s="888"/>
      <c r="V275" s="888"/>
      <c r="W275" s="888"/>
      <c r="X275" s="888"/>
      <c r="Y275" s="888"/>
      <c r="Z275" s="888"/>
      <c r="AA275" s="888"/>
      <c r="AB275" s="888"/>
      <c r="AC275" s="888"/>
      <c r="AD275" s="888"/>
      <c r="AE275" s="888"/>
      <c r="AF275" s="888"/>
      <c r="AG275" s="888"/>
      <c r="AH275" s="888"/>
      <c r="AI275" s="888"/>
      <c r="AJ275" s="888"/>
      <c r="AK275" s="888"/>
      <c r="AL275" s="888"/>
      <c r="AM275" s="888"/>
      <c r="AN275" s="888"/>
      <c r="AO275" s="888"/>
      <c r="AP275" s="888"/>
      <c r="AQ275" s="888"/>
      <c r="AR275" s="888"/>
      <c r="AS275" s="888"/>
      <c r="AT275" s="888"/>
      <c r="AU275" s="888"/>
      <c r="AV275" s="888"/>
      <c r="AW275" s="888"/>
      <c r="AX275" s="888"/>
      <c r="AY275" s="888"/>
      <c r="AZ275" s="567"/>
      <c r="BA275" s="567"/>
      <c r="BB275" s="567"/>
      <c r="BC275" s="567"/>
      <c r="BD275" s="567"/>
      <c r="BE275" s="567"/>
      <c r="BF275" s="567"/>
      <c r="BG275" s="567"/>
      <c r="BH275" s="567"/>
      <c r="BI275" s="567"/>
      <c r="BJ275" s="567"/>
      <c r="BK275" s="567"/>
      <c r="BL275" s="567"/>
      <c r="BM275" s="567"/>
      <c r="BN275" s="567"/>
      <c r="BO275" s="567"/>
      <c r="BP275" s="567"/>
      <c r="BQ275" s="567"/>
      <c r="BR275" s="567"/>
      <c r="BS275" s="567"/>
      <c r="BT275" s="567"/>
      <c r="BU275" s="567"/>
      <c r="BV275" s="567"/>
      <c r="BW275" s="567"/>
      <c r="BX275" s="567"/>
      <c r="BY275" s="567"/>
      <c r="BZ275" s="567"/>
      <c r="CA275" s="567"/>
      <c r="CB275" s="567"/>
      <c r="CC275" s="567"/>
      <c r="CD275" s="567"/>
      <c r="CE275" s="567"/>
      <c r="CF275" s="567"/>
      <c r="CG275" s="567"/>
      <c r="CH275" s="567"/>
      <c r="CI275" s="567"/>
      <c r="CJ275" s="567"/>
      <c r="CK275" s="567"/>
      <c r="CL275" s="567"/>
      <c r="CM275" s="567"/>
      <c r="CN275" s="567"/>
      <c r="CO275" s="567"/>
      <c r="CP275" s="567"/>
      <c r="CQ275" s="567"/>
      <c r="CR275" s="567"/>
      <c r="CS275" s="567"/>
      <c r="CT275" s="567"/>
      <c r="CU275" s="567"/>
      <c r="CV275" s="567"/>
      <c r="CW275" s="567"/>
      <c r="CX275" s="567"/>
      <c r="CY275" s="567"/>
      <c r="CZ275" s="567"/>
      <c r="DA275" s="567"/>
      <c r="DB275" s="567"/>
      <c r="DC275" s="567"/>
      <c r="DD275" s="567"/>
      <c r="DE275" s="567"/>
      <c r="DF275" s="567"/>
      <c r="DG275" s="567"/>
      <c r="DH275" s="567"/>
      <c r="DI275" s="567"/>
      <c r="DJ275" s="567"/>
      <c r="DK275" s="567"/>
      <c r="DL275" s="567"/>
      <c r="DM275" s="567"/>
      <c r="DN275" s="567"/>
      <c r="DO275" s="567"/>
      <c r="DP275" s="567"/>
      <c r="DQ275" s="567"/>
    </row>
    <row r="276" spans="1:121" s="487" customFormat="1">
      <c r="A276" s="588"/>
      <c r="B276" s="588"/>
      <c r="C276" s="588"/>
      <c r="D276" s="588"/>
      <c r="E276" s="588"/>
      <c r="F276" s="588"/>
      <c r="G276" s="588"/>
      <c r="H276" s="588"/>
      <c r="I276" s="588"/>
      <c r="J276" s="588"/>
      <c r="K276" s="588"/>
      <c r="L276" s="702"/>
      <c r="M276" s="888"/>
      <c r="N276" s="888"/>
      <c r="O276" s="888"/>
      <c r="P276" s="888"/>
      <c r="Q276" s="888"/>
      <c r="R276" s="888"/>
      <c r="S276" s="888"/>
      <c r="T276" s="888"/>
      <c r="U276" s="888"/>
      <c r="V276" s="888"/>
      <c r="W276" s="888"/>
      <c r="X276" s="888"/>
      <c r="Y276" s="888"/>
      <c r="Z276" s="888"/>
      <c r="AA276" s="888"/>
      <c r="AB276" s="888"/>
      <c r="AC276" s="888"/>
      <c r="AD276" s="888"/>
      <c r="AE276" s="888"/>
      <c r="AF276" s="888"/>
      <c r="AG276" s="888"/>
      <c r="AH276" s="888"/>
      <c r="AI276" s="888"/>
      <c r="AJ276" s="888"/>
      <c r="AK276" s="888"/>
      <c r="AL276" s="888"/>
      <c r="AM276" s="888"/>
      <c r="AN276" s="888"/>
      <c r="AO276" s="888"/>
      <c r="AP276" s="888"/>
      <c r="AQ276" s="888"/>
      <c r="AR276" s="888"/>
      <c r="AS276" s="888"/>
      <c r="AT276" s="888"/>
      <c r="AU276" s="888"/>
      <c r="AV276" s="888"/>
      <c r="AW276" s="888"/>
      <c r="AX276" s="888"/>
      <c r="AY276" s="888"/>
      <c r="AZ276" s="567"/>
      <c r="BA276" s="567"/>
      <c r="BB276" s="567"/>
      <c r="BC276" s="567"/>
      <c r="BD276" s="567"/>
      <c r="BE276" s="567"/>
      <c r="BF276" s="567"/>
      <c r="BG276" s="567"/>
      <c r="BH276" s="567"/>
      <c r="BI276" s="567"/>
      <c r="BJ276" s="567"/>
      <c r="BK276" s="567"/>
      <c r="BL276" s="567"/>
      <c r="BM276" s="567"/>
      <c r="BN276" s="567"/>
      <c r="BO276" s="567"/>
      <c r="BP276" s="567"/>
      <c r="BQ276" s="567"/>
      <c r="BR276" s="567"/>
      <c r="BS276" s="567"/>
      <c r="BT276" s="567"/>
      <c r="BU276" s="567"/>
      <c r="BV276" s="567"/>
      <c r="BW276" s="567"/>
      <c r="BX276" s="567"/>
      <c r="BY276" s="567"/>
      <c r="BZ276" s="567"/>
      <c r="CA276" s="567"/>
      <c r="CB276" s="567"/>
      <c r="CC276" s="567"/>
      <c r="CD276" s="567"/>
      <c r="CE276" s="567"/>
      <c r="CF276" s="567"/>
      <c r="CG276" s="567"/>
      <c r="CH276" s="567"/>
      <c r="CI276" s="567"/>
      <c r="CJ276" s="567"/>
      <c r="CK276" s="567"/>
      <c r="CL276" s="567"/>
      <c r="CM276" s="567"/>
      <c r="CN276" s="567"/>
      <c r="CO276" s="567"/>
      <c r="CP276" s="567"/>
      <c r="CQ276" s="567"/>
      <c r="CR276" s="567"/>
      <c r="CS276" s="567"/>
      <c r="CT276" s="567"/>
      <c r="CU276" s="567"/>
      <c r="CV276" s="567"/>
      <c r="CW276" s="567"/>
      <c r="CX276" s="567"/>
      <c r="CY276" s="567"/>
      <c r="CZ276" s="567"/>
      <c r="DA276" s="567"/>
      <c r="DB276" s="567"/>
      <c r="DC276" s="567"/>
      <c r="DD276" s="567"/>
      <c r="DE276" s="567"/>
      <c r="DF276" s="567"/>
      <c r="DG276" s="567"/>
      <c r="DH276" s="567"/>
      <c r="DI276" s="567"/>
      <c r="DJ276" s="567"/>
      <c r="DK276" s="567"/>
      <c r="DL276" s="567"/>
      <c r="DM276" s="567"/>
      <c r="DN276" s="567"/>
      <c r="DO276" s="567"/>
      <c r="DP276" s="567"/>
      <c r="DQ276" s="567"/>
    </row>
    <row r="277" spans="1:121" s="487" customFormat="1">
      <c r="A277" s="588"/>
      <c r="B277" s="588"/>
      <c r="C277" s="588"/>
      <c r="D277" s="588"/>
      <c r="E277" s="588"/>
      <c r="F277" s="588"/>
      <c r="G277" s="588"/>
      <c r="H277" s="588"/>
      <c r="I277" s="588"/>
      <c r="J277" s="588"/>
      <c r="K277" s="588"/>
      <c r="L277" s="702"/>
      <c r="M277" s="888"/>
      <c r="N277" s="888"/>
      <c r="O277" s="888"/>
      <c r="P277" s="888"/>
      <c r="Q277" s="888"/>
      <c r="R277" s="888"/>
      <c r="S277" s="888"/>
      <c r="T277" s="888"/>
      <c r="U277" s="888"/>
      <c r="V277" s="888"/>
      <c r="W277" s="888"/>
      <c r="X277" s="888"/>
      <c r="Y277" s="888"/>
      <c r="Z277" s="888"/>
      <c r="AA277" s="888"/>
      <c r="AB277" s="888"/>
      <c r="AC277" s="888"/>
      <c r="AD277" s="888"/>
      <c r="AE277" s="888"/>
      <c r="AF277" s="888"/>
      <c r="AG277" s="888"/>
      <c r="AH277" s="888"/>
      <c r="AI277" s="888"/>
      <c r="AJ277" s="888"/>
      <c r="AK277" s="888"/>
      <c r="AL277" s="888"/>
      <c r="AM277" s="888"/>
      <c r="AN277" s="888"/>
      <c r="AO277" s="888"/>
      <c r="AP277" s="888"/>
      <c r="AQ277" s="888"/>
      <c r="AR277" s="888"/>
      <c r="AS277" s="888"/>
      <c r="AT277" s="888"/>
      <c r="AU277" s="888"/>
      <c r="AV277" s="888"/>
      <c r="AW277" s="888"/>
      <c r="AX277" s="888"/>
      <c r="AY277" s="888"/>
      <c r="AZ277" s="567"/>
      <c r="BA277" s="567"/>
      <c r="BB277" s="567"/>
      <c r="BC277" s="567"/>
      <c r="BD277" s="567"/>
      <c r="BE277" s="567"/>
      <c r="BF277" s="567"/>
      <c r="BG277" s="567"/>
      <c r="BH277" s="567"/>
      <c r="BI277" s="567"/>
      <c r="BJ277" s="567"/>
      <c r="BK277" s="567"/>
      <c r="BL277" s="567"/>
      <c r="BM277" s="567"/>
      <c r="BN277" s="567"/>
      <c r="BO277" s="567"/>
      <c r="BP277" s="567"/>
      <c r="BQ277" s="567"/>
      <c r="BR277" s="567"/>
      <c r="BS277" s="567"/>
      <c r="BT277" s="567"/>
      <c r="BU277" s="567"/>
      <c r="BV277" s="567"/>
      <c r="BW277" s="567"/>
      <c r="BX277" s="567"/>
      <c r="BY277" s="567"/>
      <c r="BZ277" s="567"/>
      <c r="CA277" s="567"/>
      <c r="CB277" s="567"/>
      <c r="CC277" s="567"/>
      <c r="CD277" s="567"/>
      <c r="CE277" s="567"/>
      <c r="CF277" s="567"/>
      <c r="CG277" s="567"/>
      <c r="CH277" s="567"/>
      <c r="CI277" s="567"/>
      <c r="CJ277" s="567"/>
      <c r="CK277" s="567"/>
      <c r="CL277" s="567"/>
      <c r="CM277" s="567"/>
      <c r="CN277" s="567"/>
      <c r="CO277" s="567"/>
      <c r="CP277" s="567"/>
      <c r="CQ277" s="567"/>
      <c r="CR277" s="567"/>
      <c r="CS277" s="567"/>
      <c r="CT277" s="567"/>
      <c r="CU277" s="567"/>
      <c r="CV277" s="567"/>
      <c r="CW277" s="567"/>
      <c r="CX277" s="567"/>
      <c r="CY277" s="567"/>
      <c r="CZ277" s="567"/>
      <c r="DA277" s="567"/>
      <c r="DB277" s="567"/>
      <c r="DC277" s="567"/>
      <c r="DD277" s="567"/>
      <c r="DE277" s="567"/>
      <c r="DF277" s="567"/>
      <c r="DG277" s="567"/>
      <c r="DH277" s="567"/>
      <c r="DI277" s="567"/>
      <c r="DJ277" s="567"/>
      <c r="DK277" s="567"/>
      <c r="DL277" s="567"/>
      <c r="DM277" s="567"/>
      <c r="DN277" s="567"/>
      <c r="DO277" s="567"/>
      <c r="DP277" s="567"/>
      <c r="DQ277" s="567"/>
    </row>
    <row r="278" spans="1:121" s="487" customFormat="1">
      <c r="A278" s="588"/>
      <c r="B278" s="588"/>
      <c r="C278" s="588"/>
      <c r="D278" s="588"/>
      <c r="E278" s="588"/>
      <c r="F278" s="588"/>
      <c r="G278" s="588"/>
      <c r="H278" s="588"/>
      <c r="I278" s="588"/>
      <c r="J278" s="588"/>
      <c r="K278" s="588"/>
      <c r="L278" s="702"/>
      <c r="M278" s="888"/>
      <c r="N278" s="888"/>
      <c r="O278" s="888"/>
      <c r="P278" s="888"/>
      <c r="Q278" s="888"/>
      <c r="R278" s="888"/>
      <c r="S278" s="888"/>
      <c r="T278" s="888"/>
      <c r="U278" s="888"/>
      <c r="V278" s="888"/>
      <c r="W278" s="888"/>
      <c r="X278" s="888"/>
      <c r="Y278" s="888"/>
      <c r="Z278" s="888"/>
      <c r="AA278" s="888"/>
      <c r="AB278" s="888"/>
      <c r="AC278" s="888"/>
      <c r="AD278" s="888"/>
      <c r="AE278" s="888"/>
      <c r="AF278" s="888"/>
      <c r="AG278" s="888"/>
      <c r="AH278" s="888"/>
      <c r="AI278" s="888"/>
      <c r="AJ278" s="888"/>
      <c r="AK278" s="888"/>
      <c r="AL278" s="888"/>
      <c r="AM278" s="888"/>
      <c r="AN278" s="888"/>
      <c r="AO278" s="888"/>
      <c r="AP278" s="888"/>
      <c r="AQ278" s="888"/>
      <c r="AR278" s="888"/>
      <c r="AS278" s="888"/>
      <c r="AT278" s="888"/>
      <c r="AU278" s="888"/>
      <c r="AV278" s="888"/>
      <c r="AW278" s="888"/>
      <c r="AX278" s="888"/>
      <c r="AY278" s="888"/>
      <c r="AZ278" s="567"/>
      <c r="BA278" s="567"/>
      <c r="BB278" s="567"/>
      <c r="BC278" s="567"/>
      <c r="BD278" s="567"/>
      <c r="BE278" s="567"/>
      <c r="BF278" s="567"/>
      <c r="BG278" s="567"/>
      <c r="BH278" s="567"/>
      <c r="BI278" s="567"/>
      <c r="BJ278" s="567"/>
      <c r="BK278" s="567"/>
      <c r="BL278" s="567"/>
      <c r="BM278" s="567"/>
      <c r="BN278" s="567"/>
      <c r="BO278" s="567"/>
      <c r="BP278" s="567"/>
      <c r="BQ278" s="567"/>
      <c r="BR278" s="567"/>
      <c r="BS278" s="567"/>
      <c r="BT278" s="567"/>
      <c r="BU278" s="567"/>
      <c r="BV278" s="567"/>
      <c r="BW278" s="567"/>
      <c r="BX278" s="567"/>
      <c r="BY278" s="567"/>
      <c r="BZ278" s="567"/>
      <c r="CA278" s="567"/>
      <c r="CB278" s="567"/>
      <c r="CC278" s="567"/>
      <c r="CD278" s="567"/>
      <c r="CE278" s="567"/>
      <c r="CF278" s="567"/>
      <c r="CG278" s="567"/>
      <c r="CH278" s="567"/>
      <c r="CI278" s="567"/>
      <c r="CJ278" s="567"/>
      <c r="CK278" s="567"/>
      <c r="CL278" s="567"/>
      <c r="CM278" s="567"/>
      <c r="CN278" s="567"/>
      <c r="CO278" s="567"/>
      <c r="CP278" s="567"/>
      <c r="CQ278" s="567"/>
      <c r="CR278" s="567"/>
      <c r="CS278" s="567"/>
      <c r="CT278" s="567"/>
      <c r="CU278" s="567"/>
      <c r="CV278" s="567"/>
      <c r="CW278" s="567"/>
      <c r="CX278" s="567"/>
      <c r="CY278" s="567"/>
      <c r="CZ278" s="567"/>
      <c r="DA278" s="567"/>
      <c r="DB278" s="567"/>
      <c r="DC278" s="567"/>
      <c r="DD278" s="567"/>
      <c r="DE278" s="567"/>
      <c r="DF278" s="567"/>
      <c r="DG278" s="567"/>
      <c r="DH278" s="567"/>
      <c r="DI278" s="567"/>
      <c r="DJ278" s="567"/>
      <c r="DK278" s="567"/>
      <c r="DL278" s="567"/>
      <c r="DM278" s="567"/>
      <c r="DN278" s="567"/>
      <c r="DO278" s="567"/>
      <c r="DP278" s="567"/>
      <c r="DQ278" s="567"/>
    </row>
    <row r="279" spans="1:121" s="487" customFormat="1">
      <c r="A279" s="588"/>
      <c r="B279" s="588"/>
      <c r="C279" s="588"/>
      <c r="D279" s="588"/>
      <c r="E279" s="588"/>
      <c r="F279" s="588"/>
      <c r="G279" s="588"/>
      <c r="H279" s="588"/>
      <c r="I279" s="588"/>
      <c r="J279" s="588"/>
      <c r="K279" s="588"/>
      <c r="L279" s="702"/>
      <c r="M279" s="888"/>
      <c r="N279" s="888"/>
      <c r="O279" s="888"/>
      <c r="P279" s="888"/>
      <c r="Q279" s="888"/>
      <c r="R279" s="888"/>
      <c r="S279" s="888"/>
      <c r="T279" s="888"/>
      <c r="U279" s="888"/>
      <c r="V279" s="888"/>
      <c r="W279" s="888"/>
      <c r="X279" s="888"/>
      <c r="Y279" s="888"/>
      <c r="Z279" s="888"/>
      <c r="AA279" s="888"/>
      <c r="AB279" s="888"/>
      <c r="AC279" s="888"/>
      <c r="AD279" s="888"/>
      <c r="AE279" s="888"/>
      <c r="AF279" s="888"/>
      <c r="AG279" s="888"/>
      <c r="AH279" s="888"/>
      <c r="AI279" s="888"/>
      <c r="AJ279" s="888"/>
      <c r="AK279" s="888"/>
      <c r="AL279" s="888"/>
      <c r="AM279" s="888"/>
      <c r="AN279" s="888"/>
      <c r="AO279" s="888"/>
      <c r="AP279" s="888"/>
      <c r="AQ279" s="888"/>
      <c r="AR279" s="888"/>
      <c r="AS279" s="888"/>
      <c r="AT279" s="888"/>
      <c r="AU279" s="888"/>
      <c r="AV279" s="888"/>
      <c r="AW279" s="888"/>
      <c r="AX279" s="888"/>
      <c r="AY279" s="888"/>
      <c r="AZ279" s="567"/>
      <c r="BA279" s="567"/>
      <c r="BB279" s="567"/>
      <c r="BC279" s="567"/>
      <c r="BD279" s="567"/>
      <c r="BE279" s="567"/>
      <c r="BF279" s="567"/>
      <c r="BG279" s="567"/>
      <c r="BH279" s="567"/>
      <c r="BI279" s="567"/>
      <c r="BJ279" s="567"/>
      <c r="BK279" s="567"/>
      <c r="BL279" s="567"/>
      <c r="BM279" s="567"/>
      <c r="BN279" s="567"/>
      <c r="BO279" s="567"/>
      <c r="BP279" s="567"/>
      <c r="BQ279" s="567"/>
      <c r="BR279" s="567"/>
      <c r="BS279" s="567"/>
      <c r="BT279" s="567"/>
      <c r="BU279" s="567"/>
      <c r="BV279" s="567"/>
      <c r="BW279" s="567"/>
      <c r="BX279" s="567"/>
      <c r="BY279" s="567"/>
      <c r="BZ279" s="567"/>
      <c r="CA279" s="567"/>
      <c r="CB279" s="567"/>
      <c r="CC279" s="567"/>
      <c r="CD279" s="567"/>
      <c r="CE279" s="567"/>
      <c r="CF279" s="567"/>
      <c r="CG279" s="567"/>
      <c r="CH279" s="567"/>
      <c r="CI279" s="567"/>
      <c r="CJ279" s="567"/>
      <c r="CK279" s="567"/>
      <c r="CL279" s="567"/>
      <c r="CM279" s="567"/>
      <c r="CN279" s="567"/>
      <c r="CO279" s="567"/>
      <c r="CP279" s="567"/>
      <c r="CQ279" s="567"/>
      <c r="CR279" s="567"/>
      <c r="CS279" s="567"/>
      <c r="CT279" s="567"/>
      <c r="CU279" s="567"/>
      <c r="CV279" s="567"/>
      <c r="CW279" s="567"/>
      <c r="CX279" s="567"/>
      <c r="CY279" s="567"/>
      <c r="CZ279" s="567"/>
      <c r="DA279" s="567"/>
      <c r="DB279" s="567"/>
      <c r="DC279" s="567"/>
      <c r="DD279" s="567"/>
      <c r="DE279" s="567"/>
      <c r="DF279" s="567"/>
      <c r="DG279" s="567"/>
      <c r="DH279" s="567"/>
      <c r="DI279" s="567"/>
      <c r="DJ279" s="567"/>
      <c r="DK279" s="567"/>
      <c r="DL279" s="567"/>
      <c r="DM279" s="567"/>
      <c r="DN279" s="567"/>
      <c r="DO279" s="567"/>
      <c r="DP279" s="567"/>
      <c r="DQ279" s="567"/>
    </row>
    <row r="280" spans="1:121" s="487" customFormat="1">
      <c r="A280" s="588"/>
      <c r="B280" s="588"/>
      <c r="C280" s="588"/>
      <c r="D280" s="588"/>
      <c r="E280" s="588"/>
      <c r="F280" s="588"/>
      <c r="G280" s="588"/>
      <c r="H280" s="588"/>
      <c r="I280" s="588"/>
      <c r="J280" s="588"/>
      <c r="K280" s="588"/>
      <c r="L280" s="702"/>
      <c r="M280" s="888"/>
      <c r="N280" s="888"/>
      <c r="O280" s="888"/>
      <c r="P280" s="888"/>
      <c r="Q280" s="888"/>
      <c r="R280" s="888"/>
      <c r="S280" s="888"/>
      <c r="T280" s="888"/>
      <c r="U280" s="888"/>
      <c r="V280" s="888"/>
      <c r="W280" s="888"/>
      <c r="X280" s="888"/>
      <c r="Y280" s="888"/>
      <c r="Z280" s="888"/>
      <c r="AA280" s="888"/>
      <c r="AB280" s="888"/>
      <c r="AC280" s="888"/>
      <c r="AD280" s="888"/>
      <c r="AE280" s="888"/>
      <c r="AF280" s="888"/>
      <c r="AG280" s="888"/>
      <c r="AH280" s="888"/>
      <c r="AI280" s="888"/>
      <c r="AJ280" s="888"/>
      <c r="AK280" s="888"/>
      <c r="AL280" s="888"/>
      <c r="AM280" s="888"/>
      <c r="AN280" s="888"/>
      <c r="AO280" s="888"/>
      <c r="AP280" s="888"/>
      <c r="AQ280" s="888"/>
      <c r="AR280" s="888"/>
      <c r="AS280" s="888"/>
      <c r="AT280" s="888"/>
      <c r="AU280" s="888"/>
      <c r="AV280" s="888"/>
      <c r="AW280" s="888"/>
      <c r="AX280" s="888"/>
      <c r="AY280" s="888"/>
      <c r="AZ280" s="567"/>
      <c r="BA280" s="567"/>
      <c r="BB280" s="567"/>
      <c r="BC280" s="567"/>
      <c r="BD280" s="567"/>
      <c r="BE280" s="567"/>
      <c r="BF280" s="567"/>
      <c r="BG280" s="567"/>
      <c r="BH280" s="567"/>
      <c r="BI280" s="567"/>
      <c r="BJ280" s="567"/>
      <c r="BK280" s="567"/>
      <c r="BL280" s="567"/>
      <c r="BM280" s="567"/>
      <c r="BN280" s="567"/>
      <c r="BO280" s="567"/>
      <c r="BP280" s="567"/>
      <c r="BQ280" s="567"/>
      <c r="BR280" s="567"/>
      <c r="BS280" s="567"/>
      <c r="BT280" s="567"/>
      <c r="BU280" s="567"/>
      <c r="BV280" s="567"/>
      <c r="BW280" s="567"/>
      <c r="BX280" s="567"/>
      <c r="BY280" s="567"/>
      <c r="BZ280" s="567"/>
      <c r="CA280" s="567"/>
      <c r="CB280" s="567"/>
      <c r="CC280" s="567"/>
      <c r="CD280" s="567"/>
      <c r="CE280" s="567"/>
      <c r="CF280" s="567"/>
      <c r="CG280" s="567"/>
      <c r="CH280" s="567"/>
      <c r="CI280" s="567"/>
      <c r="CJ280" s="567"/>
      <c r="CK280" s="567"/>
      <c r="CL280" s="567"/>
      <c r="CM280" s="567"/>
      <c r="CN280" s="567"/>
      <c r="CO280" s="567"/>
      <c r="CP280" s="567"/>
      <c r="CQ280" s="567"/>
      <c r="CR280" s="567"/>
      <c r="CS280" s="567"/>
      <c r="CT280" s="567"/>
      <c r="CU280" s="567"/>
      <c r="CV280" s="567"/>
      <c r="CW280" s="567"/>
      <c r="CX280" s="567"/>
      <c r="CY280" s="567"/>
      <c r="CZ280" s="567"/>
      <c r="DA280" s="567"/>
      <c r="DB280" s="567"/>
      <c r="DC280" s="567"/>
      <c r="DD280" s="567"/>
      <c r="DE280" s="567"/>
      <c r="DF280" s="567"/>
      <c r="DG280" s="567"/>
      <c r="DH280" s="567"/>
      <c r="DI280" s="567"/>
      <c r="DJ280" s="567"/>
      <c r="DK280" s="567"/>
      <c r="DL280" s="567"/>
      <c r="DM280" s="567"/>
      <c r="DN280" s="567"/>
      <c r="DO280" s="567"/>
      <c r="DP280" s="567"/>
      <c r="DQ280" s="567"/>
    </row>
    <row r="281" spans="1:121" s="487" customFormat="1">
      <c r="A281" s="588"/>
      <c r="B281" s="588"/>
      <c r="C281" s="588"/>
      <c r="D281" s="588"/>
      <c r="E281" s="588"/>
      <c r="F281" s="588"/>
      <c r="G281" s="588"/>
      <c r="H281" s="588"/>
      <c r="I281" s="588"/>
      <c r="J281" s="588"/>
      <c r="K281" s="588"/>
      <c r="L281" s="702"/>
      <c r="M281" s="888"/>
      <c r="N281" s="888"/>
      <c r="O281" s="888"/>
      <c r="P281" s="888"/>
      <c r="Q281" s="888"/>
      <c r="R281" s="888"/>
      <c r="S281" s="888"/>
      <c r="T281" s="888"/>
      <c r="U281" s="888"/>
      <c r="V281" s="888"/>
      <c r="W281" s="888"/>
      <c r="X281" s="888"/>
      <c r="Y281" s="888"/>
      <c r="Z281" s="888"/>
      <c r="AA281" s="888"/>
      <c r="AB281" s="888"/>
      <c r="AC281" s="888"/>
      <c r="AD281" s="888"/>
      <c r="AE281" s="888"/>
      <c r="AF281" s="888"/>
      <c r="AG281" s="888"/>
      <c r="AH281" s="888"/>
      <c r="AI281" s="888"/>
      <c r="AJ281" s="888"/>
      <c r="AK281" s="888"/>
      <c r="AL281" s="888"/>
      <c r="AM281" s="888"/>
      <c r="AN281" s="888"/>
      <c r="AO281" s="888"/>
      <c r="AP281" s="888"/>
      <c r="AQ281" s="888"/>
      <c r="AR281" s="888"/>
      <c r="AS281" s="888"/>
      <c r="AT281" s="888"/>
      <c r="AU281" s="888"/>
      <c r="AV281" s="888"/>
      <c r="AW281" s="888"/>
      <c r="AX281" s="888"/>
      <c r="AY281" s="888"/>
      <c r="AZ281" s="567"/>
      <c r="BA281" s="567"/>
      <c r="BB281" s="567"/>
      <c r="BC281" s="567"/>
      <c r="BD281" s="567"/>
      <c r="BE281" s="567"/>
      <c r="BF281" s="567"/>
      <c r="BG281" s="567"/>
      <c r="BH281" s="567"/>
      <c r="BI281" s="567"/>
      <c r="BJ281" s="567"/>
      <c r="BK281" s="567"/>
      <c r="BL281" s="567"/>
      <c r="BM281" s="567"/>
      <c r="BN281" s="567"/>
      <c r="BO281" s="567"/>
      <c r="BP281" s="567"/>
      <c r="BQ281" s="567"/>
      <c r="BR281" s="567"/>
      <c r="BS281" s="567"/>
      <c r="BT281" s="567"/>
      <c r="BU281" s="567"/>
      <c r="BV281" s="567"/>
      <c r="BW281" s="567"/>
      <c r="BX281" s="567"/>
      <c r="BY281" s="567"/>
      <c r="BZ281" s="567"/>
      <c r="CA281" s="567"/>
      <c r="CB281" s="567"/>
      <c r="CC281" s="567"/>
      <c r="CD281" s="567"/>
      <c r="CE281" s="567"/>
      <c r="CF281" s="567"/>
      <c r="CG281" s="567"/>
      <c r="CH281" s="567"/>
      <c r="CI281" s="567"/>
      <c r="CJ281" s="567"/>
      <c r="CK281" s="567"/>
      <c r="CL281" s="567"/>
      <c r="CM281" s="567"/>
      <c r="CN281" s="567"/>
      <c r="CO281" s="567"/>
      <c r="CP281" s="567"/>
      <c r="CQ281" s="567"/>
      <c r="CR281" s="567"/>
      <c r="CS281" s="567"/>
      <c r="CT281" s="567"/>
      <c r="CU281" s="567"/>
      <c r="CV281" s="567"/>
      <c r="CW281" s="567"/>
      <c r="CX281" s="567"/>
      <c r="CY281" s="567"/>
      <c r="CZ281" s="567"/>
      <c r="DA281" s="567"/>
      <c r="DB281" s="567"/>
      <c r="DC281" s="567"/>
      <c r="DD281" s="567"/>
      <c r="DE281" s="567"/>
      <c r="DF281" s="567"/>
      <c r="DG281" s="567"/>
      <c r="DH281" s="567"/>
      <c r="DI281" s="567"/>
      <c r="DJ281" s="567"/>
      <c r="DK281" s="567"/>
      <c r="DL281" s="567"/>
      <c r="DM281" s="567"/>
      <c r="DN281" s="567"/>
      <c r="DO281" s="567"/>
      <c r="DP281" s="567"/>
      <c r="DQ281" s="567"/>
    </row>
    <row r="282" spans="1:121" s="487" customFormat="1">
      <c r="A282" s="588"/>
      <c r="B282" s="588"/>
      <c r="C282" s="588"/>
      <c r="D282" s="588"/>
      <c r="E282" s="588"/>
      <c r="F282" s="588"/>
      <c r="G282" s="588"/>
      <c r="H282" s="588"/>
      <c r="I282" s="588"/>
      <c r="J282" s="588"/>
      <c r="K282" s="588"/>
      <c r="L282" s="702"/>
      <c r="M282" s="888"/>
      <c r="N282" s="888"/>
      <c r="O282" s="888"/>
      <c r="P282" s="888"/>
      <c r="Q282" s="888"/>
      <c r="R282" s="888"/>
      <c r="S282" s="888"/>
      <c r="T282" s="888"/>
      <c r="U282" s="888"/>
      <c r="V282" s="888"/>
      <c r="W282" s="888"/>
      <c r="X282" s="888"/>
      <c r="Y282" s="888"/>
      <c r="Z282" s="888"/>
      <c r="AA282" s="888"/>
      <c r="AB282" s="888"/>
      <c r="AC282" s="888"/>
      <c r="AD282" s="888"/>
      <c r="AE282" s="888"/>
      <c r="AF282" s="888"/>
      <c r="AG282" s="888"/>
      <c r="AH282" s="888"/>
      <c r="AI282" s="888"/>
      <c r="AJ282" s="888"/>
      <c r="AK282" s="888"/>
      <c r="AL282" s="888"/>
      <c r="AM282" s="888"/>
      <c r="AN282" s="888"/>
      <c r="AO282" s="888"/>
      <c r="AP282" s="888"/>
      <c r="AQ282" s="888"/>
      <c r="AR282" s="888"/>
      <c r="AS282" s="888"/>
      <c r="AT282" s="888"/>
      <c r="AU282" s="888"/>
      <c r="AV282" s="888"/>
      <c r="AW282" s="888"/>
      <c r="AX282" s="888"/>
      <c r="AY282" s="888"/>
      <c r="AZ282" s="567"/>
      <c r="BA282" s="567"/>
      <c r="BB282" s="567"/>
      <c r="BC282" s="567"/>
      <c r="BD282" s="567"/>
      <c r="BE282" s="567"/>
      <c r="BF282" s="567"/>
      <c r="BG282" s="567"/>
      <c r="BH282" s="567"/>
      <c r="BI282" s="567"/>
      <c r="BJ282" s="567"/>
      <c r="BK282" s="567"/>
      <c r="BL282" s="567"/>
      <c r="BM282" s="567"/>
      <c r="BN282" s="567"/>
      <c r="BO282" s="567"/>
      <c r="BP282" s="567"/>
      <c r="BQ282" s="567"/>
      <c r="BR282" s="567"/>
      <c r="BS282" s="567"/>
      <c r="BT282" s="567"/>
      <c r="BU282" s="567"/>
      <c r="BV282" s="567"/>
      <c r="BW282" s="567"/>
      <c r="BX282" s="567"/>
      <c r="BY282" s="567"/>
      <c r="BZ282" s="567"/>
      <c r="CA282" s="567"/>
      <c r="CB282" s="567"/>
      <c r="CC282" s="567"/>
      <c r="CD282" s="567"/>
      <c r="CE282" s="567"/>
      <c r="CF282" s="567"/>
      <c r="CG282" s="567"/>
      <c r="CH282" s="567"/>
      <c r="CI282" s="567"/>
      <c r="CJ282" s="567"/>
      <c r="CK282" s="567"/>
      <c r="CL282" s="567"/>
      <c r="CM282" s="567"/>
      <c r="CN282" s="567"/>
      <c r="CO282" s="567"/>
      <c r="CP282" s="567"/>
      <c r="CQ282" s="567"/>
      <c r="CR282" s="567"/>
      <c r="CS282" s="567"/>
      <c r="CT282" s="567"/>
      <c r="CU282" s="567"/>
      <c r="CV282" s="567"/>
      <c r="CW282" s="567"/>
      <c r="CX282" s="567"/>
      <c r="CY282" s="567"/>
      <c r="CZ282" s="567"/>
      <c r="DA282" s="567"/>
      <c r="DB282" s="567"/>
      <c r="DC282" s="567"/>
      <c r="DD282" s="567"/>
      <c r="DE282" s="567"/>
      <c r="DF282" s="567"/>
      <c r="DG282" s="567"/>
      <c r="DH282" s="567"/>
      <c r="DI282" s="567"/>
      <c r="DJ282" s="567"/>
      <c r="DK282" s="567"/>
      <c r="DL282" s="567"/>
      <c r="DM282" s="567"/>
      <c r="DN282" s="567"/>
      <c r="DO282" s="567"/>
      <c r="DP282" s="567"/>
      <c r="DQ282" s="567"/>
    </row>
    <row r="283" spans="1:121" s="487" customFormat="1">
      <c r="A283" s="588"/>
      <c r="B283" s="588"/>
      <c r="C283" s="588"/>
      <c r="D283" s="588"/>
      <c r="E283" s="588"/>
      <c r="F283" s="588"/>
      <c r="G283" s="588"/>
      <c r="H283" s="588"/>
      <c r="I283" s="588"/>
      <c r="J283" s="588"/>
      <c r="K283" s="588"/>
      <c r="L283" s="702"/>
      <c r="M283" s="888"/>
      <c r="N283" s="888"/>
      <c r="O283" s="888"/>
      <c r="P283" s="888"/>
      <c r="Q283" s="888"/>
      <c r="R283" s="888"/>
      <c r="S283" s="888"/>
      <c r="T283" s="888"/>
      <c r="U283" s="888"/>
      <c r="V283" s="888"/>
      <c r="W283" s="888"/>
      <c r="X283" s="888"/>
      <c r="Y283" s="888"/>
      <c r="Z283" s="888"/>
      <c r="AA283" s="888"/>
      <c r="AB283" s="888"/>
      <c r="AC283" s="888"/>
      <c r="AD283" s="888"/>
      <c r="AE283" s="888"/>
      <c r="AF283" s="888"/>
      <c r="AG283" s="888"/>
      <c r="AH283" s="888"/>
      <c r="AI283" s="888"/>
      <c r="AJ283" s="888"/>
      <c r="AK283" s="888"/>
      <c r="AL283" s="888"/>
      <c r="AM283" s="888"/>
      <c r="AN283" s="888"/>
      <c r="AO283" s="888"/>
      <c r="AP283" s="888"/>
      <c r="AQ283" s="888"/>
      <c r="AR283" s="888"/>
      <c r="AS283" s="888"/>
      <c r="AT283" s="888"/>
      <c r="AU283" s="888"/>
      <c r="AV283" s="888"/>
      <c r="AW283" s="888"/>
      <c r="AX283" s="888"/>
      <c r="AY283" s="888"/>
      <c r="AZ283" s="567"/>
      <c r="BA283" s="567"/>
      <c r="BB283" s="567"/>
      <c r="BC283" s="567"/>
      <c r="BD283" s="567"/>
      <c r="BE283" s="567"/>
      <c r="BF283" s="567"/>
      <c r="BG283" s="567"/>
      <c r="BH283" s="567"/>
      <c r="BI283" s="567"/>
      <c r="BJ283" s="567"/>
      <c r="BK283" s="567"/>
      <c r="BL283" s="567"/>
      <c r="BM283" s="567"/>
      <c r="BN283" s="567"/>
      <c r="BO283" s="567"/>
      <c r="BP283" s="567"/>
      <c r="BQ283" s="567"/>
      <c r="BR283" s="567"/>
      <c r="BS283" s="567"/>
      <c r="BT283" s="567"/>
      <c r="BU283" s="567"/>
      <c r="BV283" s="567"/>
      <c r="BW283" s="567"/>
      <c r="BX283" s="567"/>
      <c r="BY283" s="567"/>
      <c r="BZ283" s="567"/>
      <c r="CA283" s="567"/>
      <c r="CB283" s="567"/>
      <c r="CC283" s="567"/>
      <c r="CD283" s="567"/>
      <c r="CE283" s="567"/>
      <c r="CF283" s="567"/>
      <c r="CG283" s="567"/>
      <c r="CH283" s="567"/>
      <c r="CI283" s="567"/>
      <c r="CJ283" s="567"/>
      <c r="CK283" s="567"/>
      <c r="CL283" s="567"/>
      <c r="CM283" s="567"/>
      <c r="CN283" s="567"/>
      <c r="CO283" s="567"/>
      <c r="CP283" s="567"/>
      <c r="CQ283" s="567"/>
      <c r="CR283" s="567"/>
      <c r="CS283" s="567"/>
      <c r="CT283" s="567"/>
      <c r="CU283" s="567"/>
      <c r="CV283" s="567"/>
      <c r="CW283" s="567"/>
      <c r="CX283" s="567"/>
      <c r="CY283" s="567"/>
      <c r="CZ283" s="567"/>
      <c r="DA283" s="567"/>
      <c r="DB283" s="567"/>
      <c r="DC283" s="567"/>
      <c r="DD283" s="567"/>
      <c r="DE283" s="567"/>
      <c r="DF283" s="567"/>
      <c r="DG283" s="567"/>
      <c r="DH283" s="567"/>
      <c r="DI283" s="567"/>
      <c r="DJ283" s="567"/>
      <c r="DK283" s="567"/>
      <c r="DL283" s="567"/>
      <c r="DM283" s="567"/>
      <c r="DN283" s="567"/>
      <c r="DO283" s="567"/>
      <c r="DP283" s="567"/>
      <c r="DQ283" s="567"/>
    </row>
    <row r="284" spans="1:121" s="487" customFormat="1">
      <c r="A284" s="588"/>
      <c r="B284" s="588"/>
      <c r="C284" s="588"/>
      <c r="D284" s="588"/>
      <c r="E284" s="588"/>
      <c r="F284" s="588"/>
      <c r="G284" s="588"/>
      <c r="H284" s="588"/>
      <c r="I284" s="588"/>
      <c r="J284" s="588"/>
      <c r="K284" s="588"/>
      <c r="L284" s="702"/>
      <c r="M284" s="888"/>
      <c r="N284" s="888"/>
      <c r="O284" s="888"/>
      <c r="P284" s="888"/>
      <c r="Q284" s="888"/>
      <c r="R284" s="888"/>
      <c r="S284" s="888"/>
      <c r="T284" s="888"/>
      <c r="U284" s="888"/>
      <c r="V284" s="888"/>
      <c r="W284" s="888"/>
      <c r="X284" s="888"/>
      <c r="Y284" s="888"/>
      <c r="Z284" s="888"/>
      <c r="AA284" s="888"/>
      <c r="AB284" s="888"/>
      <c r="AC284" s="888"/>
      <c r="AD284" s="888"/>
      <c r="AE284" s="888"/>
      <c r="AF284" s="888"/>
      <c r="AG284" s="888"/>
      <c r="AH284" s="888"/>
      <c r="AI284" s="888"/>
      <c r="AJ284" s="888"/>
      <c r="AK284" s="888"/>
      <c r="AL284" s="888"/>
      <c r="AM284" s="888"/>
      <c r="AN284" s="888"/>
      <c r="AO284" s="888"/>
      <c r="AP284" s="888"/>
      <c r="AQ284" s="888"/>
      <c r="AR284" s="888"/>
      <c r="AS284" s="888"/>
      <c r="AT284" s="888"/>
      <c r="AU284" s="888"/>
      <c r="AV284" s="888"/>
      <c r="AW284" s="888"/>
      <c r="AX284" s="888"/>
      <c r="AY284" s="888"/>
      <c r="AZ284" s="567"/>
      <c r="BA284" s="567"/>
      <c r="BB284" s="567"/>
      <c r="BC284" s="567"/>
      <c r="BD284" s="567"/>
      <c r="BE284" s="567"/>
      <c r="BF284" s="567"/>
      <c r="BG284" s="567"/>
      <c r="BH284" s="567"/>
      <c r="BI284" s="567"/>
      <c r="BJ284" s="567"/>
      <c r="BK284" s="567"/>
      <c r="BL284" s="567"/>
      <c r="BM284" s="567"/>
      <c r="BN284" s="567"/>
      <c r="BO284" s="567"/>
      <c r="BP284" s="567"/>
      <c r="BQ284" s="567"/>
      <c r="BR284" s="567"/>
      <c r="BS284" s="567"/>
      <c r="BT284" s="567"/>
      <c r="BU284" s="567"/>
      <c r="BV284" s="567"/>
      <c r="BW284" s="567"/>
      <c r="BX284" s="567"/>
      <c r="BY284" s="567"/>
      <c r="BZ284" s="567"/>
      <c r="CA284" s="567"/>
      <c r="CB284" s="567"/>
      <c r="CC284" s="567"/>
      <c r="CD284" s="567"/>
      <c r="CE284" s="567"/>
      <c r="CF284" s="567"/>
      <c r="CG284" s="567"/>
      <c r="CH284" s="567"/>
      <c r="CI284" s="567"/>
      <c r="CJ284" s="567"/>
      <c r="CK284" s="567"/>
      <c r="CL284" s="567"/>
      <c r="CM284" s="567"/>
      <c r="CN284" s="567"/>
      <c r="CO284" s="567"/>
      <c r="CP284" s="567"/>
      <c r="CQ284" s="567"/>
      <c r="CR284" s="567"/>
      <c r="CS284" s="567"/>
      <c r="CT284" s="567"/>
      <c r="CU284" s="567"/>
      <c r="CV284" s="567"/>
      <c r="CW284" s="567"/>
      <c r="CX284" s="567"/>
      <c r="CY284" s="567"/>
      <c r="CZ284" s="567"/>
      <c r="DA284" s="567"/>
      <c r="DB284" s="567"/>
      <c r="DC284" s="567"/>
      <c r="DD284" s="567"/>
      <c r="DE284" s="567"/>
      <c r="DF284" s="567"/>
      <c r="DG284" s="567"/>
      <c r="DH284" s="567"/>
      <c r="DI284" s="567"/>
      <c r="DJ284" s="567"/>
      <c r="DK284" s="567"/>
      <c r="DL284" s="567"/>
      <c r="DM284" s="567"/>
      <c r="DN284" s="567"/>
      <c r="DO284" s="567"/>
      <c r="DP284" s="567"/>
      <c r="DQ284" s="567"/>
    </row>
    <row r="285" spans="1:121" s="487" customFormat="1">
      <c r="A285" s="588"/>
      <c r="B285" s="588"/>
      <c r="C285" s="588"/>
      <c r="D285" s="588"/>
      <c r="E285" s="588"/>
      <c r="F285" s="588"/>
      <c r="G285" s="588"/>
      <c r="H285" s="588"/>
      <c r="I285" s="588"/>
      <c r="J285" s="588"/>
      <c r="K285" s="588"/>
      <c r="L285" s="702"/>
      <c r="M285" s="888"/>
      <c r="N285" s="888"/>
      <c r="O285" s="888"/>
      <c r="P285" s="888"/>
      <c r="Q285" s="888"/>
      <c r="R285" s="888"/>
      <c r="S285" s="888"/>
      <c r="T285" s="888"/>
      <c r="U285" s="888"/>
      <c r="V285" s="888"/>
      <c r="W285" s="888"/>
      <c r="X285" s="888"/>
      <c r="Y285" s="888"/>
      <c r="Z285" s="888"/>
      <c r="AA285" s="888"/>
      <c r="AB285" s="888"/>
      <c r="AC285" s="888"/>
      <c r="AD285" s="888"/>
      <c r="AE285" s="888"/>
      <c r="AF285" s="888"/>
      <c r="AG285" s="888"/>
      <c r="AH285" s="888"/>
      <c r="AI285" s="888"/>
      <c r="AJ285" s="888"/>
      <c r="AK285" s="888"/>
      <c r="AL285" s="888"/>
      <c r="AM285" s="888"/>
      <c r="AN285" s="888"/>
      <c r="AO285" s="888"/>
      <c r="AP285" s="888"/>
      <c r="AQ285" s="888"/>
      <c r="AR285" s="888"/>
      <c r="AS285" s="888"/>
      <c r="AT285" s="888"/>
      <c r="AU285" s="888"/>
      <c r="AV285" s="888"/>
      <c r="AW285" s="888"/>
      <c r="AX285" s="888"/>
      <c r="AY285" s="888"/>
      <c r="AZ285" s="567"/>
      <c r="BA285" s="567"/>
      <c r="BB285" s="567"/>
      <c r="BC285" s="567"/>
      <c r="BD285" s="567"/>
      <c r="BE285" s="567"/>
      <c r="BF285" s="567"/>
      <c r="BG285" s="567"/>
      <c r="BH285" s="567"/>
      <c r="BI285" s="567"/>
      <c r="BJ285" s="567"/>
      <c r="BK285" s="567"/>
      <c r="BL285" s="567"/>
      <c r="BM285" s="567"/>
      <c r="BN285" s="567"/>
      <c r="BO285" s="567"/>
      <c r="BP285" s="567"/>
      <c r="BQ285" s="567"/>
      <c r="BR285" s="567"/>
      <c r="BS285" s="567"/>
      <c r="BT285" s="567"/>
      <c r="BU285" s="567"/>
      <c r="BV285" s="567"/>
      <c r="BW285" s="567"/>
      <c r="BX285" s="567"/>
      <c r="BY285" s="567"/>
      <c r="BZ285" s="567"/>
      <c r="CA285" s="567"/>
      <c r="CB285" s="567"/>
      <c r="CC285" s="567"/>
      <c r="CD285" s="567"/>
      <c r="CE285" s="567"/>
      <c r="CF285" s="567"/>
      <c r="CG285" s="567"/>
      <c r="CH285" s="567"/>
      <c r="CI285" s="567"/>
      <c r="CJ285" s="567"/>
      <c r="CK285" s="567"/>
      <c r="CL285" s="567"/>
      <c r="CM285" s="567"/>
      <c r="CN285" s="567"/>
      <c r="CO285" s="567"/>
      <c r="CP285" s="567"/>
      <c r="CQ285" s="567"/>
      <c r="CR285" s="567"/>
      <c r="CS285" s="567"/>
      <c r="CT285" s="567"/>
      <c r="CU285" s="567"/>
      <c r="CV285" s="567"/>
      <c r="CW285" s="567"/>
      <c r="CX285" s="567"/>
      <c r="CY285" s="567"/>
      <c r="CZ285" s="567"/>
      <c r="DA285" s="567"/>
      <c r="DB285" s="567"/>
      <c r="DC285" s="567"/>
      <c r="DD285" s="567"/>
      <c r="DE285" s="567"/>
      <c r="DF285" s="567"/>
      <c r="DG285" s="567"/>
      <c r="DH285" s="567"/>
      <c r="DI285" s="567"/>
      <c r="DJ285" s="567"/>
      <c r="DK285" s="567"/>
      <c r="DL285" s="567"/>
      <c r="DM285" s="567"/>
      <c r="DN285" s="567"/>
      <c r="DO285" s="567"/>
      <c r="DP285" s="567"/>
      <c r="DQ285" s="567"/>
    </row>
    <row r="286" spans="1:121" s="487" customFormat="1">
      <c r="A286" s="588"/>
      <c r="B286" s="588"/>
      <c r="C286" s="588"/>
      <c r="D286" s="588"/>
      <c r="E286" s="588"/>
      <c r="F286" s="588"/>
      <c r="G286" s="588"/>
      <c r="H286" s="588"/>
      <c r="I286" s="588"/>
      <c r="J286" s="588"/>
      <c r="K286" s="588"/>
      <c r="L286" s="702"/>
      <c r="M286" s="888"/>
      <c r="N286" s="888"/>
      <c r="O286" s="888"/>
      <c r="P286" s="888"/>
      <c r="Q286" s="888"/>
      <c r="R286" s="888"/>
      <c r="S286" s="888"/>
      <c r="T286" s="888"/>
      <c r="U286" s="888"/>
      <c r="V286" s="888"/>
      <c r="W286" s="888"/>
      <c r="X286" s="888"/>
      <c r="Y286" s="888"/>
      <c r="Z286" s="888"/>
      <c r="AA286" s="888"/>
      <c r="AB286" s="888"/>
      <c r="AC286" s="888"/>
      <c r="AD286" s="888"/>
      <c r="AE286" s="888"/>
      <c r="AF286" s="888"/>
      <c r="AG286" s="888"/>
      <c r="AH286" s="888"/>
      <c r="AI286" s="888"/>
      <c r="AJ286" s="888"/>
      <c r="AK286" s="888"/>
      <c r="AL286" s="888"/>
      <c r="AM286" s="888"/>
      <c r="AN286" s="888"/>
      <c r="AO286" s="888"/>
      <c r="AP286" s="888"/>
      <c r="AQ286" s="888"/>
      <c r="AR286" s="888"/>
      <c r="AS286" s="888"/>
      <c r="AT286" s="888"/>
      <c r="AU286" s="888"/>
      <c r="AV286" s="888"/>
      <c r="AW286" s="888"/>
      <c r="AX286" s="888"/>
      <c r="AY286" s="888"/>
      <c r="AZ286" s="567"/>
      <c r="BA286" s="567"/>
      <c r="BB286" s="567"/>
      <c r="BC286" s="567"/>
      <c r="BD286" s="567"/>
      <c r="BE286" s="567"/>
      <c r="BF286" s="567"/>
      <c r="BG286" s="567"/>
      <c r="BH286" s="567"/>
      <c r="BI286" s="567"/>
      <c r="BJ286" s="567"/>
      <c r="BK286" s="567"/>
      <c r="BL286" s="567"/>
      <c r="BM286" s="567"/>
      <c r="BN286" s="567"/>
      <c r="BO286" s="567"/>
      <c r="BP286" s="567"/>
      <c r="BQ286" s="567"/>
      <c r="BR286" s="567"/>
      <c r="BS286" s="567"/>
      <c r="BT286" s="567"/>
      <c r="BU286" s="567"/>
      <c r="BV286" s="567"/>
      <c r="BW286" s="567"/>
      <c r="BX286" s="567"/>
      <c r="BY286" s="567"/>
      <c r="BZ286" s="567"/>
      <c r="CA286" s="567"/>
      <c r="CB286" s="567"/>
      <c r="CC286" s="567"/>
      <c r="CD286" s="567"/>
      <c r="CE286" s="567"/>
      <c r="CF286" s="567"/>
      <c r="CG286" s="567"/>
      <c r="CH286" s="567"/>
      <c r="CI286" s="567"/>
      <c r="CJ286" s="567"/>
      <c r="CK286" s="567"/>
      <c r="CL286" s="567"/>
      <c r="CM286" s="567"/>
      <c r="CN286" s="567"/>
      <c r="CO286" s="567"/>
      <c r="CP286" s="567"/>
      <c r="CQ286" s="567"/>
      <c r="CR286" s="567"/>
      <c r="CS286" s="567"/>
      <c r="CT286" s="567"/>
      <c r="CU286" s="567"/>
      <c r="CV286" s="567"/>
      <c r="CW286" s="567"/>
      <c r="CX286" s="567"/>
      <c r="CY286" s="567"/>
      <c r="CZ286" s="567"/>
      <c r="DA286" s="567"/>
      <c r="DB286" s="567"/>
      <c r="DC286" s="567"/>
      <c r="DD286" s="567"/>
      <c r="DE286" s="567"/>
      <c r="DF286" s="567"/>
      <c r="DG286" s="567"/>
      <c r="DH286" s="567"/>
      <c r="DI286" s="567"/>
      <c r="DJ286" s="567"/>
      <c r="DK286" s="567"/>
      <c r="DL286" s="567"/>
      <c r="DM286" s="567"/>
      <c r="DN286" s="567"/>
      <c r="DO286" s="567"/>
      <c r="DP286" s="567"/>
      <c r="DQ286" s="567"/>
    </row>
    <row r="287" spans="1:121" s="487" customFormat="1">
      <c r="A287" s="588"/>
      <c r="B287" s="588"/>
      <c r="C287" s="588"/>
      <c r="D287" s="588"/>
      <c r="E287" s="588"/>
      <c r="F287" s="588"/>
      <c r="G287" s="588"/>
      <c r="H287" s="588"/>
      <c r="I287" s="588"/>
      <c r="J287" s="588"/>
      <c r="K287" s="588"/>
      <c r="L287" s="702"/>
      <c r="M287" s="888"/>
      <c r="N287" s="888"/>
      <c r="O287" s="888"/>
      <c r="P287" s="888"/>
      <c r="Q287" s="888"/>
      <c r="R287" s="888"/>
      <c r="S287" s="888"/>
      <c r="T287" s="888"/>
      <c r="U287" s="888"/>
      <c r="V287" s="888"/>
      <c r="W287" s="888"/>
      <c r="X287" s="888"/>
      <c r="Y287" s="888"/>
      <c r="Z287" s="888"/>
      <c r="AA287" s="888"/>
      <c r="AB287" s="888"/>
      <c r="AC287" s="888"/>
      <c r="AD287" s="888"/>
      <c r="AE287" s="888"/>
      <c r="AF287" s="888"/>
      <c r="AG287" s="888"/>
      <c r="AH287" s="888"/>
      <c r="AI287" s="888"/>
      <c r="AJ287" s="888"/>
      <c r="AK287" s="888"/>
      <c r="AL287" s="888"/>
      <c r="AM287" s="888"/>
      <c r="AN287" s="888"/>
      <c r="AO287" s="888"/>
      <c r="AP287" s="888"/>
      <c r="AQ287" s="888"/>
      <c r="AR287" s="888"/>
      <c r="AS287" s="888"/>
      <c r="AT287" s="888"/>
      <c r="AU287" s="888"/>
      <c r="AV287" s="888"/>
      <c r="AW287" s="888"/>
      <c r="AX287" s="888"/>
      <c r="AY287" s="888"/>
      <c r="AZ287" s="567"/>
      <c r="BA287" s="567"/>
      <c r="BB287" s="567"/>
      <c r="BC287" s="567"/>
      <c r="BD287" s="567"/>
      <c r="BE287" s="567"/>
      <c r="BF287" s="567"/>
      <c r="BG287" s="567"/>
      <c r="BH287" s="567"/>
      <c r="BI287" s="567"/>
      <c r="BJ287" s="567"/>
      <c r="BK287" s="567"/>
      <c r="BL287" s="567"/>
      <c r="BM287" s="567"/>
      <c r="BN287" s="567"/>
      <c r="BO287" s="567"/>
      <c r="BP287" s="567"/>
      <c r="BQ287" s="567"/>
      <c r="BR287" s="567"/>
      <c r="BS287" s="567"/>
      <c r="BT287" s="567"/>
      <c r="BU287" s="567"/>
      <c r="BV287" s="567"/>
      <c r="BW287" s="567"/>
      <c r="BX287" s="567"/>
      <c r="BY287" s="567"/>
      <c r="BZ287" s="567"/>
      <c r="CA287" s="567"/>
      <c r="CB287" s="567"/>
      <c r="CC287" s="567"/>
      <c r="CD287" s="567"/>
      <c r="CE287" s="567"/>
      <c r="CF287" s="567"/>
      <c r="CG287" s="567"/>
      <c r="CH287" s="567"/>
      <c r="CI287" s="567"/>
      <c r="CJ287" s="567"/>
      <c r="CK287" s="567"/>
      <c r="CL287" s="567"/>
      <c r="CM287" s="567"/>
      <c r="CN287" s="567"/>
      <c r="CO287" s="567"/>
      <c r="CP287" s="567"/>
      <c r="CQ287" s="567"/>
      <c r="CR287" s="567"/>
      <c r="CS287" s="567"/>
      <c r="CT287" s="567"/>
      <c r="CU287" s="567"/>
      <c r="CV287" s="567"/>
      <c r="CW287" s="567"/>
      <c r="CX287" s="567"/>
      <c r="CY287" s="567"/>
      <c r="CZ287" s="567"/>
      <c r="DA287" s="567"/>
      <c r="DB287" s="567"/>
      <c r="DC287" s="567"/>
      <c r="DD287" s="567"/>
      <c r="DE287" s="567"/>
      <c r="DF287" s="567"/>
      <c r="DG287" s="567"/>
      <c r="DH287" s="567"/>
      <c r="DI287" s="567"/>
      <c r="DJ287" s="567"/>
      <c r="DK287" s="567"/>
      <c r="DL287" s="567"/>
      <c r="DM287" s="567"/>
      <c r="DN287" s="567"/>
      <c r="DO287" s="567"/>
      <c r="DP287" s="567"/>
      <c r="DQ287" s="567"/>
    </row>
    <row r="288" spans="1:121" s="487" customFormat="1">
      <c r="A288" s="588"/>
      <c r="B288" s="588"/>
      <c r="C288" s="588"/>
      <c r="D288" s="588"/>
      <c r="E288" s="588"/>
      <c r="F288" s="588"/>
      <c r="G288" s="588"/>
      <c r="H288" s="588"/>
      <c r="I288" s="588"/>
      <c r="J288" s="588"/>
      <c r="K288" s="588"/>
      <c r="L288" s="702"/>
      <c r="M288" s="888"/>
      <c r="N288" s="888"/>
      <c r="O288" s="888"/>
      <c r="P288" s="888"/>
      <c r="Q288" s="888"/>
      <c r="R288" s="888"/>
      <c r="S288" s="888"/>
      <c r="T288" s="888"/>
      <c r="U288" s="888"/>
      <c r="V288" s="888"/>
      <c r="W288" s="888"/>
      <c r="X288" s="888"/>
      <c r="Y288" s="888"/>
      <c r="Z288" s="888"/>
      <c r="AA288" s="888"/>
      <c r="AB288" s="888"/>
      <c r="AC288" s="888"/>
      <c r="AD288" s="888"/>
      <c r="AE288" s="888"/>
      <c r="AF288" s="888"/>
      <c r="AG288" s="888"/>
      <c r="AH288" s="888"/>
      <c r="AI288" s="888"/>
      <c r="AJ288" s="888"/>
      <c r="AK288" s="888"/>
      <c r="AL288" s="888"/>
      <c r="AM288" s="888"/>
      <c r="AN288" s="888"/>
      <c r="AO288" s="888"/>
      <c r="AP288" s="888"/>
      <c r="AQ288" s="888"/>
      <c r="AR288" s="888"/>
      <c r="AS288" s="888"/>
      <c r="AT288" s="888"/>
      <c r="AU288" s="888"/>
      <c r="AV288" s="888"/>
      <c r="AW288" s="888"/>
      <c r="AX288" s="888"/>
      <c r="AY288" s="888"/>
      <c r="AZ288" s="567"/>
      <c r="BA288" s="567"/>
      <c r="BB288" s="567"/>
      <c r="BC288" s="567"/>
      <c r="BD288" s="567"/>
      <c r="BE288" s="567"/>
      <c r="BF288" s="567"/>
      <c r="BG288" s="567"/>
      <c r="BH288" s="567"/>
      <c r="BI288" s="567"/>
      <c r="BJ288" s="567"/>
      <c r="BK288" s="567"/>
      <c r="BL288" s="567"/>
      <c r="BM288" s="567"/>
      <c r="BN288" s="567"/>
      <c r="BO288" s="567"/>
      <c r="BP288" s="567"/>
      <c r="BQ288" s="567"/>
      <c r="BR288" s="567"/>
      <c r="BS288" s="567"/>
      <c r="BT288" s="567"/>
      <c r="BU288" s="567"/>
      <c r="BV288" s="567"/>
      <c r="BW288" s="567"/>
      <c r="BX288" s="567"/>
      <c r="BY288" s="567"/>
      <c r="BZ288" s="567"/>
      <c r="CA288" s="567"/>
      <c r="CB288" s="567"/>
      <c r="CC288" s="567"/>
      <c r="CD288" s="567"/>
      <c r="CE288" s="567"/>
      <c r="CF288" s="567"/>
      <c r="CG288" s="567"/>
      <c r="CH288" s="567"/>
      <c r="CI288" s="567"/>
      <c r="CJ288" s="567"/>
      <c r="CK288" s="567"/>
      <c r="CL288" s="567"/>
      <c r="CM288" s="567"/>
      <c r="CN288" s="567"/>
      <c r="CO288" s="567"/>
      <c r="CP288" s="567"/>
      <c r="CQ288" s="567"/>
      <c r="CR288" s="567"/>
      <c r="CS288" s="567"/>
      <c r="CT288" s="567"/>
      <c r="CU288" s="567"/>
      <c r="CV288" s="567"/>
      <c r="CW288" s="567"/>
      <c r="CX288" s="567"/>
      <c r="CY288" s="567"/>
      <c r="CZ288" s="567"/>
      <c r="DA288" s="567"/>
      <c r="DB288" s="567"/>
      <c r="DC288" s="567"/>
      <c r="DD288" s="567"/>
      <c r="DE288" s="567"/>
      <c r="DF288" s="567"/>
      <c r="DG288" s="567"/>
      <c r="DH288" s="567"/>
      <c r="DI288" s="567"/>
      <c r="DJ288" s="567"/>
      <c r="DK288" s="567"/>
      <c r="DL288" s="567"/>
      <c r="DM288" s="567"/>
      <c r="DN288" s="567"/>
      <c r="DO288" s="567"/>
      <c r="DP288" s="567"/>
      <c r="DQ288" s="567"/>
    </row>
    <row r="289" spans="1:121" s="487" customFormat="1">
      <c r="A289" s="588"/>
      <c r="B289" s="588"/>
      <c r="C289" s="588"/>
      <c r="D289" s="588"/>
      <c r="E289" s="588"/>
      <c r="F289" s="588"/>
      <c r="G289" s="588"/>
      <c r="H289" s="588"/>
      <c r="I289" s="588"/>
      <c r="J289" s="588"/>
      <c r="K289" s="588"/>
      <c r="L289" s="702"/>
      <c r="M289" s="888"/>
      <c r="N289" s="888"/>
      <c r="O289" s="888"/>
      <c r="P289" s="888"/>
      <c r="Q289" s="888"/>
      <c r="R289" s="888"/>
      <c r="S289" s="888"/>
      <c r="T289" s="888"/>
      <c r="U289" s="888"/>
      <c r="V289" s="888"/>
      <c r="W289" s="888"/>
      <c r="X289" s="888"/>
      <c r="Y289" s="888"/>
      <c r="Z289" s="888"/>
      <c r="AA289" s="888"/>
      <c r="AB289" s="888"/>
      <c r="AC289" s="888"/>
      <c r="AD289" s="888"/>
      <c r="AE289" s="888"/>
      <c r="AF289" s="888"/>
      <c r="AG289" s="888"/>
      <c r="AH289" s="888"/>
      <c r="AI289" s="888"/>
      <c r="AJ289" s="888"/>
      <c r="AK289" s="888"/>
      <c r="AL289" s="888"/>
      <c r="AM289" s="888"/>
      <c r="AN289" s="888"/>
      <c r="AO289" s="888"/>
      <c r="AP289" s="888"/>
      <c r="AQ289" s="888"/>
      <c r="AR289" s="888"/>
      <c r="AS289" s="888"/>
      <c r="AT289" s="888"/>
      <c r="AU289" s="888"/>
      <c r="AV289" s="888"/>
      <c r="AW289" s="888"/>
      <c r="AX289" s="888"/>
      <c r="AY289" s="888"/>
      <c r="AZ289" s="567"/>
      <c r="BA289" s="567"/>
      <c r="BB289" s="567"/>
      <c r="BC289" s="567"/>
      <c r="BD289" s="567"/>
      <c r="BE289" s="567"/>
      <c r="BF289" s="567"/>
      <c r="BG289" s="567"/>
      <c r="BH289" s="567"/>
      <c r="BI289" s="567"/>
      <c r="BJ289" s="567"/>
      <c r="BK289" s="567"/>
      <c r="BL289" s="567"/>
      <c r="BM289" s="567"/>
      <c r="BN289" s="567"/>
      <c r="BO289" s="567"/>
      <c r="BP289" s="567"/>
      <c r="BQ289" s="567"/>
      <c r="BR289" s="567"/>
      <c r="BS289" s="567"/>
      <c r="BT289" s="567"/>
      <c r="BU289" s="567"/>
      <c r="BV289" s="567"/>
      <c r="BW289" s="567"/>
      <c r="BX289" s="567"/>
      <c r="BY289" s="567"/>
      <c r="BZ289" s="567"/>
      <c r="CA289" s="567"/>
      <c r="CB289" s="567"/>
      <c r="CC289" s="567"/>
      <c r="CD289" s="567"/>
      <c r="CE289" s="567"/>
      <c r="CF289" s="567"/>
      <c r="CG289" s="567"/>
      <c r="CH289" s="567"/>
      <c r="CI289" s="567"/>
      <c r="CJ289" s="567"/>
      <c r="CK289" s="567"/>
      <c r="CL289" s="567"/>
      <c r="CM289" s="567"/>
      <c r="CN289" s="567"/>
      <c r="CO289" s="567"/>
      <c r="CP289" s="567"/>
      <c r="CQ289" s="567"/>
      <c r="CR289" s="567"/>
      <c r="CS289" s="567"/>
      <c r="CT289" s="567"/>
      <c r="CU289" s="567"/>
      <c r="CV289" s="567"/>
      <c r="CW289" s="567"/>
      <c r="CX289" s="567"/>
      <c r="CY289" s="567"/>
      <c r="CZ289" s="567"/>
      <c r="DA289" s="567"/>
      <c r="DB289" s="567"/>
      <c r="DC289" s="567"/>
      <c r="DD289" s="567"/>
      <c r="DE289" s="567"/>
      <c r="DF289" s="567"/>
      <c r="DG289" s="567"/>
      <c r="DH289" s="567"/>
      <c r="DI289" s="567"/>
      <c r="DJ289" s="567"/>
      <c r="DK289" s="567"/>
      <c r="DL289" s="567"/>
      <c r="DM289" s="567"/>
      <c r="DN289" s="567"/>
      <c r="DO289" s="567"/>
      <c r="DP289" s="567"/>
      <c r="DQ289" s="567"/>
    </row>
    <row r="290" spans="1:121" s="487" customFormat="1">
      <c r="A290" s="588"/>
      <c r="B290" s="588"/>
      <c r="C290" s="588"/>
      <c r="D290" s="588"/>
      <c r="E290" s="588"/>
      <c r="F290" s="588"/>
      <c r="G290" s="588"/>
      <c r="H290" s="588"/>
      <c r="I290" s="588"/>
      <c r="J290" s="588"/>
      <c r="K290" s="588"/>
      <c r="L290" s="702"/>
      <c r="M290" s="888"/>
      <c r="N290" s="888"/>
      <c r="O290" s="888"/>
      <c r="P290" s="888"/>
      <c r="Q290" s="888"/>
      <c r="R290" s="888"/>
      <c r="S290" s="888"/>
      <c r="T290" s="888"/>
      <c r="U290" s="888"/>
      <c r="V290" s="888"/>
      <c r="W290" s="888"/>
      <c r="X290" s="888"/>
      <c r="Y290" s="888"/>
      <c r="Z290" s="888"/>
      <c r="AA290" s="888"/>
      <c r="AB290" s="888"/>
      <c r="AC290" s="888"/>
      <c r="AD290" s="888"/>
      <c r="AE290" s="888"/>
      <c r="AF290" s="888"/>
      <c r="AG290" s="888"/>
      <c r="AH290" s="888"/>
      <c r="AI290" s="888"/>
      <c r="AJ290" s="888"/>
      <c r="AK290" s="888"/>
      <c r="AL290" s="888"/>
      <c r="AM290" s="888"/>
      <c r="AN290" s="888"/>
      <c r="AO290" s="888"/>
      <c r="AP290" s="888"/>
      <c r="AQ290" s="888"/>
      <c r="AR290" s="888"/>
      <c r="AS290" s="888"/>
      <c r="AT290" s="888"/>
      <c r="AU290" s="888"/>
      <c r="AV290" s="888"/>
      <c r="AW290" s="888"/>
      <c r="AX290" s="888"/>
      <c r="AY290" s="888"/>
      <c r="AZ290" s="567"/>
      <c r="BA290" s="567"/>
      <c r="BB290" s="567"/>
      <c r="BC290" s="567"/>
      <c r="BD290" s="567"/>
      <c r="BE290" s="567"/>
      <c r="BF290" s="567"/>
      <c r="BG290" s="567"/>
      <c r="BH290" s="567"/>
      <c r="BI290" s="567"/>
      <c r="BJ290" s="567"/>
      <c r="BK290" s="567"/>
      <c r="BL290" s="567"/>
      <c r="BM290" s="567"/>
      <c r="BN290" s="567"/>
      <c r="BO290" s="567"/>
      <c r="BP290" s="567"/>
      <c r="BQ290" s="567"/>
      <c r="BR290" s="567"/>
      <c r="BS290" s="567"/>
      <c r="BT290" s="567"/>
      <c r="BU290" s="567"/>
      <c r="BV290" s="567"/>
      <c r="BW290" s="567"/>
      <c r="BX290" s="567"/>
      <c r="BY290" s="567"/>
      <c r="BZ290" s="567"/>
      <c r="CA290" s="567"/>
      <c r="CB290" s="567"/>
      <c r="CC290" s="567"/>
      <c r="CD290" s="567"/>
      <c r="CE290" s="567"/>
      <c r="CF290" s="567"/>
      <c r="CG290" s="567"/>
      <c r="CH290" s="567"/>
      <c r="CI290" s="567"/>
      <c r="CJ290" s="567"/>
      <c r="CK290" s="567"/>
      <c r="CL290" s="567"/>
      <c r="CM290" s="567"/>
      <c r="CN290" s="567"/>
      <c r="CO290" s="567"/>
      <c r="CP290" s="567"/>
      <c r="CQ290" s="567"/>
      <c r="CR290" s="567"/>
      <c r="CS290" s="567"/>
      <c r="CT290" s="567"/>
      <c r="CU290" s="567"/>
      <c r="CV290" s="567"/>
      <c r="CW290" s="567"/>
      <c r="CX290" s="567"/>
      <c r="CY290" s="567"/>
      <c r="CZ290" s="567"/>
      <c r="DA290" s="567"/>
      <c r="DB290" s="567"/>
      <c r="DC290" s="567"/>
      <c r="DD290" s="567"/>
      <c r="DE290" s="567"/>
      <c r="DF290" s="567"/>
      <c r="DG290" s="567"/>
      <c r="DH290" s="567"/>
      <c r="DI290" s="567"/>
      <c r="DJ290" s="567"/>
      <c r="DK290" s="567"/>
      <c r="DL290" s="567"/>
      <c r="DM290" s="567"/>
      <c r="DN290" s="567"/>
      <c r="DO290" s="567"/>
      <c r="DP290" s="567"/>
      <c r="DQ290" s="567"/>
    </row>
    <row r="291" spans="1:121" s="487" customFormat="1">
      <c r="A291" s="588"/>
      <c r="B291" s="588"/>
      <c r="C291" s="588"/>
      <c r="D291" s="588"/>
      <c r="E291" s="588"/>
      <c r="F291" s="588"/>
      <c r="G291" s="588"/>
      <c r="H291" s="588"/>
      <c r="I291" s="588"/>
      <c r="J291" s="588"/>
      <c r="K291" s="588"/>
      <c r="L291" s="702"/>
      <c r="M291" s="888"/>
      <c r="N291" s="888"/>
      <c r="O291" s="888"/>
      <c r="P291" s="888"/>
      <c r="Q291" s="888"/>
      <c r="R291" s="888"/>
      <c r="S291" s="888"/>
      <c r="T291" s="888"/>
      <c r="U291" s="888"/>
      <c r="V291" s="888"/>
      <c r="W291" s="888"/>
      <c r="X291" s="888"/>
      <c r="Y291" s="888"/>
      <c r="Z291" s="888"/>
      <c r="AA291" s="888"/>
      <c r="AB291" s="888"/>
      <c r="AC291" s="888"/>
      <c r="AD291" s="888"/>
      <c r="AE291" s="888"/>
      <c r="AF291" s="888"/>
      <c r="AG291" s="888"/>
      <c r="AH291" s="888"/>
      <c r="AI291" s="888"/>
      <c r="AJ291" s="888"/>
      <c r="AK291" s="888"/>
      <c r="AL291" s="888"/>
      <c r="AM291" s="888"/>
      <c r="AN291" s="888"/>
      <c r="AO291" s="888"/>
      <c r="AP291" s="888"/>
      <c r="AQ291" s="888"/>
      <c r="AR291" s="888"/>
      <c r="AS291" s="888"/>
      <c r="AT291" s="888"/>
      <c r="AU291" s="888"/>
      <c r="AV291" s="888"/>
      <c r="AW291" s="888"/>
      <c r="AX291" s="888"/>
      <c r="AY291" s="888"/>
      <c r="AZ291" s="567"/>
      <c r="BA291" s="567"/>
      <c r="BB291" s="567"/>
      <c r="BC291" s="567"/>
      <c r="BD291" s="567"/>
      <c r="BE291" s="567"/>
      <c r="BF291" s="567"/>
      <c r="BG291" s="567"/>
      <c r="BH291" s="567"/>
      <c r="BI291" s="567"/>
      <c r="BJ291" s="567"/>
      <c r="BK291" s="567"/>
      <c r="BL291" s="567"/>
      <c r="BM291" s="567"/>
      <c r="BN291" s="567"/>
      <c r="BO291" s="567"/>
      <c r="BP291" s="567"/>
      <c r="BQ291" s="567"/>
      <c r="BR291" s="567"/>
      <c r="BS291" s="567"/>
      <c r="BT291" s="567"/>
      <c r="BU291" s="567"/>
      <c r="BV291" s="567"/>
      <c r="BW291" s="567"/>
      <c r="BX291" s="567"/>
      <c r="BY291" s="567"/>
      <c r="BZ291" s="567"/>
      <c r="CA291" s="567"/>
      <c r="CB291" s="567"/>
      <c r="CC291" s="567"/>
      <c r="CD291" s="567"/>
      <c r="CE291" s="567"/>
      <c r="CF291" s="567"/>
      <c r="CG291" s="567"/>
      <c r="CH291" s="567"/>
      <c r="CI291" s="567"/>
      <c r="CJ291" s="567"/>
      <c r="CK291" s="567"/>
      <c r="CL291" s="567"/>
      <c r="CM291" s="567"/>
      <c r="CN291" s="567"/>
      <c r="CO291" s="567"/>
      <c r="CP291" s="567"/>
      <c r="CQ291" s="567"/>
      <c r="CR291" s="567"/>
      <c r="CS291" s="567"/>
      <c r="CT291" s="567"/>
      <c r="CU291" s="567"/>
      <c r="CV291" s="567"/>
      <c r="CW291" s="567"/>
      <c r="CX291" s="567"/>
      <c r="CY291" s="567"/>
      <c r="CZ291" s="567"/>
      <c r="DA291" s="567"/>
      <c r="DB291" s="567"/>
      <c r="DC291" s="567"/>
      <c r="DD291" s="567"/>
      <c r="DE291" s="567"/>
      <c r="DF291" s="567"/>
      <c r="DG291" s="567"/>
      <c r="DH291" s="567"/>
      <c r="DI291" s="567"/>
      <c r="DJ291" s="567"/>
      <c r="DK291" s="567"/>
      <c r="DL291" s="567"/>
      <c r="DM291" s="567"/>
      <c r="DN291" s="567"/>
      <c r="DO291" s="567"/>
      <c r="DP291" s="567"/>
      <c r="DQ291" s="567"/>
    </row>
    <row r="292" spans="1:121" s="487" customFormat="1">
      <c r="A292" s="588"/>
      <c r="B292" s="588"/>
      <c r="C292" s="588"/>
      <c r="D292" s="588"/>
      <c r="E292" s="588"/>
      <c r="F292" s="588"/>
      <c r="G292" s="588"/>
      <c r="H292" s="588"/>
      <c r="I292" s="588"/>
      <c r="J292" s="588"/>
      <c r="K292" s="588"/>
      <c r="L292" s="702"/>
      <c r="M292" s="888"/>
      <c r="N292" s="888"/>
      <c r="O292" s="888"/>
      <c r="P292" s="888"/>
      <c r="Q292" s="888"/>
      <c r="R292" s="888"/>
      <c r="S292" s="888"/>
      <c r="T292" s="888"/>
      <c r="U292" s="888"/>
      <c r="V292" s="888"/>
      <c r="W292" s="888"/>
      <c r="X292" s="888"/>
      <c r="Y292" s="888"/>
      <c r="Z292" s="888"/>
      <c r="AA292" s="888"/>
      <c r="AB292" s="888"/>
      <c r="AC292" s="888"/>
      <c r="AD292" s="888"/>
      <c r="AE292" s="888"/>
      <c r="AF292" s="888"/>
      <c r="AG292" s="888"/>
      <c r="AH292" s="888"/>
      <c r="AI292" s="888"/>
      <c r="AJ292" s="888"/>
      <c r="AK292" s="888"/>
      <c r="AL292" s="888"/>
      <c r="AM292" s="888"/>
      <c r="AN292" s="888"/>
      <c r="AO292" s="888"/>
      <c r="AP292" s="888"/>
      <c r="AQ292" s="888"/>
      <c r="AR292" s="888"/>
      <c r="AS292" s="888"/>
      <c r="AT292" s="888"/>
      <c r="AU292" s="888"/>
      <c r="AV292" s="888"/>
      <c r="AW292" s="888"/>
      <c r="AX292" s="888"/>
      <c r="AY292" s="888"/>
      <c r="AZ292" s="567"/>
      <c r="BA292" s="567"/>
      <c r="BB292" s="567"/>
      <c r="BC292" s="567"/>
      <c r="BD292" s="567"/>
      <c r="BE292" s="567"/>
      <c r="BF292" s="567"/>
      <c r="BG292" s="567"/>
      <c r="BH292" s="567"/>
      <c r="BI292" s="567"/>
      <c r="BJ292" s="567"/>
      <c r="BK292" s="567"/>
      <c r="BL292" s="567"/>
      <c r="BM292" s="567"/>
      <c r="BN292" s="567"/>
      <c r="BO292" s="567"/>
      <c r="BP292" s="567"/>
      <c r="BQ292" s="567"/>
      <c r="BR292" s="567"/>
      <c r="BS292" s="567"/>
      <c r="BT292" s="567"/>
      <c r="BU292" s="567"/>
      <c r="BV292" s="567"/>
      <c r="BW292" s="567"/>
      <c r="BX292" s="567"/>
      <c r="BY292" s="567"/>
      <c r="BZ292" s="567"/>
      <c r="CA292" s="567"/>
      <c r="CB292" s="567"/>
      <c r="CC292" s="567"/>
      <c r="CD292" s="567"/>
      <c r="CE292" s="567"/>
      <c r="CF292" s="567"/>
      <c r="CG292" s="567"/>
      <c r="CH292" s="567"/>
      <c r="CI292" s="567"/>
      <c r="CJ292" s="567"/>
      <c r="CK292" s="567"/>
      <c r="CL292" s="567"/>
      <c r="CM292" s="567"/>
      <c r="CN292" s="567"/>
      <c r="CO292" s="567"/>
      <c r="CP292" s="567"/>
      <c r="CQ292" s="567"/>
      <c r="CR292" s="567"/>
      <c r="CS292" s="567"/>
      <c r="CT292" s="567"/>
      <c r="CU292" s="567"/>
      <c r="CV292" s="567"/>
      <c r="CW292" s="567"/>
      <c r="CX292" s="567"/>
      <c r="CY292" s="567"/>
      <c r="CZ292" s="567"/>
      <c r="DA292" s="567"/>
      <c r="DB292" s="567"/>
      <c r="DC292" s="567"/>
      <c r="DD292" s="567"/>
      <c r="DE292" s="567"/>
      <c r="DF292" s="567"/>
      <c r="DG292" s="567"/>
      <c r="DH292" s="567"/>
      <c r="DI292" s="567"/>
      <c r="DJ292" s="567"/>
      <c r="DK292" s="567"/>
      <c r="DL292" s="567"/>
      <c r="DM292" s="567"/>
      <c r="DN292" s="567"/>
      <c r="DO292" s="567"/>
      <c r="DP292" s="567"/>
      <c r="DQ292" s="567"/>
    </row>
    <row r="293" spans="1:121" s="487" customFormat="1">
      <c r="A293" s="588"/>
      <c r="B293" s="588"/>
      <c r="C293" s="588"/>
      <c r="D293" s="588"/>
      <c r="E293" s="588"/>
      <c r="F293" s="588"/>
      <c r="G293" s="588"/>
      <c r="H293" s="588"/>
      <c r="I293" s="588"/>
      <c r="J293" s="588"/>
      <c r="K293" s="588"/>
      <c r="L293" s="702"/>
      <c r="M293" s="888"/>
      <c r="N293" s="888"/>
      <c r="O293" s="888"/>
      <c r="P293" s="888"/>
      <c r="Q293" s="888"/>
      <c r="R293" s="888"/>
      <c r="S293" s="888"/>
      <c r="T293" s="888"/>
      <c r="U293" s="888"/>
      <c r="V293" s="888"/>
      <c r="W293" s="888"/>
      <c r="X293" s="888"/>
      <c r="Y293" s="888"/>
      <c r="Z293" s="888"/>
      <c r="AA293" s="888"/>
      <c r="AB293" s="888"/>
      <c r="AC293" s="888"/>
      <c r="AD293" s="888"/>
      <c r="AE293" s="888"/>
      <c r="AF293" s="888"/>
      <c r="AG293" s="888"/>
      <c r="AH293" s="888"/>
      <c r="AI293" s="888"/>
      <c r="AJ293" s="888"/>
      <c r="AK293" s="888"/>
      <c r="AL293" s="888"/>
      <c r="AM293" s="888"/>
      <c r="AN293" s="888"/>
      <c r="AO293" s="888"/>
      <c r="AP293" s="888"/>
      <c r="AQ293" s="888"/>
      <c r="AR293" s="888"/>
      <c r="AS293" s="888"/>
      <c r="AT293" s="888"/>
      <c r="AU293" s="888"/>
      <c r="AV293" s="888"/>
      <c r="AW293" s="888"/>
      <c r="AX293" s="888"/>
      <c r="AY293" s="888"/>
      <c r="AZ293" s="567"/>
      <c r="BA293" s="567"/>
      <c r="BB293" s="567"/>
      <c r="BC293" s="567"/>
      <c r="BD293" s="567"/>
      <c r="BE293" s="567"/>
      <c r="BF293" s="567"/>
      <c r="BG293" s="567"/>
      <c r="BH293" s="567"/>
      <c r="BI293" s="567"/>
      <c r="BJ293" s="567"/>
      <c r="BK293" s="567"/>
      <c r="BL293" s="567"/>
      <c r="BM293" s="567"/>
      <c r="BN293" s="567"/>
      <c r="BO293" s="567"/>
      <c r="BP293" s="567"/>
      <c r="BQ293" s="567"/>
      <c r="BR293" s="567"/>
      <c r="BS293" s="567"/>
      <c r="BT293" s="567"/>
      <c r="BU293" s="567"/>
      <c r="BV293" s="567"/>
      <c r="BW293" s="567"/>
      <c r="BX293" s="567"/>
      <c r="BY293" s="567"/>
      <c r="BZ293" s="567"/>
      <c r="CA293" s="567"/>
      <c r="CB293" s="567"/>
      <c r="CC293" s="567"/>
      <c r="CD293" s="567"/>
      <c r="CE293" s="567"/>
      <c r="CF293" s="567"/>
      <c r="CG293" s="567"/>
      <c r="CH293" s="567"/>
      <c r="CI293" s="567"/>
      <c r="CJ293" s="567"/>
      <c r="CK293" s="567"/>
      <c r="CL293" s="567"/>
      <c r="CM293" s="567"/>
      <c r="CN293" s="567"/>
      <c r="CO293" s="567"/>
      <c r="CP293" s="567"/>
      <c r="CQ293" s="567"/>
      <c r="CR293" s="567"/>
      <c r="CS293" s="567"/>
      <c r="CT293" s="567"/>
      <c r="CU293" s="567"/>
      <c r="CV293" s="567"/>
      <c r="CW293" s="567"/>
      <c r="CX293" s="567"/>
      <c r="CY293" s="567"/>
      <c r="CZ293" s="567"/>
      <c r="DA293" s="567"/>
      <c r="DB293" s="567"/>
      <c r="DC293" s="567"/>
      <c r="DD293" s="567"/>
      <c r="DE293" s="567"/>
      <c r="DF293" s="567"/>
      <c r="DG293" s="567"/>
      <c r="DH293" s="567"/>
      <c r="DI293" s="567"/>
      <c r="DJ293" s="567"/>
      <c r="DK293" s="567"/>
      <c r="DL293" s="567"/>
      <c r="DM293" s="567"/>
      <c r="DN293" s="567"/>
      <c r="DO293" s="567"/>
      <c r="DP293" s="567"/>
      <c r="DQ293" s="567"/>
    </row>
    <row r="294" spans="1:121" s="487" customFormat="1">
      <c r="A294" s="588"/>
      <c r="B294" s="588"/>
      <c r="C294" s="588"/>
      <c r="D294" s="588"/>
      <c r="E294" s="588"/>
      <c r="F294" s="588"/>
      <c r="G294" s="588"/>
      <c r="H294" s="588"/>
      <c r="I294" s="588"/>
      <c r="J294" s="588"/>
      <c r="K294" s="588"/>
      <c r="L294" s="702"/>
      <c r="M294" s="888"/>
      <c r="N294" s="888"/>
      <c r="O294" s="888"/>
      <c r="P294" s="888"/>
      <c r="Q294" s="888"/>
      <c r="R294" s="888"/>
      <c r="S294" s="888"/>
      <c r="T294" s="888"/>
      <c r="U294" s="888"/>
      <c r="V294" s="888"/>
      <c r="W294" s="888"/>
      <c r="X294" s="888"/>
      <c r="Y294" s="888"/>
      <c r="Z294" s="888"/>
      <c r="AA294" s="888"/>
      <c r="AB294" s="888"/>
      <c r="AC294" s="888"/>
      <c r="AD294" s="888"/>
      <c r="AE294" s="888"/>
      <c r="AF294" s="888"/>
      <c r="AG294" s="888"/>
      <c r="AH294" s="888"/>
      <c r="AI294" s="888"/>
      <c r="AJ294" s="888"/>
      <c r="AK294" s="888"/>
      <c r="AL294" s="888"/>
      <c r="AM294" s="888"/>
      <c r="AN294" s="888"/>
      <c r="AO294" s="888"/>
      <c r="AP294" s="888"/>
      <c r="AQ294" s="888"/>
      <c r="AR294" s="888"/>
      <c r="AS294" s="888"/>
      <c r="AT294" s="888"/>
      <c r="AU294" s="888"/>
      <c r="AV294" s="888"/>
      <c r="AW294" s="888"/>
      <c r="AX294" s="888"/>
      <c r="AY294" s="888"/>
      <c r="AZ294" s="567"/>
      <c r="BA294" s="567"/>
      <c r="BB294" s="567"/>
      <c r="BC294" s="567"/>
      <c r="BD294" s="567"/>
      <c r="BE294" s="567"/>
      <c r="BF294" s="567"/>
      <c r="BG294" s="567"/>
      <c r="BH294" s="567"/>
      <c r="BI294" s="567"/>
      <c r="BJ294" s="567"/>
      <c r="BK294" s="567"/>
      <c r="BL294" s="567"/>
      <c r="BM294" s="567"/>
      <c r="BN294" s="567"/>
      <c r="BO294" s="567"/>
      <c r="BP294" s="567"/>
      <c r="BQ294" s="567"/>
      <c r="BR294" s="567"/>
      <c r="BS294" s="567"/>
      <c r="BT294" s="567"/>
      <c r="BU294" s="567"/>
      <c r="BV294" s="567"/>
      <c r="BW294" s="567"/>
      <c r="BX294" s="567"/>
      <c r="BY294" s="567"/>
      <c r="BZ294" s="567"/>
      <c r="CA294" s="567"/>
      <c r="CB294" s="567"/>
      <c r="CC294" s="567"/>
      <c r="CD294" s="567"/>
      <c r="CE294" s="567"/>
      <c r="CF294" s="567"/>
      <c r="CG294" s="567"/>
      <c r="CH294" s="567"/>
      <c r="CI294" s="567"/>
      <c r="CJ294" s="567"/>
      <c r="CK294" s="567"/>
      <c r="CL294" s="567"/>
      <c r="CM294" s="567"/>
      <c r="CN294" s="567"/>
      <c r="CO294" s="567"/>
      <c r="CP294" s="567"/>
      <c r="CQ294" s="567"/>
      <c r="CR294" s="567"/>
      <c r="CS294" s="567"/>
      <c r="CT294" s="567"/>
      <c r="CU294" s="567"/>
      <c r="CV294" s="567"/>
      <c r="CW294" s="567"/>
      <c r="CX294" s="567"/>
      <c r="CY294" s="567"/>
      <c r="CZ294" s="567"/>
      <c r="DA294" s="567"/>
      <c r="DB294" s="567"/>
      <c r="DC294" s="567"/>
      <c r="DD294" s="567"/>
      <c r="DE294" s="567"/>
      <c r="DF294" s="567"/>
      <c r="DG294" s="567"/>
      <c r="DH294" s="567"/>
      <c r="DI294" s="567"/>
      <c r="DJ294" s="567"/>
      <c r="DK294" s="567"/>
      <c r="DL294" s="567"/>
      <c r="DM294" s="567"/>
      <c r="DN294" s="567"/>
      <c r="DO294" s="567"/>
      <c r="DP294" s="567"/>
      <c r="DQ294" s="567"/>
    </row>
    <row r="295" spans="1:121" s="487" customFormat="1">
      <c r="A295" s="588"/>
      <c r="B295" s="588"/>
      <c r="C295" s="588"/>
      <c r="D295" s="588"/>
      <c r="E295" s="588"/>
      <c r="F295" s="588"/>
      <c r="G295" s="588"/>
      <c r="H295" s="588"/>
      <c r="I295" s="588"/>
      <c r="J295" s="588"/>
      <c r="K295" s="588"/>
      <c r="L295" s="702"/>
      <c r="M295" s="888"/>
      <c r="N295" s="888"/>
      <c r="O295" s="888"/>
      <c r="P295" s="888"/>
      <c r="Q295" s="888"/>
      <c r="R295" s="888"/>
      <c r="S295" s="888"/>
      <c r="T295" s="888"/>
      <c r="U295" s="888"/>
      <c r="V295" s="888"/>
      <c r="W295" s="888"/>
      <c r="X295" s="888"/>
      <c r="Y295" s="888"/>
      <c r="Z295" s="888"/>
      <c r="AA295" s="888"/>
      <c r="AB295" s="888"/>
      <c r="AC295" s="888"/>
      <c r="AD295" s="888"/>
      <c r="AE295" s="888"/>
      <c r="AF295" s="888"/>
      <c r="AG295" s="888"/>
      <c r="AH295" s="888"/>
      <c r="AI295" s="888"/>
      <c r="AJ295" s="888"/>
      <c r="AK295" s="888"/>
      <c r="AL295" s="888"/>
      <c r="AM295" s="888"/>
      <c r="AN295" s="888"/>
      <c r="AO295" s="888"/>
      <c r="AP295" s="888"/>
      <c r="AQ295" s="888"/>
      <c r="AR295" s="888"/>
      <c r="AS295" s="888"/>
      <c r="AT295" s="888"/>
      <c r="AU295" s="888"/>
      <c r="AV295" s="888"/>
      <c r="AW295" s="888"/>
      <c r="AX295" s="888"/>
      <c r="AY295" s="888"/>
      <c r="AZ295" s="567"/>
      <c r="BA295" s="567"/>
      <c r="BB295" s="567"/>
      <c r="BC295" s="567"/>
      <c r="BD295" s="567"/>
      <c r="BE295" s="567"/>
      <c r="BF295" s="567"/>
      <c r="BG295" s="567"/>
      <c r="BH295" s="567"/>
      <c r="BI295" s="567"/>
      <c r="BJ295" s="567"/>
      <c r="BK295" s="567"/>
      <c r="BL295" s="567"/>
      <c r="BM295" s="567"/>
      <c r="BN295" s="567"/>
      <c r="BO295" s="567"/>
      <c r="BP295" s="567"/>
      <c r="BQ295" s="567"/>
      <c r="BR295" s="567"/>
      <c r="BS295" s="567"/>
      <c r="BT295" s="567"/>
      <c r="BU295" s="567"/>
      <c r="BV295" s="567"/>
      <c r="BW295" s="567"/>
      <c r="BX295" s="567"/>
      <c r="BY295" s="567"/>
      <c r="BZ295" s="567"/>
      <c r="CA295" s="567"/>
      <c r="CB295" s="567"/>
      <c r="CC295" s="567"/>
      <c r="CD295" s="567"/>
      <c r="CE295" s="567"/>
      <c r="CF295" s="567"/>
      <c r="CG295" s="567"/>
      <c r="CH295" s="567"/>
      <c r="CI295" s="567"/>
      <c r="CJ295" s="567"/>
      <c r="CK295" s="567"/>
      <c r="CL295" s="567"/>
      <c r="CM295" s="567"/>
      <c r="CN295" s="567"/>
      <c r="CO295" s="567"/>
      <c r="CP295" s="567"/>
      <c r="CQ295" s="567"/>
      <c r="CR295" s="567"/>
      <c r="CS295" s="567"/>
      <c r="CT295" s="567"/>
      <c r="CU295" s="567"/>
      <c r="CV295" s="567"/>
      <c r="CW295" s="567"/>
      <c r="CX295" s="567"/>
      <c r="CY295" s="567"/>
      <c r="CZ295" s="567"/>
      <c r="DA295" s="567"/>
      <c r="DB295" s="567"/>
      <c r="DC295" s="567"/>
      <c r="DD295" s="567"/>
      <c r="DE295" s="567"/>
      <c r="DF295" s="567"/>
      <c r="DG295" s="567"/>
      <c r="DH295" s="567"/>
      <c r="DI295" s="567"/>
      <c r="DJ295" s="567"/>
      <c r="DK295" s="567"/>
      <c r="DL295" s="567"/>
      <c r="DM295" s="567"/>
      <c r="DN295" s="567"/>
      <c r="DO295" s="567"/>
      <c r="DP295" s="567"/>
      <c r="DQ295" s="567"/>
    </row>
    <row r="296" spans="1:121" s="487" customFormat="1">
      <c r="A296" s="588"/>
      <c r="B296" s="588"/>
      <c r="C296" s="588"/>
      <c r="D296" s="588"/>
      <c r="E296" s="588"/>
      <c r="F296" s="588"/>
      <c r="G296" s="588"/>
      <c r="H296" s="588"/>
      <c r="I296" s="588"/>
      <c r="J296" s="588"/>
      <c r="K296" s="588"/>
      <c r="L296" s="702"/>
      <c r="M296" s="888"/>
      <c r="N296" s="888"/>
      <c r="O296" s="888"/>
      <c r="P296" s="888"/>
      <c r="Q296" s="888"/>
      <c r="R296" s="888"/>
      <c r="S296" s="888"/>
      <c r="T296" s="888"/>
      <c r="U296" s="888"/>
      <c r="V296" s="888"/>
      <c r="W296" s="888"/>
      <c r="X296" s="888"/>
      <c r="Y296" s="888"/>
      <c r="Z296" s="888"/>
      <c r="AA296" s="888"/>
      <c r="AB296" s="888"/>
      <c r="AC296" s="888"/>
      <c r="AD296" s="888"/>
      <c r="AE296" s="888"/>
      <c r="AF296" s="888"/>
      <c r="AG296" s="888"/>
      <c r="AH296" s="888"/>
      <c r="AI296" s="888"/>
      <c r="AJ296" s="888"/>
      <c r="AK296" s="888"/>
      <c r="AL296" s="888"/>
      <c r="AM296" s="888"/>
      <c r="AN296" s="888"/>
      <c r="AO296" s="888"/>
      <c r="AP296" s="888"/>
      <c r="AQ296" s="888"/>
      <c r="AR296" s="888"/>
      <c r="AS296" s="888"/>
      <c r="AT296" s="888"/>
      <c r="AU296" s="888"/>
      <c r="AV296" s="888"/>
      <c r="AW296" s="888"/>
      <c r="AX296" s="888"/>
      <c r="AY296" s="888"/>
      <c r="AZ296" s="567"/>
      <c r="BA296" s="567"/>
      <c r="BB296" s="567"/>
      <c r="BC296" s="567"/>
      <c r="BD296" s="567"/>
      <c r="BE296" s="567"/>
      <c r="BF296" s="567"/>
      <c r="BG296" s="567"/>
      <c r="BH296" s="567"/>
      <c r="BI296" s="567"/>
      <c r="BJ296" s="567"/>
      <c r="BK296" s="567"/>
      <c r="BL296" s="567"/>
      <c r="BM296" s="567"/>
      <c r="BN296" s="567"/>
      <c r="BO296" s="567"/>
      <c r="BP296" s="567"/>
      <c r="BQ296" s="567"/>
      <c r="BR296" s="567"/>
      <c r="BS296" s="567"/>
      <c r="BT296" s="567"/>
      <c r="BU296" s="567"/>
      <c r="BV296" s="567"/>
      <c r="BW296" s="567"/>
      <c r="BX296" s="567"/>
      <c r="BY296" s="567"/>
      <c r="BZ296" s="567"/>
      <c r="CA296" s="567"/>
      <c r="CB296" s="567"/>
      <c r="CC296" s="567"/>
      <c r="CD296" s="567"/>
      <c r="CE296" s="567"/>
      <c r="CF296" s="567"/>
      <c r="CG296" s="567"/>
      <c r="CH296" s="567"/>
      <c r="CI296" s="567"/>
      <c r="CJ296" s="567"/>
      <c r="CK296" s="567"/>
      <c r="CL296" s="567"/>
      <c r="CM296" s="567"/>
      <c r="CN296" s="567"/>
      <c r="CO296" s="567"/>
      <c r="CP296" s="567"/>
      <c r="CQ296" s="567"/>
      <c r="CR296" s="567"/>
      <c r="CS296" s="567"/>
      <c r="CT296" s="567"/>
      <c r="CU296" s="567"/>
      <c r="CV296" s="567"/>
      <c r="CW296" s="567"/>
      <c r="CX296" s="567"/>
      <c r="CY296" s="567"/>
      <c r="CZ296" s="567"/>
      <c r="DA296" s="567"/>
      <c r="DB296" s="567"/>
      <c r="DC296" s="567"/>
      <c r="DD296" s="567"/>
      <c r="DE296" s="567"/>
      <c r="DF296" s="567"/>
      <c r="DG296" s="567"/>
      <c r="DH296" s="567"/>
      <c r="DI296" s="567"/>
      <c r="DJ296" s="567"/>
      <c r="DK296" s="567"/>
      <c r="DL296" s="567"/>
      <c r="DM296" s="567"/>
      <c r="DN296" s="567"/>
      <c r="DO296" s="567"/>
      <c r="DP296" s="567"/>
      <c r="DQ296" s="567"/>
    </row>
    <row r="297" spans="1:121" s="487" customFormat="1">
      <c r="A297" s="588"/>
      <c r="B297" s="588"/>
      <c r="C297" s="588"/>
      <c r="D297" s="588"/>
      <c r="E297" s="588"/>
      <c r="F297" s="588"/>
      <c r="G297" s="588"/>
      <c r="H297" s="588"/>
      <c r="I297" s="588"/>
      <c r="J297" s="588"/>
      <c r="K297" s="588"/>
      <c r="L297" s="702"/>
      <c r="M297" s="888"/>
      <c r="N297" s="888"/>
      <c r="O297" s="888"/>
      <c r="P297" s="888"/>
      <c r="Q297" s="888"/>
      <c r="R297" s="888"/>
      <c r="S297" s="888"/>
      <c r="T297" s="888"/>
      <c r="U297" s="888"/>
      <c r="V297" s="888"/>
      <c r="W297" s="888"/>
      <c r="X297" s="888"/>
      <c r="Y297" s="888"/>
      <c r="Z297" s="888"/>
      <c r="AA297" s="888"/>
      <c r="AB297" s="888"/>
      <c r="AC297" s="888"/>
      <c r="AD297" s="888"/>
      <c r="AE297" s="888"/>
      <c r="AF297" s="888"/>
      <c r="AG297" s="888"/>
      <c r="AH297" s="888"/>
      <c r="AI297" s="888"/>
      <c r="AJ297" s="888"/>
      <c r="AK297" s="888"/>
      <c r="AL297" s="888"/>
      <c r="AM297" s="888"/>
      <c r="AN297" s="888"/>
      <c r="AO297" s="888"/>
      <c r="AP297" s="888"/>
      <c r="AQ297" s="888"/>
      <c r="AR297" s="888"/>
      <c r="AS297" s="888"/>
      <c r="AT297" s="888"/>
      <c r="AU297" s="888"/>
      <c r="AV297" s="888"/>
      <c r="AW297" s="888"/>
      <c r="AX297" s="888"/>
      <c r="AY297" s="888"/>
      <c r="AZ297" s="567"/>
      <c r="BA297" s="567"/>
      <c r="BB297" s="567"/>
      <c r="BC297" s="567"/>
      <c r="BD297" s="567"/>
      <c r="BE297" s="567"/>
      <c r="BF297" s="567"/>
      <c r="BG297" s="567"/>
      <c r="BH297" s="567"/>
      <c r="BI297" s="567"/>
      <c r="BJ297" s="567"/>
      <c r="BK297" s="567"/>
      <c r="BL297" s="567"/>
      <c r="BM297" s="567"/>
      <c r="BN297" s="567"/>
      <c r="BO297" s="567"/>
      <c r="BP297" s="567"/>
      <c r="BQ297" s="567"/>
      <c r="BR297" s="567"/>
      <c r="BS297" s="567"/>
      <c r="BT297" s="567"/>
      <c r="BU297" s="567"/>
      <c r="BV297" s="567"/>
      <c r="BW297" s="567"/>
      <c r="BX297" s="567"/>
      <c r="BY297" s="567"/>
      <c r="BZ297" s="567"/>
      <c r="CA297" s="567"/>
      <c r="CB297" s="567"/>
      <c r="CC297" s="567"/>
      <c r="CD297" s="567"/>
      <c r="CE297" s="567"/>
      <c r="CF297" s="567"/>
      <c r="CG297" s="567"/>
      <c r="CH297" s="567"/>
      <c r="CI297" s="567"/>
      <c r="CJ297" s="567"/>
      <c r="CK297" s="567"/>
      <c r="CL297" s="567"/>
      <c r="CM297" s="567"/>
      <c r="CN297" s="567"/>
      <c r="CO297" s="567"/>
      <c r="CP297" s="567"/>
      <c r="CQ297" s="567"/>
      <c r="CR297" s="567"/>
      <c r="CS297" s="567"/>
      <c r="CT297" s="567"/>
      <c r="CU297" s="567"/>
      <c r="CV297" s="567"/>
      <c r="CW297" s="567"/>
      <c r="CX297" s="567"/>
      <c r="CY297" s="567"/>
      <c r="CZ297" s="567"/>
      <c r="DA297" s="567"/>
      <c r="DB297" s="567"/>
      <c r="DC297" s="567"/>
      <c r="DD297" s="567"/>
      <c r="DE297" s="567"/>
      <c r="DF297" s="567"/>
      <c r="DG297" s="567"/>
      <c r="DH297" s="567"/>
      <c r="DI297" s="567"/>
      <c r="DJ297" s="567"/>
      <c r="DK297" s="567"/>
      <c r="DL297" s="567"/>
      <c r="DM297" s="567"/>
      <c r="DN297" s="567"/>
      <c r="DO297" s="567"/>
      <c r="DP297" s="567"/>
      <c r="DQ297" s="567"/>
    </row>
    <row r="298" spans="1:121" s="487" customFormat="1">
      <c r="A298" s="588"/>
      <c r="B298" s="588"/>
      <c r="C298" s="588"/>
      <c r="D298" s="588"/>
      <c r="E298" s="588"/>
      <c r="F298" s="588"/>
      <c r="G298" s="588"/>
      <c r="H298" s="588"/>
      <c r="I298" s="588"/>
      <c r="J298" s="588"/>
      <c r="K298" s="588"/>
      <c r="L298" s="702"/>
      <c r="M298" s="888"/>
      <c r="N298" s="888"/>
      <c r="O298" s="888"/>
      <c r="P298" s="888"/>
      <c r="Q298" s="888"/>
      <c r="R298" s="888"/>
      <c r="S298" s="888"/>
      <c r="T298" s="888"/>
      <c r="U298" s="888"/>
      <c r="V298" s="888"/>
      <c r="W298" s="888"/>
      <c r="X298" s="888"/>
      <c r="Y298" s="888"/>
      <c r="Z298" s="888"/>
      <c r="AA298" s="888"/>
      <c r="AB298" s="888"/>
      <c r="AC298" s="888"/>
      <c r="AD298" s="888"/>
      <c r="AE298" s="888"/>
      <c r="AF298" s="888"/>
      <c r="AG298" s="888"/>
      <c r="AH298" s="888"/>
      <c r="AI298" s="888"/>
      <c r="AJ298" s="888"/>
      <c r="AK298" s="888"/>
      <c r="AL298" s="888"/>
      <c r="AM298" s="888"/>
      <c r="AN298" s="888"/>
      <c r="AO298" s="888"/>
      <c r="AP298" s="888"/>
      <c r="AQ298" s="888"/>
      <c r="AR298" s="888"/>
      <c r="AS298" s="888"/>
      <c r="AT298" s="888"/>
      <c r="AU298" s="888"/>
      <c r="AV298" s="888"/>
      <c r="AW298" s="888"/>
      <c r="AX298" s="888"/>
      <c r="AY298" s="888"/>
      <c r="AZ298" s="567"/>
      <c r="BA298" s="567"/>
      <c r="BB298" s="567"/>
      <c r="BC298" s="567"/>
      <c r="BD298" s="567"/>
      <c r="BE298" s="567"/>
      <c r="BF298" s="567"/>
      <c r="BG298" s="567"/>
      <c r="BH298" s="567"/>
      <c r="BI298" s="567"/>
      <c r="BJ298" s="567"/>
      <c r="BK298" s="567"/>
      <c r="BL298" s="567"/>
      <c r="BM298" s="567"/>
      <c r="BN298" s="567"/>
      <c r="BO298" s="567"/>
      <c r="BP298" s="567"/>
      <c r="BQ298" s="567"/>
      <c r="BR298" s="567"/>
      <c r="BS298" s="567"/>
      <c r="BT298" s="567"/>
      <c r="BU298" s="567"/>
      <c r="BV298" s="567"/>
      <c r="BW298" s="567"/>
      <c r="BX298" s="567"/>
      <c r="BY298" s="567"/>
      <c r="BZ298" s="567"/>
      <c r="CA298" s="567"/>
      <c r="CB298" s="567"/>
      <c r="CC298" s="567"/>
      <c r="CD298" s="567"/>
      <c r="CE298" s="567"/>
      <c r="CF298" s="567"/>
      <c r="CG298" s="567"/>
      <c r="CH298" s="567"/>
      <c r="CI298" s="567"/>
      <c r="CJ298" s="567"/>
      <c r="CK298" s="567"/>
      <c r="CL298" s="567"/>
      <c r="CM298" s="567"/>
      <c r="CN298" s="567"/>
      <c r="CO298" s="567"/>
      <c r="CP298" s="567"/>
      <c r="CQ298" s="567"/>
      <c r="CR298" s="567"/>
      <c r="CS298" s="567"/>
      <c r="CT298" s="567"/>
      <c r="CU298" s="567"/>
      <c r="CV298" s="567"/>
      <c r="CW298" s="567"/>
      <c r="CX298" s="567"/>
      <c r="CY298" s="567"/>
      <c r="CZ298" s="567"/>
      <c r="DA298" s="567"/>
      <c r="DB298" s="567"/>
      <c r="DC298" s="567"/>
      <c r="DD298" s="567"/>
      <c r="DE298" s="567"/>
      <c r="DF298" s="567"/>
      <c r="DG298" s="567"/>
      <c r="DH298" s="567"/>
      <c r="DI298" s="567"/>
      <c r="DJ298" s="567"/>
      <c r="DK298" s="567"/>
      <c r="DL298" s="567"/>
      <c r="DM298" s="567"/>
      <c r="DN298" s="567"/>
      <c r="DO298" s="567"/>
      <c r="DP298" s="567"/>
      <c r="DQ298" s="567"/>
    </row>
    <row r="299" spans="1:121" s="487" customFormat="1">
      <c r="A299" s="588"/>
      <c r="B299" s="588"/>
      <c r="C299" s="588"/>
      <c r="D299" s="588"/>
      <c r="E299" s="588"/>
      <c r="F299" s="588"/>
      <c r="G299" s="588"/>
      <c r="H299" s="588"/>
      <c r="I299" s="588"/>
      <c r="J299" s="588"/>
      <c r="K299" s="588"/>
      <c r="L299" s="702"/>
      <c r="M299" s="888"/>
      <c r="N299" s="888"/>
      <c r="O299" s="888"/>
      <c r="P299" s="888"/>
      <c r="Q299" s="888"/>
      <c r="R299" s="888"/>
      <c r="S299" s="888"/>
      <c r="T299" s="888"/>
      <c r="U299" s="888"/>
      <c r="V299" s="888"/>
      <c r="W299" s="888"/>
      <c r="X299" s="888"/>
      <c r="Y299" s="888"/>
      <c r="Z299" s="888"/>
      <c r="AA299" s="888"/>
      <c r="AB299" s="888"/>
      <c r="AC299" s="888"/>
      <c r="AD299" s="888"/>
      <c r="AE299" s="888"/>
      <c r="AF299" s="888"/>
      <c r="AG299" s="888"/>
      <c r="AH299" s="888"/>
      <c r="AI299" s="888"/>
      <c r="AJ299" s="888"/>
      <c r="AK299" s="888"/>
      <c r="AL299" s="888"/>
      <c r="AM299" s="888"/>
      <c r="AN299" s="888"/>
      <c r="AO299" s="888"/>
      <c r="AP299" s="888"/>
      <c r="AQ299" s="888"/>
      <c r="AR299" s="888"/>
      <c r="AS299" s="888"/>
      <c r="AT299" s="888"/>
      <c r="AU299" s="888"/>
      <c r="AV299" s="888"/>
      <c r="AW299" s="888"/>
      <c r="AX299" s="888"/>
      <c r="AY299" s="888"/>
      <c r="AZ299" s="567"/>
      <c r="BA299" s="567"/>
      <c r="BB299" s="567"/>
      <c r="BC299" s="567"/>
      <c r="BD299" s="567"/>
      <c r="BE299" s="567"/>
      <c r="BF299" s="567"/>
      <c r="BG299" s="567"/>
      <c r="BH299" s="567"/>
      <c r="BI299" s="567"/>
      <c r="BJ299" s="567"/>
      <c r="BK299" s="567"/>
      <c r="BL299" s="567"/>
      <c r="BM299" s="567"/>
      <c r="BN299" s="567"/>
      <c r="BO299" s="567"/>
      <c r="BP299" s="567"/>
      <c r="BQ299" s="567"/>
      <c r="BR299" s="567"/>
      <c r="BS299" s="567"/>
      <c r="BT299" s="567"/>
      <c r="BU299" s="567"/>
      <c r="BV299" s="567"/>
      <c r="BW299" s="567"/>
      <c r="BX299" s="567"/>
      <c r="BY299" s="567"/>
      <c r="BZ299" s="567"/>
      <c r="CA299" s="567"/>
      <c r="CB299" s="567"/>
      <c r="CC299" s="567"/>
      <c r="CD299" s="567"/>
      <c r="CE299" s="567"/>
      <c r="CF299" s="567"/>
      <c r="CG299" s="567"/>
      <c r="CH299" s="567"/>
      <c r="CI299" s="567"/>
      <c r="CJ299" s="567"/>
      <c r="CK299" s="567"/>
      <c r="CL299" s="567"/>
      <c r="CM299" s="567"/>
      <c r="CN299" s="567"/>
      <c r="CO299" s="567"/>
      <c r="CP299" s="567"/>
      <c r="CQ299" s="567"/>
      <c r="CR299" s="567"/>
      <c r="CS299" s="567"/>
      <c r="CT299" s="567"/>
      <c r="CU299" s="567"/>
      <c r="CV299" s="567"/>
      <c r="CW299" s="567"/>
      <c r="CX299" s="567"/>
      <c r="CY299" s="567"/>
      <c r="CZ299" s="567"/>
      <c r="DA299" s="567"/>
      <c r="DB299" s="567"/>
      <c r="DC299" s="567"/>
      <c r="DD299" s="567"/>
      <c r="DE299" s="567"/>
      <c r="DF299" s="567"/>
      <c r="DG299" s="567"/>
      <c r="DH299" s="567"/>
      <c r="DI299" s="567"/>
      <c r="DJ299" s="567"/>
      <c r="DK299" s="567"/>
      <c r="DL299" s="567"/>
      <c r="DM299" s="567"/>
      <c r="DN299" s="567"/>
      <c r="DO299" s="567"/>
      <c r="DP299" s="567"/>
      <c r="DQ299" s="567"/>
    </row>
    <row r="300" spans="1:121" s="487" customFormat="1">
      <c r="A300" s="588"/>
      <c r="B300" s="588"/>
      <c r="C300" s="588"/>
      <c r="D300" s="588"/>
      <c r="E300" s="588"/>
      <c r="F300" s="588"/>
      <c r="G300" s="588"/>
      <c r="H300" s="588"/>
      <c r="I300" s="588"/>
      <c r="J300" s="588"/>
      <c r="K300" s="588"/>
      <c r="L300" s="702"/>
      <c r="M300" s="888"/>
      <c r="N300" s="888"/>
      <c r="O300" s="888"/>
      <c r="P300" s="888"/>
      <c r="Q300" s="888"/>
      <c r="R300" s="888"/>
      <c r="S300" s="888"/>
      <c r="T300" s="888"/>
      <c r="U300" s="888"/>
      <c r="V300" s="888"/>
      <c r="W300" s="888"/>
      <c r="X300" s="888"/>
      <c r="Y300" s="888"/>
      <c r="Z300" s="888"/>
      <c r="AA300" s="888"/>
      <c r="AB300" s="888"/>
      <c r="AC300" s="888"/>
      <c r="AD300" s="888"/>
      <c r="AE300" s="888"/>
      <c r="AF300" s="888"/>
      <c r="AG300" s="888"/>
      <c r="AH300" s="888"/>
      <c r="AI300" s="888"/>
      <c r="AJ300" s="888"/>
      <c r="AK300" s="888"/>
      <c r="AL300" s="888"/>
      <c r="AM300" s="888"/>
      <c r="AN300" s="888"/>
      <c r="AO300" s="888"/>
      <c r="AP300" s="888"/>
      <c r="AQ300" s="888"/>
      <c r="AR300" s="888"/>
      <c r="AS300" s="888"/>
      <c r="AT300" s="888"/>
      <c r="AU300" s="888"/>
      <c r="AV300" s="888"/>
      <c r="AW300" s="888"/>
      <c r="AX300" s="888"/>
      <c r="AY300" s="888"/>
      <c r="AZ300" s="567"/>
      <c r="BA300" s="567"/>
      <c r="BB300" s="567"/>
      <c r="BC300" s="567"/>
      <c r="BD300" s="567"/>
      <c r="BE300" s="567"/>
      <c r="BF300" s="567"/>
      <c r="BG300" s="567"/>
      <c r="BH300" s="567"/>
      <c r="BI300" s="567"/>
      <c r="BJ300" s="567"/>
      <c r="BK300" s="567"/>
      <c r="BL300" s="567"/>
      <c r="BM300" s="567"/>
      <c r="BN300" s="567"/>
      <c r="BO300" s="567"/>
      <c r="BP300" s="567"/>
      <c r="BQ300" s="567"/>
      <c r="BR300" s="567"/>
      <c r="BS300" s="567"/>
      <c r="BT300" s="567"/>
      <c r="BU300" s="567"/>
      <c r="BV300" s="567"/>
      <c r="BW300" s="567"/>
      <c r="BX300" s="567"/>
      <c r="BY300" s="567"/>
      <c r="BZ300" s="567"/>
      <c r="CA300" s="567"/>
      <c r="CB300" s="567"/>
      <c r="CC300" s="567"/>
      <c r="CD300" s="567"/>
      <c r="CE300" s="567"/>
      <c r="CF300" s="567"/>
      <c r="CG300" s="567"/>
      <c r="CH300" s="567"/>
      <c r="CI300" s="567"/>
      <c r="CJ300" s="567"/>
      <c r="CK300" s="567"/>
      <c r="CL300" s="567"/>
      <c r="CM300" s="567"/>
      <c r="CN300" s="567"/>
      <c r="CO300" s="567"/>
      <c r="CP300" s="567"/>
      <c r="CQ300" s="567"/>
      <c r="CR300" s="567"/>
      <c r="CS300" s="567"/>
      <c r="CT300" s="567"/>
      <c r="CU300" s="567"/>
      <c r="CV300" s="567"/>
      <c r="CW300" s="567"/>
      <c r="CX300" s="567"/>
      <c r="CY300" s="567"/>
      <c r="CZ300" s="567"/>
      <c r="DA300" s="567"/>
      <c r="DB300" s="567"/>
      <c r="DC300" s="567"/>
      <c r="DD300" s="567"/>
      <c r="DE300" s="567"/>
      <c r="DF300" s="567"/>
      <c r="DG300" s="567"/>
      <c r="DH300" s="567"/>
      <c r="DI300" s="567"/>
      <c r="DJ300" s="567"/>
      <c r="DK300" s="567"/>
      <c r="DL300" s="567"/>
      <c r="DM300" s="567"/>
      <c r="DN300" s="567"/>
      <c r="DO300" s="567"/>
      <c r="DP300" s="567"/>
      <c r="DQ300" s="567"/>
    </row>
    <row r="301" spans="1:121" s="487" customFormat="1">
      <c r="A301" s="588"/>
      <c r="B301" s="588"/>
      <c r="C301" s="588"/>
      <c r="D301" s="588"/>
      <c r="E301" s="588"/>
      <c r="F301" s="588"/>
      <c r="G301" s="588"/>
      <c r="H301" s="588"/>
      <c r="I301" s="588"/>
      <c r="J301" s="588"/>
      <c r="K301" s="588"/>
      <c r="L301" s="702"/>
      <c r="M301" s="888"/>
      <c r="N301" s="888"/>
      <c r="O301" s="888"/>
      <c r="P301" s="888"/>
      <c r="Q301" s="888"/>
      <c r="R301" s="888"/>
      <c r="S301" s="888"/>
      <c r="T301" s="888"/>
      <c r="U301" s="888"/>
      <c r="V301" s="888"/>
      <c r="W301" s="888"/>
      <c r="X301" s="888"/>
      <c r="Y301" s="888"/>
      <c r="Z301" s="888"/>
      <c r="AA301" s="888"/>
      <c r="AB301" s="888"/>
      <c r="AC301" s="888"/>
      <c r="AD301" s="888"/>
      <c r="AE301" s="888"/>
      <c r="AF301" s="888"/>
      <c r="AG301" s="888"/>
      <c r="AH301" s="888"/>
      <c r="AI301" s="888"/>
      <c r="AJ301" s="888"/>
      <c r="AK301" s="888"/>
      <c r="AL301" s="888"/>
      <c r="AM301" s="888"/>
      <c r="AN301" s="888"/>
      <c r="AO301" s="888"/>
      <c r="AP301" s="888"/>
      <c r="AQ301" s="888"/>
      <c r="AR301" s="888"/>
      <c r="AS301" s="888"/>
      <c r="AT301" s="888"/>
      <c r="AU301" s="888"/>
      <c r="AV301" s="888"/>
      <c r="AW301" s="888"/>
      <c r="AX301" s="888"/>
      <c r="AY301" s="888"/>
      <c r="AZ301" s="567"/>
      <c r="BA301" s="567"/>
      <c r="BB301" s="567"/>
      <c r="BC301" s="567"/>
      <c r="BD301" s="567"/>
      <c r="BE301" s="567"/>
      <c r="BF301" s="567"/>
      <c r="BG301" s="567"/>
      <c r="BH301" s="567"/>
      <c r="BI301" s="567"/>
      <c r="BJ301" s="567"/>
      <c r="BK301" s="567"/>
      <c r="BL301" s="567"/>
      <c r="BM301" s="567"/>
      <c r="BN301" s="567"/>
      <c r="BO301" s="567"/>
      <c r="BP301" s="567"/>
      <c r="BQ301" s="567"/>
      <c r="BR301" s="567"/>
      <c r="BS301" s="567"/>
      <c r="BT301" s="567"/>
      <c r="BU301" s="567"/>
      <c r="BV301" s="567"/>
      <c r="BW301" s="567"/>
      <c r="BX301" s="567"/>
      <c r="BY301" s="567"/>
      <c r="BZ301" s="567"/>
      <c r="CA301" s="567"/>
      <c r="CB301" s="567"/>
      <c r="CC301" s="567"/>
      <c r="CD301" s="567"/>
      <c r="CE301" s="567"/>
      <c r="CF301" s="567"/>
      <c r="CG301" s="567"/>
      <c r="CH301" s="567"/>
      <c r="CI301" s="567"/>
      <c r="CJ301" s="567"/>
      <c r="CK301" s="567"/>
      <c r="CL301" s="567"/>
      <c r="CM301" s="567"/>
      <c r="CN301" s="567"/>
      <c r="CO301" s="567"/>
      <c r="CP301" s="567"/>
      <c r="CQ301" s="567"/>
      <c r="CR301" s="567"/>
      <c r="CS301" s="567"/>
      <c r="CT301" s="567"/>
      <c r="CU301" s="567"/>
      <c r="CV301" s="567"/>
      <c r="CW301" s="567"/>
      <c r="CX301" s="567"/>
      <c r="CY301" s="567"/>
      <c r="CZ301" s="567"/>
      <c r="DA301" s="567"/>
      <c r="DB301" s="567"/>
      <c r="DC301" s="567"/>
      <c r="DD301" s="567"/>
      <c r="DE301" s="567"/>
      <c r="DF301" s="567"/>
      <c r="DG301" s="567"/>
      <c r="DH301" s="567"/>
      <c r="DI301" s="567"/>
      <c r="DJ301" s="567"/>
      <c r="DK301" s="567"/>
      <c r="DL301" s="567"/>
      <c r="DM301" s="567"/>
      <c r="DN301" s="567"/>
      <c r="DO301" s="567"/>
      <c r="DP301" s="567"/>
      <c r="DQ301" s="567"/>
    </row>
    <row r="302" spans="1:121" s="487" customFormat="1">
      <c r="A302" s="588"/>
      <c r="B302" s="588"/>
      <c r="C302" s="588"/>
      <c r="D302" s="588"/>
      <c r="E302" s="588"/>
      <c r="F302" s="588"/>
      <c r="G302" s="588"/>
      <c r="H302" s="588"/>
      <c r="I302" s="588"/>
      <c r="J302" s="588"/>
      <c r="K302" s="588"/>
      <c r="L302" s="702"/>
      <c r="M302" s="888"/>
      <c r="N302" s="888"/>
      <c r="O302" s="888"/>
      <c r="P302" s="888"/>
      <c r="Q302" s="888"/>
      <c r="R302" s="888"/>
      <c r="S302" s="888"/>
      <c r="T302" s="888"/>
      <c r="U302" s="888"/>
      <c r="V302" s="888"/>
      <c r="W302" s="888"/>
      <c r="X302" s="888"/>
      <c r="Y302" s="888"/>
      <c r="Z302" s="888"/>
      <c r="AA302" s="888"/>
      <c r="AB302" s="888"/>
      <c r="AC302" s="888"/>
      <c r="AD302" s="888"/>
      <c r="AE302" s="888"/>
      <c r="AF302" s="888"/>
      <c r="AG302" s="888"/>
      <c r="AH302" s="888"/>
      <c r="AI302" s="888"/>
      <c r="AJ302" s="888"/>
      <c r="AK302" s="888"/>
      <c r="AL302" s="888"/>
      <c r="AM302" s="888"/>
      <c r="AN302" s="888"/>
      <c r="AO302" s="888"/>
      <c r="AP302" s="888"/>
      <c r="AQ302" s="888"/>
      <c r="AR302" s="888"/>
      <c r="AS302" s="888"/>
      <c r="AT302" s="888"/>
      <c r="AU302" s="888"/>
      <c r="AV302" s="888"/>
      <c r="AW302" s="888"/>
      <c r="AX302" s="888"/>
      <c r="AY302" s="888"/>
      <c r="AZ302" s="567"/>
      <c r="BA302" s="567"/>
      <c r="BB302" s="567"/>
      <c r="BC302" s="567"/>
      <c r="BD302" s="567"/>
      <c r="BE302" s="567"/>
      <c r="BF302" s="567"/>
      <c r="BG302" s="567"/>
      <c r="BH302" s="567"/>
      <c r="BI302" s="567"/>
      <c r="BJ302" s="567"/>
      <c r="BK302" s="567"/>
      <c r="BL302" s="567"/>
      <c r="BM302" s="567"/>
      <c r="BN302" s="567"/>
      <c r="BO302" s="567"/>
      <c r="BP302" s="567"/>
      <c r="BQ302" s="567"/>
      <c r="BR302" s="567"/>
      <c r="BS302" s="567"/>
      <c r="BT302" s="567"/>
      <c r="BU302" s="567"/>
      <c r="BV302" s="567"/>
      <c r="BW302" s="567"/>
      <c r="BX302" s="567"/>
      <c r="BY302" s="567"/>
      <c r="BZ302" s="567"/>
      <c r="CA302" s="567"/>
      <c r="CB302" s="567"/>
      <c r="CC302" s="567"/>
      <c r="CD302" s="567"/>
      <c r="CE302" s="567"/>
      <c r="CF302" s="567"/>
      <c r="CG302" s="567"/>
      <c r="CH302" s="567"/>
      <c r="CI302" s="567"/>
      <c r="CJ302" s="567"/>
      <c r="CK302" s="567"/>
      <c r="CL302" s="567"/>
      <c r="CM302" s="567"/>
      <c r="CN302" s="567"/>
      <c r="CO302" s="567"/>
      <c r="CP302" s="567"/>
      <c r="CQ302" s="567"/>
      <c r="CR302" s="567"/>
      <c r="CS302" s="567"/>
      <c r="CT302" s="567"/>
      <c r="CU302" s="567"/>
      <c r="CV302" s="567"/>
      <c r="CW302" s="567"/>
      <c r="CX302" s="567"/>
      <c r="CY302" s="567"/>
      <c r="CZ302" s="567"/>
      <c r="DA302" s="567"/>
      <c r="DB302" s="567"/>
      <c r="DC302" s="567"/>
      <c r="DD302" s="567"/>
      <c r="DE302" s="567"/>
      <c r="DF302" s="567"/>
      <c r="DG302" s="567"/>
      <c r="DH302" s="567"/>
      <c r="DI302" s="567"/>
      <c r="DJ302" s="567"/>
      <c r="DK302" s="567"/>
      <c r="DL302" s="567"/>
      <c r="DM302" s="567"/>
      <c r="DN302" s="567"/>
      <c r="DO302" s="567"/>
      <c r="DP302" s="567"/>
      <c r="DQ302" s="567"/>
    </row>
    <row r="303" spans="1:121" s="487" customFormat="1">
      <c r="A303" s="588"/>
      <c r="B303" s="588"/>
      <c r="C303" s="588"/>
      <c r="D303" s="588"/>
      <c r="E303" s="588"/>
      <c r="F303" s="588"/>
      <c r="G303" s="588"/>
      <c r="H303" s="588"/>
      <c r="I303" s="588"/>
      <c r="J303" s="588"/>
      <c r="K303" s="588"/>
      <c r="L303" s="702"/>
      <c r="M303" s="888"/>
      <c r="N303" s="888"/>
      <c r="O303" s="888"/>
      <c r="P303" s="888"/>
      <c r="Q303" s="888"/>
      <c r="R303" s="888"/>
      <c r="S303" s="888"/>
      <c r="T303" s="888"/>
      <c r="U303" s="888"/>
      <c r="V303" s="888"/>
      <c r="W303" s="888"/>
      <c r="X303" s="888"/>
      <c r="Y303" s="888"/>
      <c r="Z303" s="888"/>
      <c r="AA303" s="888"/>
      <c r="AB303" s="888"/>
      <c r="AC303" s="888"/>
      <c r="AD303" s="888"/>
      <c r="AE303" s="888"/>
      <c r="AF303" s="888"/>
      <c r="AG303" s="888"/>
      <c r="AH303" s="888"/>
      <c r="AI303" s="888"/>
      <c r="AJ303" s="888"/>
      <c r="AK303" s="888"/>
      <c r="AL303" s="888"/>
      <c r="AM303" s="888"/>
      <c r="AN303" s="888"/>
      <c r="AO303" s="888"/>
      <c r="AP303" s="888"/>
      <c r="AQ303" s="888"/>
      <c r="AR303" s="888"/>
      <c r="AS303" s="888"/>
      <c r="AT303" s="888"/>
      <c r="AU303" s="888"/>
      <c r="AV303" s="888"/>
      <c r="AW303" s="888"/>
      <c r="AX303" s="888"/>
      <c r="AY303" s="888"/>
      <c r="AZ303" s="567"/>
      <c r="BA303" s="567"/>
      <c r="BB303" s="567"/>
      <c r="BC303" s="567"/>
      <c r="BD303" s="567"/>
      <c r="BE303" s="567"/>
      <c r="BF303" s="567"/>
      <c r="BG303" s="567"/>
      <c r="BH303" s="567"/>
      <c r="BI303" s="567"/>
      <c r="BJ303" s="567"/>
      <c r="BK303" s="567"/>
      <c r="BL303" s="567"/>
      <c r="BM303" s="567"/>
      <c r="BN303" s="567"/>
      <c r="BO303" s="567"/>
      <c r="BP303" s="567"/>
      <c r="BQ303" s="567"/>
      <c r="BR303" s="567"/>
      <c r="BS303" s="567"/>
      <c r="BT303" s="567"/>
      <c r="BU303" s="567"/>
      <c r="BV303" s="567"/>
      <c r="BW303" s="567"/>
      <c r="BX303" s="567"/>
      <c r="BY303" s="567"/>
      <c r="BZ303" s="567"/>
      <c r="CA303" s="567"/>
      <c r="CB303" s="567"/>
      <c r="CC303" s="567"/>
      <c r="CD303" s="567"/>
      <c r="CE303" s="567"/>
      <c r="CF303" s="567"/>
      <c r="CG303" s="567"/>
      <c r="CH303" s="567"/>
      <c r="CI303" s="567"/>
      <c r="CJ303" s="567"/>
      <c r="CK303" s="567"/>
      <c r="CL303" s="567"/>
      <c r="CM303" s="567"/>
      <c r="CN303" s="567"/>
      <c r="CO303" s="567"/>
      <c r="CP303" s="567"/>
      <c r="CQ303" s="567"/>
      <c r="CR303" s="567"/>
      <c r="CS303" s="567"/>
      <c r="CT303" s="567"/>
      <c r="CU303" s="567"/>
      <c r="CV303" s="567"/>
      <c r="CW303" s="567"/>
      <c r="CX303" s="567"/>
      <c r="CY303" s="567"/>
      <c r="CZ303" s="567"/>
      <c r="DA303" s="567"/>
      <c r="DB303" s="567"/>
      <c r="DC303" s="567"/>
      <c r="DD303" s="567"/>
      <c r="DE303" s="567"/>
      <c r="DF303" s="567"/>
      <c r="DG303" s="567"/>
      <c r="DH303" s="567"/>
      <c r="DI303" s="567"/>
      <c r="DJ303" s="567"/>
      <c r="DK303" s="567"/>
      <c r="DL303" s="567"/>
      <c r="DM303" s="567"/>
      <c r="DN303" s="567"/>
      <c r="DO303" s="567"/>
      <c r="DP303" s="567"/>
      <c r="DQ303" s="567"/>
    </row>
    <row r="304" spans="1:121" s="487" customFormat="1">
      <c r="A304" s="588"/>
      <c r="B304" s="588"/>
      <c r="C304" s="588"/>
      <c r="D304" s="588"/>
      <c r="E304" s="588"/>
      <c r="F304" s="588"/>
      <c r="G304" s="588"/>
      <c r="H304" s="588"/>
      <c r="I304" s="588"/>
      <c r="J304" s="588"/>
      <c r="K304" s="588"/>
      <c r="L304" s="702"/>
      <c r="M304" s="888"/>
      <c r="N304" s="888"/>
      <c r="O304" s="888"/>
      <c r="P304" s="888"/>
      <c r="Q304" s="888"/>
      <c r="R304" s="888"/>
      <c r="S304" s="888"/>
      <c r="T304" s="888"/>
      <c r="U304" s="888"/>
      <c r="V304" s="888"/>
      <c r="W304" s="888"/>
      <c r="X304" s="888"/>
      <c r="Y304" s="888"/>
      <c r="Z304" s="888"/>
      <c r="AA304" s="888"/>
      <c r="AB304" s="888"/>
      <c r="AC304" s="888"/>
      <c r="AD304" s="888"/>
      <c r="AE304" s="888"/>
      <c r="AF304" s="888"/>
      <c r="AG304" s="888"/>
      <c r="AH304" s="888"/>
      <c r="AI304" s="888"/>
      <c r="AJ304" s="888"/>
      <c r="AK304" s="888"/>
      <c r="AL304" s="888"/>
      <c r="AM304" s="888"/>
      <c r="AN304" s="888"/>
      <c r="AO304" s="888"/>
      <c r="AP304" s="888"/>
      <c r="AQ304" s="888"/>
      <c r="AR304" s="888"/>
      <c r="AS304" s="888"/>
      <c r="AT304" s="888"/>
      <c r="AU304" s="888"/>
      <c r="AV304" s="888"/>
      <c r="AW304" s="888"/>
      <c r="AX304" s="888"/>
      <c r="AY304" s="888"/>
      <c r="AZ304" s="567"/>
      <c r="BA304" s="567"/>
      <c r="BB304" s="567"/>
      <c r="BC304" s="567"/>
      <c r="BD304" s="567"/>
      <c r="BE304" s="567"/>
      <c r="BF304" s="567"/>
      <c r="BG304" s="567"/>
      <c r="BH304" s="567"/>
      <c r="BI304" s="567"/>
      <c r="BJ304" s="567"/>
      <c r="BK304" s="567"/>
      <c r="BL304" s="567"/>
      <c r="BM304" s="567"/>
      <c r="BN304" s="567"/>
      <c r="BO304" s="567"/>
      <c r="BP304" s="567"/>
      <c r="BQ304" s="567"/>
      <c r="BR304" s="567"/>
      <c r="BS304" s="567"/>
      <c r="BT304" s="567"/>
      <c r="BU304" s="567"/>
      <c r="BV304" s="567"/>
      <c r="BW304" s="567"/>
      <c r="BX304" s="567"/>
      <c r="BY304" s="567"/>
      <c r="BZ304" s="567"/>
      <c r="CA304" s="567"/>
      <c r="CB304" s="567"/>
      <c r="CC304" s="567"/>
      <c r="CD304" s="567"/>
      <c r="CE304" s="567"/>
      <c r="CF304" s="567"/>
      <c r="CG304" s="567"/>
      <c r="CH304" s="567"/>
      <c r="CI304" s="567"/>
      <c r="CJ304" s="567"/>
      <c r="CK304" s="567"/>
      <c r="CL304" s="567"/>
      <c r="CM304" s="567"/>
      <c r="CN304" s="567"/>
      <c r="CO304" s="567"/>
      <c r="CP304" s="567"/>
      <c r="CQ304" s="567"/>
      <c r="CR304" s="567"/>
      <c r="CS304" s="567"/>
      <c r="CT304" s="567"/>
      <c r="CU304" s="567"/>
      <c r="CV304" s="567"/>
      <c r="CW304" s="567"/>
      <c r="CX304" s="567"/>
      <c r="CY304" s="567"/>
      <c r="CZ304" s="567"/>
      <c r="DA304" s="567"/>
      <c r="DB304" s="567"/>
      <c r="DC304" s="567"/>
      <c r="DD304" s="567"/>
      <c r="DE304" s="567"/>
      <c r="DF304" s="567"/>
      <c r="DG304" s="567"/>
      <c r="DH304" s="567"/>
      <c r="DI304" s="567"/>
      <c r="DJ304" s="567"/>
      <c r="DK304" s="567"/>
      <c r="DL304" s="567"/>
      <c r="DM304" s="567"/>
      <c r="DN304" s="567"/>
      <c r="DO304" s="567"/>
      <c r="DP304" s="567"/>
      <c r="DQ304" s="567"/>
    </row>
    <row r="305" spans="1:121" s="487" customFormat="1">
      <c r="A305" s="588"/>
      <c r="B305" s="588"/>
      <c r="C305" s="588"/>
      <c r="D305" s="588"/>
      <c r="E305" s="588"/>
      <c r="F305" s="588"/>
      <c r="G305" s="588"/>
      <c r="H305" s="588"/>
      <c r="I305" s="588"/>
      <c r="J305" s="588"/>
      <c r="K305" s="588"/>
      <c r="L305" s="702"/>
      <c r="M305" s="888"/>
      <c r="N305" s="888"/>
      <c r="O305" s="888"/>
      <c r="P305" s="888"/>
      <c r="Q305" s="888"/>
      <c r="R305" s="888"/>
      <c r="S305" s="888"/>
      <c r="T305" s="888"/>
      <c r="U305" s="888"/>
      <c r="V305" s="888"/>
      <c r="W305" s="888"/>
      <c r="X305" s="888"/>
      <c r="Y305" s="888"/>
      <c r="Z305" s="888"/>
      <c r="AA305" s="888"/>
      <c r="AB305" s="888"/>
      <c r="AC305" s="888"/>
      <c r="AD305" s="888"/>
      <c r="AE305" s="888"/>
      <c r="AF305" s="888"/>
      <c r="AG305" s="888"/>
      <c r="AH305" s="888"/>
      <c r="AI305" s="888"/>
      <c r="AJ305" s="888"/>
      <c r="AK305" s="888"/>
      <c r="AL305" s="888"/>
      <c r="AM305" s="888"/>
      <c r="AN305" s="888"/>
      <c r="AO305" s="888"/>
      <c r="AP305" s="888"/>
      <c r="AQ305" s="888"/>
      <c r="AR305" s="888"/>
      <c r="AS305" s="888"/>
      <c r="AT305" s="888"/>
      <c r="AU305" s="888"/>
      <c r="AV305" s="888"/>
      <c r="AW305" s="888"/>
      <c r="AX305" s="888"/>
      <c r="AY305" s="888"/>
      <c r="AZ305" s="567"/>
      <c r="BA305" s="567"/>
      <c r="BB305" s="567"/>
      <c r="BC305" s="567"/>
      <c r="BD305" s="567"/>
      <c r="BE305" s="567"/>
      <c r="BF305" s="567"/>
      <c r="BG305" s="567"/>
      <c r="BH305" s="567"/>
      <c r="BI305" s="567"/>
      <c r="BJ305" s="567"/>
      <c r="BK305" s="567"/>
      <c r="BL305" s="567"/>
      <c r="BM305" s="567"/>
      <c r="BN305" s="567"/>
      <c r="BO305" s="567"/>
      <c r="BP305" s="567"/>
      <c r="BQ305" s="567"/>
      <c r="BR305" s="567"/>
      <c r="BS305" s="567"/>
      <c r="BT305" s="567"/>
      <c r="BU305" s="567"/>
      <c r="BV305" s="567"/>
      <c r="BW305" s="567"/>
      <c r="BX305" s="567"/>
      <c r="BY305" s="567"/>
      <c r="BZ305" s="567"/>
      <c r="CA305" s="567"/>
      <c r="CB305" s="567"/>
      <c r="CC305" s="567"/>
      <c r="CD305" s="567"/>
      <c r="CE305" s="567"/>
      <c r="CF305" s="567"/>
      <c r="CG305" s="567"/>
      <c r="CH305" s="567"/>
      <c r="CI305" s="567"/>
      <c r="CJ305" s="567"/>
      <c r="CK305" s="567"/>
      <c r="CL305" s="567"/>
      <c r="CM305" s="567"/>
      <c r="CN305" s="567"/>
      <c r="CO305" s="567"/>
      <c r="CP305" s="567"/>
      <c r="CQ305" s="567"/>
      <c r="CR305" s="567"/>
      <c r="CS305" s="567"/>
      <c r="CT305" s="567"/>
      <c r="CU305" s="567"/>
      <c r="CV305" s="567"/>
      <c r="CW305" s="567"/>
      <c r="CX305" s="567"/>
      <c r="CY305" s="567"/>
      <c r="CZ305" s="567"/>
      <c r="DA305" s="567"/>
      <c r="DB305" s="567"/>
      <c r="DC305" s="567"/>
      <c r="DD305" s="567"/>
      <c r="DE305" s="567"/>
      <c r="DF305" s="567"/>
      <c r="DG305" s="567"/>
      <c r="DH305" s="567"/>
      <c r="DI305" s="567"/>
      <c r="DJ305" s="567"/>
      <c r="DK305" s="567"/>
      <c r="DL305" s="567"/>
      <c r="DM305" s="567"/>
      <c r="DN305" s="567"/>
      <c r="DO305" s="567"/>
      <c r="DP305" s="567"/>
      <c r="DQ305" s="567"/>
    </row>
    <row r="306" spans="1:121" s="487" customFormat="1">
      <c r="A306" s="588"/>
      <c r="B306" s="588"/>
      <c r="C306" s="588"/>
      <c r="D306" s="588"/>
      <c r="E306" s="588"/>
      <c r="F306" s="588"/>
      <c r="G306" s="588"/>
      <c r="H306" s="588"/>
      <c r="I306" s="588"/>
      <c r="J306" s="588"/>
      <c r="K306" s="588"/>
      <c r="L306" s="702"/>
      <c r="M306" s="888"/>
      <c r="N306" s="888"/>
      <c r="O306" s="888"/>
      <c r="P306" s="888"/>
      <c r="Q306" s="888"/>
      <c r="R306" s="888"/>
      <c r="S306" s="888"/>
      <c r="T306" s="888"/>
      <c r="U306" s="888"/>
      <c r="V306" s="888"/>
      <c r="W306" s="888"/>
      <c r="X306" s="888"/>
      <c r="Y306" s="888"/>
      <c r="Z306" s="888"/>
      <c r="AA306" s="888"/>
      <c r="AB306" s="888"/>
      <c r="AC306" s="888"/>
      <c r="AD306" s="888"/>
      <c r="AE306" s="888"/>
      <c r="AF306" s="888"/>
      <c r="AG306" s="888"/>
      <c r="AH306" s="888"/>
      <c r="AI306" s="888"/>
      <c r="AJ306" s="888"/>
      <c r="AK306" s="888"/>
      <c r="AL306" s="888"/>
      <c r="AM306" s="888"/>
      <c r="AN306" s="888"/>
      <c r="AO306" s="888"/>
      <c r="AP306" s="888"/>
      <c r="AQ306" s="888"/>
      <c r="AR306" s="888"/>
      <c r="AS306" s="888"/>
      <c r="AT306" s="888"/>
      <c r="AU306" s="888"/>
      <c r="AV306" s="888"/>
      <c r="AW306" s="888"/>
      <c r="AX306" s="888"/>
      <c r="AY306" s="888"/>
      <c r="AZ306" s="567"/>
      <c r="BA306" s="567"/>
      <c r="BB306" s="567"/>
      <c r="BC306" s="567"/>
      <c r="BD306" s="567"/>
      <c r="BE306" s="567"/>
      <c r="BF306" s="567"/>
      <c r="BG306" s="567"/>
      <c r="BH306" s="567"/>
      <c r="BI306" s="567"/>
      <c r="BJ306" s="567"/>
      <c r="BK306" s="567"/>
      <c r="BL306" s="567"/>
      <c r="BM306" s="567"/>
      <c r="BN306" s="567"/>
      <c r="BO306" s="567"/>
      <c r="BP306" s="567"/>
      <c r="BQ306" s="567"/>
      <c r="BR306" s="567"/>
      <c r="BS306" s="567"/>
      <c r="BT306" s="567"/>
      <c r="BU306" s="567"/>
      <c r="BV306" s="567"/>
      <c r="BW306" s="567"/>
      <c r="BX306" s="567"/>
      <c r="BY306" s="567"/>
      <c r="BZ306" s="567"/>
      <c r="CA306" s="567"/>
      <c r="CB306" s="567"/>
      <c r="CC306" s="567"/>
      <c r="CD306" s="567"/>
      <c r="CE306" s="567"/>
      <c r="CF306" s="567"/>
      <c r="CG306" s="567"/>
      <c r="CH306" s="567"/>
      <c r="CI306" s="567"/>
      <c r="CJ306" s="567"/>
      <c r="CK306" s="567"/>
      <c r="CL306" s="567"/>
      <c r="CM306" s="567"/>
      <c r="CN306" s="567"/>
      <c r="CO306" s="567"/>
      <c r="CP306" s="567"/>
      <c r="CQ306" s="567"/>
      <c r="CR306" s="567"/>
      <c r="CS306" s="567"/>
      <c r="CT306" s="567"/>
      <c r="CU306" s="567"/>
      <c r="CV306" s="567"/>
      <c r="CW306" s="567"/>
      <c r="CX306" s="567"/>
      <c r="CY306" s="567"/>
      <c r="CZ306" s="567"/>
      <c r="DA306" s="567"/>
      <c r="DB306" s="567"/>
      <c r="DC306" s="567"/>
      <c r="DD306" s="567"/>
      <c r="DE306" s="567"/>
      <c r="DF306" s="567"/>
      <c r="DG306" s="567"/>
      <c r="DH306" s="567"/>
      <c r="DI306" s="567"/>
      <c r="DJ306" s="567"/>
      <c r="DK306" s="567"/>
      <c r="DL306" s="567"/>
      <c r="DM306" s="567"/>
      <c r="DN306" s="567"/>
      <c r="DO306" s="567"/>
      <c r="DP306" s="567"/>
      <c r="DQ306" s="567"/>
    </row>
    <row r="307" spans="1:121" s="487" customFormat="1">
      <c r="A307" s="588"/>
      <c r="B307" s="588"/>
      <c r="C307" s="588"/>
      <c r="D307" s="588"/>
      <c r="E307" s="588"/>
      <c r="F307" s="588"/>
      <c r="G307" s="588"/>
      <c r="H307" s="588"/>
      <c r="I307" s="588"/>
      <c r="J307" s="588"/>
      <c r="K307" s="588"/>
      <c r="L307" s="702"/>
      <c r="M307" s="888"/>
      <c r="N307" s="888"/>
      <c r="O307" s="888"/>
      <c r="P307" s="888"/>
      <c r="Q307" s="888"/>
      <c r="R307" s="888"/>
      <c r="S307" s="888"/>
      <c r="T307" s="888"/>
      <c r="U307" s="888"/>
      <c r="V307" s="888"/>
      <c r="W307" s="888"/>
      <c r="X307" s="888"/>
      <c r="Y307" s="888"/>
      <c r="Z307" s="888"/>
      <c r="AA307" s="888"/>
      <c r="AB307" s="888"/>
      <c r="AC307" s="888"/>
      <c r="AD307" s="888"/>
      <c r="AE307" s="888"/>
      <c r="AF307" s="888"/>
      <c r="AG307" s="888"/>
      <c r="AH307" s="888"/>
      <c r="AI307" s="888"/>
      <c r="AJ307" s="888"/>
      <c r="AK307" s="888"/>
      <c r="AL307" s="888"/>
      <c r="AM307" s="888"/>
      <c r="AN307" s="888"/>
      <c r="AO307" s="888"/>
      <c r="AP307" s="888"/>
      <c r="AQ307" s="888"/>
      <c r="AR307" s="888"/>
      <c r="AS307" s="888"/>
      <c r="AT307" s="888"/>
      <c r="AU307" s="888"/>
      <c r="AV307" s="888"/>
      <c r="AW307" s="888"/>
      <c r="AX307" s="888"/>
      <c r="AY307" s="888"/>
      <c r="AZ307" s="567"/>
      <c r="BA307" s="567"/>
      <c r="BB307" s="567"/>
      <c r="BC307" s="567"/>
      <c r="BD307" s="567"/>
      <c r="BE307" s="567"/>
      <c r="BF307" s="567"/>
      <c r="BG307" s="567"/>
      <c r="BH307" s="567"/>
      <c r="BI307" s="567"/>
      <c r="BJ307" s="567"/>
      <c r="BK307" s="567"/>
      <c r="BL307" s="567"/>
      <c r="BM307" s="567"/>
      <c r="BN307" s="567"/>
      <c r="BO307" s="567"/>
      <c r="BP307" s="567"/>
      <c r="BQ307" s="567"/>
      <c r="BR307" s="567"/>
      <c r="BS307" s="567"/>
      <c r="BT307" s="567"/>
      <c r="BU307" s="567"/>
      <c r="BV307" s="567"/>
      <c r="BW307" s="567"/>
      <c r="BX307" s="567"/>
      <c r="BY307" s="567"/>
      <c r="BZ307" s="567"/>
      <c r="CA307" s="567"/>
      <c r="CB307" s="567"/>
      <c r="CC307" s="567"/>
      <c r="CD307" s="567"/>
      <c r="CE307" s="567"/>
      <c r="CF307" s="567"/>
      <c r="CG307" s="567"/>
      <c r="CH307" s="567"/>
      <c r="CI307" s="567"/>
      <c r="CJ307" s="567"/>
      <c r="CK307" s="567"/>
      <c r="CL307" s="567"/>
      <c r="CM307" s="567"/>
      <c r="CN307" s="567"/>
      <c r="CO307" s="567"/>
      <c r="CP307" s="567"/>
      <c r="CQ307" s="567"/>
      <c r="CR307" s="567"/>
      <c r="CS307" s="567"/>
      <c r="CT307" s="567"/>
      <c r="CU307" s="567"/>
      <c r="CV307" s="567"/>
      <c r="CW307" s="567"/>
      <c r="CX307" s="567"/>
      <c r="CY307" s="567"/>
      <c r="CZ307" s="567"/>
      <c r="DA307" s="567"/>
      <c r="DB307" s="567"/>
      <c r="DC307" s="567"/>
      <c r="DD307" s="567"/>
      <c r="DE307" s="567"/>
      <c r="DF307" s="567"/>
      <c r="DG307" s="567"/>
      <c r="DH307" s="567"/>
      <c r="DI307" s="567"/>
      <c r="DJ307" s="567"/>
      <c r="DK307" s="567"/>
      <c r="DL307" s="567"/>
      <c r="DM307" s="567"/>
      <c r="DN307" s="567"/>
      <c r="DO307" s="567"/>
      <c r="DP307" s="567"/>
      <c r="DQ307" s="567"/>
    </row>
    <row r="308" spans="1:121" s="487" customFormat="1">
      <c r="A308" s="588"/>
      <c r="B308" s="588"/>
      <c r="C308" s="588"/>
      <c r="D308" s="588"/>
      <c r="E308" s="588"/>
      <c r="F308" s="588"/>
      <c r="G308" s="588"/>
      <c r="H308" s="588"/>
      <c r="I308" s="588"/>
      <c r="J308" s="588"/>
      <c r="K308" s="588"/>
      <c r="L308" s="702"/>
      <c r="M308" s="888"/>
      <c r="N308" s="888"/>
      <c r="O308" s="888"/>
      <c r="P308" s="888"/>
      <c r="Q308" s="888"/>
      <c r="R308" s="888"/>
      <c r="S308" s="888"/>
      <c r="T308" s="888"/>
      <c r="U308" s="888"/>
      <c r="V308" s="888"/>
      <c r="W308" s="888"/>
      <c r="X308" s="888"/>
      <c r="Y308" s="888"/>
      <c r="Z308" s="888"/>
      <c r="AA308" s="888"/>
      <c r="AB308" s="888"/>
      <c r="AC308" s="888"/>
      <c r="AD308" s="888"/>
      <c r="AE308" s="888"/>
      <c r="AF308" s="888"/>
      <c r="AG308" s="888"/>
      <c r="AH308" s="888"/>
      <c r="AI308" s="888"/>
      <c r="AJ308" s="888"/>
      <c r="AK308" s="888"/>
      <c r="AL308" s="888"/>
      <c r="AM308" s="888"/>
      <c r="AN308" s="888"/>
      <c r="AO308" s="888"/>
      <c r="AP308" s="888"/>
      <c r="AQ308" s="888"/>
      <c r="AR308" s="888"/>
      <c r="AS308" s="888"/>
      <c r="AT308" s="888"/>
      <c r="AU308" s="888"/>
      <c r="AV308" s="888"/>
      <c r="AW308" s="888"/>
      <c r="AX308" s="888"/>
      <c r="AY308" s="888"/>
      <c r="AZ308" s="567"/>
      <c r="BA308" s="567"/>
      <c r="BB308" s="567"/>
      <c r="BC308" s="567"/>
      <c r="BD308" s="567"/>
      <c r="BE308" s="567"/>
      <c r="BF308" s="567"/>
      <c r="BG308" s="567"/>
      <c r="BH308" s="567"/>
      <c r="BI308" s="567"/>
      <c r="BJ308" s="567"/>
      <c r="BK308" s="567"/>
      <c r="BL308" s="567"/>
      <c r="BM308" s="567"/>
      <c r="BN308" s="567"/>
      <c r="BO308" s="567"/>
      <c r="BP308" s="567"/>
      <c r="BQ308" s="567"/>
      <c r="BR308" s="567"/>
      <c r="BS308" s="567"/>
      <c r="BT308" s="567"/>
      <c r="BU308" s="567"/>
      <c r="BV308" s="567"/>
      <c r="BW308" s="567"/>
      <c r="BX308" s="567"/>
      <c r="BY308" s="567"/>
      <c r="BZ308" s="567"/>
      <c r="CA308" s="567"/>
      <c r="CB308" s="567"/>
      <c r="CC308" s="567"/>
      <c r="CD308" s="567"/>
      <c r="CE308" s="567"/>
      <c r="CF308" s="567"/>
      <c r="CG308" s="567"/>
      <c r="CH308" s="567"/>
      <c r="CI308" s="567"/>
      <c r="CJ308" s="567"/>
      <c r="CK308" s="567"/>
      <c r="CL308" s="567"/>
      <c r="CM308" s="567"/>
      <c r="CN308" s="567"/>
      <c r="CO308" s="567"/>
      <c r="CP308" s="567"/>
      <c r="CQ308" s="567"/>
      <c r="CR308" s="567"/>
      <c r="CS308" s="567"/>
      <c r="CT308" s="567"/>
      <c r="CU308" s="567"/>
      <c r="CV308" s="567"/>
      <c r="CW308" s="567"/>
      <c r="CX308" s="567"/>
      <c r="CY308" s="567"/>
      <c r="CZ308" s="567"/>
      <c r="DA308" s="567"/>
      <c r="DB308" s="567"/>
      <c r="DC308" s="567"/>
      <c r="DD308" s="567"/>
      <c r="DE308" s="567"/>
      <c r="DF308" s="567"/>
      <c r="DG308" s="567"/>
      <c r="DH308" s="567"/>
      <c r="DI308" s="567"/>
      <c r="DJ308" s="567"/>
      <c r="DK308" s="567"/>
      <c r="DL308" s="567"/>
      <c r="DM308" s="567"/>
      <c r="DN308" s="567"/>
      <c r="DO308" s="567"/>
      <c r="DP308" s="567"/>
      <c r="DQ308" s="567"/>
    </row>
    <row r="309" spans="1:121" s="487" customFormat="1">
      <c r="A309" s="588"/>
      <c r="B309" s="588"/>
      <c r="C309" s="588"/>
      <c r="D309" s="588"/>
      <c r="E309" s="588"/>
      <c r="F309" s="588"/>
      <c r="G309" s="588"/>
      <c r="H309" s="588"/>
      <c r="I309" s="588"/>
      <c r="J309" s="588"/>
      <c r="K309" s="588"/>
      <c r="L309" s="702"/>
      <c r="M309" s="888"/>
      <c r="N309" s="888"/>
      <c r="O309" s="888"/>
      <c r="P309" s="888"/>
      <c r="Q309" s="888"/>
      <c r="R309" s="888"/>
      <c r="S309" s="888"/>
      <c r="T309" s="888"/>
      <c r="U309" s="888"/>
      <c r="V309" s="888"/>
      <c r="W309" s="888"/>
      <c r="X309" s="888"/>
      <c r="Y309" s="888"/>
      <c r="Z309" s="888"/>
      <c r="AA309" s="888"/>
      <c r="AB309" s="888"/>
      <c r="AC309" s="888"/>
      <c r="AD309" s="888"/>
      <c r="AE309" s="888"/>
      <c r="AF309" s="888"/>
      <c r="AG309" s="888"/>
      <c r="AH309" s="888"/>
      <c r="AI309" s="888"/>
      <c r="AJ309" s="888"/>
      <c r="AK309" s="888"/>
      <c r="AL309" s="888"/>
      <c r="AM309" s="888"/>
      <c r="AN309" s="888"/>
      <c r="AO309" s="888"/>
      <c r="AP309" s="888"/>
      <c r="AQ309" s="888"/>
      <c r="AR309" s="888"/>
      <c r="AS309" s="888"/>
      <c r="AT309" s="888"/>
      <c r="AU309" s="888"/>
      <c r="AV309" s="888"/>
      <c r="AW309" s="888"/>
      <c r="AX309" s="888"/>
      <c r="AY309" s="888"/>
      <c r="AZ309" s="567"/>
      <c r="BA309" s="567"/>
      <c r="BB309" s="567"/>
      <c r="BC309" s="567"/>
      <c r="BD309" s="567"/>
      <c r="BE309" s="567"/>
      <c r="BF309" s="567"/>
      <c r="BG309" s="567"/>
      <c r="BH309" s="567"/>
      <c r="BI309" s="567"/>
      <c r="BJ309" s="567"/>
      <c r="BK309" s="567"/>
      <c r="BL309" s="567"/>
      <c r="BM309" s="567"/>
      <c r="BN309" s="567"/>
      <c r="BO309" s="567"/>
      <c r="BP309" s="567"/>
      <c r="BQ309" s="567"/>
      <c r="BR309" s="567"/>
      <c r="BS309" s="567"/>
      <c r="BT309" s="567"/>
      <c r="BU309" s="567"/>
      <c r="BV309" s="567"/>
      <c r="BW309" s="567"/>
      <c r="BX309" s="567"/>
      <c r="BY309" s="567"/>
      <c r="BZ309" s="567"/>
      <c r="CA309" s="567"/>
      <c r="CB309" s="567"/>
      <c r="CC309" s="567"/>
      <c r="CD309" s="567"/>
      <c r="CE309" s="567"/>
      <c r="CF309" s="567"/>
      <c r="CG309" s="567"/>
      <c r="CH309" s="567"/>
      <c r="CI309" s="567"/>
      <c r="CJ309" s="567"/>
      <c r="CK309" s="567"/>
      <c r="CL309" s="567"/>
      <c r="CM309" s="567"/>
      <c r="CN309" s="567"/>
      <c r="CO309" s="567"/>
      <c r="CP309" s="567"/>
      <c r="CQ309" s="567"/>
      <c r="CR309" s="567"/>
      <c r="CS309" s="567"/>
      <c r="CT309" s="567"/>
      <c r="CU309" s="567"/>
      <c r="CV309" s="567"/>
      <c r="CW309" s="567"/>
      <c r="CX309" s="567"/>
      <c r="CY309" s="567"/>
      <c r="CZ309" s="567"/>
      <c r="DA309" s="567"/>
      <c r="DB309" s="567"/>
      <c r="DC309" s="567"/>
      <c r="DD309" s="567"/>
      <c r="DE309" s="567"/>
      <c r="DF309" s="567"/>
      <c r="DG309" s="567"/>
      <c r="DH309" s="567"/>
      <c r="DI309" s="567"/>
      <c r="DJ309" s="567"/>
      <c r="DK309" s="567"/>
      <c r="DL309" s="567"/>
      <c r="DM309" s="567"/>
      <c r="DN309" s="567"/>
      <c r="DO309" s="567"/>
      <c r="DP309" s="567"/>
      <c r="DQ309" s="567"/>
    </row>
    <row r="310" spans="1:121" s="487" customFormat="1">
      <c r="A310" s="588"/>
      <c r="B310" s="588"/>
      <c r="C310" s="588"/>
      <c r="D310" s="588"/>
      <c r="E310" s="588"/>
      <c r="F310" s="588"/>
      <c r="G310" s="588"/>
      <c r="H310" s="588"/>
      <c r="I310" s="588"/>
      <c r="J310" s="588"/>
      <c r="K310" s="588"/>
      <c r="L310" s="702"/>
      <c r="M310" s="888"/>
      <c r="N310" s="888"/>
      <c r="O310" s="888"/>
      <c r="P310" s="888"/>
      <c r="Q310" s="888"/>
      <c r="R310" s="888"/>
      <c r="S310" s="888"/>
      <c r="T310" s="888"/>
      <c r="U310" s="888"/>
      <c r="V310" s="888"/>
      <c r="W310" s="888"/>
      <c r="X310" s="888"/>
      <c r="Y310" s="888"/>
      <c r="Z310" s="888"/>
      <c r="AA310" s="888"/>
      <c r="AB310" s="888"/>
      <c r="AC310" s="888"/>
      <c r="AD310" s="888"/>
      <c r="AE310" s="888"/>
      <c r="AF310" s="888"/>
      <c r="AG310" s="888"/>
      <c r="AH310" s="888"/>
      <c r="AI310" s="888"/>
      <c r="AJ310" s="888"/>
      <c r="AK310" s="888"/>
      <c r="AL310" s="888"/>
      <c r="AM310" s="888"/>
      <c r="AN310" s="888"/>
      <c r="AO310" s="888"/>
      <c r="AP310" s="888"/>
      <c r="AQ310" s="888"/>
      <c r="AR310" s="888"/>
      <c r="AS310" s="888"/>
      <c r="AT310" s="888"/>
      <c r="AU310" s="888"/>
      <c r="AV310" s="888"/>
      <c r="AW310" s="888"/>
      <c r="AX310" s="888"/>
      <c r="AY310" s="888"/>
      <c r="AZ310" s="567"/>
      <c r="BA310" s="567"/>
      <c r="BB310" s="567"/>
      <c r="BC310" s="567"/>
      <c r="BD310" s="567"/>
      <c r="BE310" s="567"/>
      <c r="BF310" s="567"/>
      <c r="BG310" s="567"/>
      <c r="BH310" s="567"/>
      <c r="BI310" s="567"/>
      <c r="BJ310" s="567"/>
      <c r="BK310" s="567"/>
      <c r="BL310" s="567"/>
      <c r="BM310" s="567"/>
      <c r="BN310" s="567"/>
      <c r="BO310" s="567"/>
      <c r="BP310" s="567"/>
      <c r="BQ310" s="567"/>
      <c r="BR310" s="567"/>
      <c r="BS310" s="567"/>
      <c r="BT310" s="567"/>
      <c r="BU310" s="567"/>
      <c r="BV310" s="567"/>
      <c r="BW310" s="567"/>
      <c r="BX310" s="567"/>
      <c r="BY310" s="567"/>
      <c r="BZ310" s="567"/>
      <c r="CA310" s="567"/>
      <c r="CB310" s="567"/>
      <c r="CC310" s="567"/>
      <c r="CD310" s="567"/>
      <c r="CE310" s="567"/>
      <c r="CF310" s="567"/>
      <c r="CG310" s="567"/>
      <c r="CH310" s="567"/>
      <c r="CI310" s="567"/>
      <c r="CJ310" s="567"/>
      <c r="CK310" s="567"/>
      <c r="CL310" s="567"/>
      <c r="CM310" s="567"/>
      <c r="CN310" s="567"/>
      <c r="CO310" s="567"/>
      <c r="CP310" s="567"/>
      <c r="CQ310" s="567"/>
      <c r="CR310" s="567"/>
      <c r="CS310" s="567"/>
      <c r="CT310" s="567"/>
      <c r="CU310" s="567"/>
      <c r="CV310" s="567"/>
      <c r="CW310" s="567"/>
      <c r="CX310" s="567"/>
      <c r="CY310" s="567"/>
      <c r="CZ310" s="567"/>
      <c r="DA310" s="567"/>
      <c r="DB310" s="567"/>
      <c r="DC310" s="567"/>
      <c r="DD310" s="567"/>
      <c r="DE310" s="567"/>
      <c r="DF310" s="567"/>
      <c r="DG310" s="567"/>
      <c r="DH310" s="567"/>
      <c r="DI310" s="567"/>
      <c r="DJ310" s="567"/>
      <c r="DK310" s="567"/>
      <c r="DL310" s="567"/>
      <c r="DM310" s="567"/>
      <c r="DN310" s="567"/>
      <c r="DO310" s="567"/>
      <c r="DP310" s="567"/>
      <c r="DQ310" s="567"/>
    </row>
    <row r="311" spans="1:121" s="487" customFormat="1">
      <c r="A311" s="588"/>
      <c r="B311" s="588"/>
      <c r="C311" s="588"/>
      <c r="D311" s="588"/>
      <c r="E311" s="588"/>
      <c r="F311" s="588"/>
      <c r="G311" s="588"/>
      <c r="H311" s="588"/>
      <c r="I311" s="588"/>
      <c r="J311" s="588"/>
      <c r="K311" s="588"/>
      <c r="L311" s="702"/>
      <c r="M311" s="888"/>
      <c r="N311" s="888"/>
      <c r="O311" s="888"/>
      <c r="P311" s="888"/>
      <c r="Q311" s="888"/>
      <c r="R311" s="888"/>
      <c r="S311" s="888"/>
      <c r="T311" s="888"/>
      <c r="U311" s="888"/>
      <c r="V311" s="888"/>
      <c r="W311" s="888"/>
      <c r="X311" s="888"/>
      <c r="Y311" s="888"/>
      <c r="Z311" s="888"/>
      <c r="AA311" s="888"/>
      <c r="AB311" s="888"/>
      <c r="AC311" s="888"/>
      <c r="AD311" s="888"/>
      <c r="AE311" s="888"/>
      <c r="AF311" s="888"/>
      <c r="AG311" s="888"/>
      <c r="AH311" s="888"/>
      <c r="AI311" s="888"/>
      <c r="AJ311" s="888"/>
      <c r="AK311" s="888"/>
      <c r="AL311" s="888"/>
      <c r="AM311" s="888"/>
      <c r="AN311" s="888"/>
      <c r="AO311" s="888"/>
      <c r="AP311" s="888"/>
      <c r="AQ311" s="888"/>
      <c r="AR311" s="888"/>
      <c r="AS311" s="888"/>
      <c r="AT311" s="888"/>
      <c r="AU311" s="888"/>
      <c r="AV311" s="888"/>
      <c r="AW311" s="888"/>
      <c r="AX311" s="888"/>
      <c r="AY311" s="888"/>
      <c r="AZ311" s="567"/>
      <c r="BA311" s="567"/>
      <c r="BB311" s="567"/>
      <c r="BC311" s="567"/>
      <c r="BD311" s="567"/>
      <c r="BE311" s="567"/>
      <c r="BF311" s="567"/>
      <c r="BG311" s="567"/>
      <c r="BH311" s="567"/>
      <c r="BI311" s="567"/>
      <c r="BJ311" s="567"/>
      <c r="BK311" s="567"/>
      <c r="BL311" s="567"/>
      <c r="BM311" s="567"/>
      <c r="BN311" s="567"/>
      <c r="BO311" s="567"/>
      <c r="BP311" s="567"/>
      <c r="BQ311" s="567"/>
      <c r="BR311" s="567"/>
      <c r="BS311" s="567"/>
      <c r="BT311" s="567"/>
      <c r="BU311" s="567"/>
      <c r="BV311" s="567"/>
      <c r="BW311" s="567"/>
      <c r="BX311" s="567"/>
      <c r="BY311" s="567"/>
      <c r="BZ311" s="567"/>
      <c r="CA311" s="567"/>
      <c r="CB311" s="567"/>
      <c r="CC311" s="567"/>
      <c r="CD311" s="567"/>
      <c r="CE311" s="567"/>
      <c r="CF311" s="567"/>
      <c r="CG311" s="567"/>
      <c r="CH311" s="567"/>
      <c r="CI311" s="567"/>
      <c r="CJ311" s="567"/>
      <c r="CK311" s="567"/>
      <c r="CL311" s="567"/>
      <c r="CM311" s="567"/>
      <c r="CN311" s="567"/>
      <c r="CO311" s="567"/>
      <c r="CP311" s="567"/>
      <c r="CQ311" s="567"/>
      <c r="CR311" s="567"/>
      <c r="CS311" s="567"/>
      <c r="CT311" s="567"/>
      <c r="CU311" s="567"/>
      <c r="CV311" s="567"/>
      <c r="CW311" s="567"/>
      <c r="CX311" s="567"/>
      <c r="CY311" s="567"/>
      <c r="CZ311" s="567"/>
      <c r="DA311" s="567"/>
      <c r="DB311" s="567"/>
      <c r="DC311" s="567"/>
      <c r="DD311" s="567"/>
      <c r="DE311" s="567"/>
      <c r="DF311" s="567"/>
      <c r="DG311" s="567"/>
      <c r="DH311" s="567"/>
      <c r="DI311" s="567"/>
      <c r="DJ311" s="567"/>
      <c r="DK311" s="567"/>
      <c r="DL311" s="567"/>
      <c r="DM311" s="567"/>
      <c r="DN311" s="567"/>
      <c r="DO311" s="567"/>
      <c r="DP311" s="567"/>
      <c r="DQ311" s="567"/>
    </row>
    <row r="312" spans="1:121" s="487" customFormat="1">
      <c r="A312" s="588"/>
      <c r="B312" s="588"/>
      <c r="C312" s="588"/>
      <c r="D312" s="588"/>
      <c r="E312" s="588"/>
      <c r="F312" s="588"/>
      <c r="G312" s="588"/>
      <c r="H312" s="588"/>
      <c r="I312" s="588"/>
      <c r="J312" s="588"/>
      <c r="K312" s="588"/>
      <c r="L312" s="702"/>
      <c r="M312" s="888"/>
      <c r="N312" s="888"/>
      <c r="O312" s="888"/>
      <c r="P312" s="888"/>
      <c r="Q312" s="888"/>
      <c r="R312" s="888"/>
      <c r="S312" s="888"/>
      <c r="T312" s="888"/>
      <c r="U312" s="888"/>
      <c r="V312" s="888"/>
      <c r="W312" s="888"/>
      <c r="X312" s="888"/>
      <c r="Y312" s="888"/>
      <c r="Z312" s="888"/>
      <c r="AA312" s="888"/>
      <c r="AB312" s="888"/>
      <c r="AC312" s="888"/>
      <c r="AD312" s="888"/>
      <c r="AE312" s="888"/>
      <c r="AF312" s="888"/>
      <c r="AG312" s="888"/>
      <c r="AH312" s="888"/>
      <c r="AI312" s="888"/>
      <c r="AJ312" s="888"/>
      <c r="AK312" s="888"/>
      <c r="AL312" s="888"/>
      <c r="AM312" s="888"/>
      <c r="AN312" s="888"/>
      <c r="AO312" s="888"/>
      <c r="AP312" s="888"/>
      <c r="AQ312" s="888"/>
      <c r="AR312" s="888"/>
      <c r="AS312" s="888"/>
      <c r="AT312" s="888"/>
      <c r="AU312" s="888"/>
      <c r="AV312" s="888"/>
      <c r="AW312" s="888"/>
      <c r="AX312" s="888"/>
      <c r="AY312" s="888"/>
      <c r="AZ312" s="567"/>
      <c r="BA312" s="567"/>
      <c r="BB312" s="567"/>
      <c r="BC312" s="567"/>
      <c r="BD312" s="567"/>
      <c r="BE312" s="567"/>
      <c r="BF312" s="567"/>
      <c r="BG312" s="567"/>
      <c r="BH312" s="567"/>
      <c r="BI312" s="567"/>
      <c r="BJ312" s="567"/>
      <c r="BK312" s="567"/>
      <c r="BL312" s="567"/>
      <c r="BM312" s="567"/>
      <c r="BN312" s="567"/>
      <c r="BO312" s="567"/>
      <c r="BP312" s="567"/>
      <c r="BQ312" s="567"/>
      <c r="BR312" s="567"/>
      <c r="BS312" s="567"/>
      <c r="BT312" s="567"/>
      <c r="BU312" s="567"/>
      <c r="BV312" s="567"/>
      <c r="BW312" s="567"/>
      <c r="BX312" s="567"/>
      <c r="BY312" s="567"/>
      <c r="BZ312" s="567"/>
      <c r="CA312" s="567"/>
      <c r="CB312" s="567"/>
      <c r="CC312" s="567"/>
      <c r="CD312" s="567"/>
      <c r="CE312" s="567"/>
      <c r="CF312" s="567"/>
      <c r="CG312" s="567"/>
      <c r="CH312" s="567"/>
      <c r="CI312" s="567"/>
      <c r="CJ312" s="567"/>
      <c r="CK312" s="567"/>
      <c r="CL312" s="567"/>
      <c r="CM312" s="567"/>
      <c r="CN312" s="567"/>
      <c r="CO312" s="567"/>
      <c r="CP312" s="567"/>
      <c r="CQ312" s="567"/>
      <c r="CR312" s="567"/>
      <c r="CS312" s="567"/>
      <c r="CT312" s="567"/>
      <c r="CU312" s="567"/>
      <c r="CV312" s="567"/>
      <c r="CW312" s="567"/>
      <c r="CX312" s="567"/>
      <c r="CY312" s="567"/>
      <c r="CZ312" s="567"/>
      <c r="DA312" s="567"/>
      <c r="DB312" s="567"/>
      <c r="DC312" s="567"/>
      <c r="DD312" s="567"/>
      <c r="DE312" s="567"/>
      <c r="DF312" s="567"/>
      <c r="DG312" s="567"/>
      <c r="DH312" s="567"/>
      <c r="DI312" s="567"/>
      <c r="DJ312" s="567"/>
      <c r="DK312" s="567"/>
      <c r="DL312" s="567"/>
      <c r="DM312" s="567"/>
      <c r="DN312" s="567"/>
      <c r="DO312" s="567"/>
      <c r="DP312" s="567"/>
      <c r="DQ312" s="567"/>
    </row>
    <row r="313" spans="1:121" s="487" customFormat="1">
      <c r="A313" s="588"/>
      <c r="B313" s="588"/>
      <c r="C313" s="588"/>
      <c r="D313" s="588"/>
      <c r="E313" s="588"/>
      <c r="F313" s="588"/>
      <c r="G313" s="588"/>
      <c r="H313" s="588"/>
      <c r="I313" s="588"/>
      <c r="J313" s="588"/>
      <c r="K313" s="588"/>
      <c r="L313" s="702"/>
      <c r="M313" s="888"/>
      <c r="N313" s="888"/>
      <c r="O313" s="888"/>
      <c r="P313" s="888"/>
      <c r="Q313" s="888"/>
      <c r="R313" s="888"/>
      <c r="S313" s="888"/>
      <c r="T313" s="888"/>
      <c r="U313" s="888"/>
      <c r="V313" s="888"/>
      <c r="W313" s="888"/>
      <c r="X313" s="888"/>
      <c r="Y313" s="888"/>
      <c r="Z313" s="888"/>
      <c r="AA313" s="888"/>
      <c r="AB313" s="888"/>
      <c r="AC313" s="888"/>
      <c r="AD313" s="888"/>
      <c r="AE313" s="888"/>
      <c r="AF313" s="888"/>
      <c r="AG313" s="888"/>
      <c r="AH313" s="888"/>
      <c r="AI313" s="888"/>
      <c r="AJ313" s="888"/>
      <c r="AK313" s="888"/>
      <c r="AL313" s="888"/>
      <c r="AM313" s="888"/>
      <c r="AN313" s="888"/>
      <c r="AO313" s="888"/>
      <c r="AP313" s="888"/>
      <c r="AQ313" s="888"/>
      <c r="AR313" s="888"/>
      <c r="AS313" s="888"/>
      <c r="AT313" s="888"/>
      <c r="AU313" s="888"/>
      <c r="AV313" s="888"/>
      <c r="AW313" s="888"/>
      <c r="AX313" s="888"/>
      <c r="AY313" s="888"/>
      <c r="AZ313" s="567"/>
      <c r="BA313" s="567"/>
      <c r="BB313" s="567"/>
      <c r="BC313" s="567"/>
      <c r="BD313" s="567"/>
      <c r="BE313" s="567"/>
      <c r="BF313" s="567"/>
      <c r="BG313" s="567"/>
      <c r="BH313" s="567"/>
      <c r="BI313" s="567"/>
      <c r="BJ313" s="567"/>
      <c r="BK313" s="567"/>
      <c r="BL313" s="567"/>
      <c r="BM313" s="567"/>
      <c r="BN313" s="567"/>
      <c r="BO313" s="567"/>
      <c r="BP313" s="567"/>
      <c r="BQ313" s="567"/>
      <c r="BR313" s="567"/>
      <c r="BS313" s="567"/>
      <c r="BT313" s="567"/>
      <c r="BU313" s="567"/>
      <c r="BV313" s="567"/>
      <c r="BW313" s="567"/>
      <c r="BX313" s="567"/>
      <c r="BY313" s="567"/>
      <c r="BZ313" s="567"/>
      <c r="CA313" s="567"/>
      <c r="CB313" s="567"/>
      <c r="CC313" s="567"/>
      <c r="CD313" s="567"/>
      <c r="CE313" s="567"/>
      <c r="CF313" s="567"/>
      <c r="CG313" s="567"/>
      <c r="CH313" s="567"/>
      <c r="CI313" s="567"/>
      <c r="CJ313" s="567"/>
      <c r="CK313" s="567"/>
      <c r="CL313" s="567"/>
      <c r="CM313" s="567"/>
      <c r="CN313" s="567"/>
      <c r="CO313" s="567"/>
      <c r="CP313" s="567"/>
      <c r="CQ313" s="567"/>
      <c r="CR313" s="567"/>
      <c r="CS313" s="567"/>
      <c r="CT313" s="567"/>
      <c r="CU313" s="567"/>
      <c r="CV313" s="567"/>
      <c r="CW313" s="567"/>
      <c r="CX313" s="567"/>
      <c r="CY313" s="567"/>
      <c r="CZ313" s="567"/>
      <c r="DA313" s="567"/>
      <c r="DB313" s="567"/>
      <c r="DC313" s="567"/>
      <c r="DD313" s="567"/>
      <c r="DE313" s="567"/>
      <c r="DF313" s="567"/>
      <c r="DG313" s="567"/>
      <c r="DH313" s="567"/>
      <c r="DI313" s="567"/>
      <c r="DJ313" s="567"/>
      <c r="DK313" s="567"/>
      <c r="DL313" s="567"/>
      <c r="DM313" s="567"/>
      <c r="DN313" s="567"/>
      <c r="DO313" s="567"/>
      <c r="DP313" s="567"/>
      <c r="DQ313" s="567"/>
    </row>
    <row r="314" spans="1:121" s="487" customFormat="1">
      <c r="A314" s="588"/>
      <c r="B314" s="588"/>
      <c r="C314" s="588"/>
      <c r="D314" s="588"/>
      <c r="E314" s="588"/>
      <c r="F314" s="588"/>
      <c r="G314" s="588"/>
      <c r="H314" s="588"/>
      <c r="I314" s="588"/>
      <c r="J314" s="588"/>
      <c r="K314" s="588"/>
      <c r="L314" s="702"/>
      <c r="M314" s="888"/>
      <c r="N314" s="888"/>
      <c r="O314" s="888"/>
      <c r="P314" s="888"/>
      <c r="Q314" s="888"/>
      <c r="R314" s="888"/>
      <c r="S314" s="888"/>
      <c r="T314" s="888"/>
      <c r="U314" s="888"/>
      <c r="V314" s="888"/>
      <c r="W314" s="888"/>
      <c r="X314" s="888"/>
      <c r="Y314" s="888"/>
      <c r="Z314" s="888"/>
      <c r="AA314" s="888"/>
      <c r="AB314" s="888"/>
      <c r="AC314" s="888"/>
      <c r="AD314" s="888"/>
      <c r="AE314" s="888"/>
      <c r="AF314" s="888"/>
      <c r="AG314" s="888"/>
      <c r="AH314" s="888"/>
      <c r="AI314" s="888"/>
      <c r="AJ314" s="888"/>
      <c r="AK314" s="888"/>
      <c r="AL314" s="888"/>
      <c r="AM314" s="888"/>
      <c r="AN314" s="888"/>
      <c r="AO314" s="888"/>
      <c r="AP314" s="888"/>
      <c r="AQ314" s="888"/>
      <c r="AR314" s="888"/>
      <c r="AS314" s="888"/>
      <c r="AT314" s="888"/>
      <c r="AU314" s="888"/>
      <c r="AV314" s="888"/>
      <c r="AW314" s="888"/>
      <c r="AX314" s="888"/>
      <c r="AY314" s="888"/>
      <c r="AZ314" s="567"/>
      <c r="BA314" s="567"/>
      <c r="BB314" s="567"/>
      <c r="BC314" s="567"/>
      <c r="BD314" s="567"/>
      <c r="BE314" s="567"/>
      <c r="BF314" s="567"/>
      <c r="BG314" s="567"/>
      <c r="BH314" s="567"/>
      <c r="BI314" s="567"/>
      <c r="BJ314" s="567"/>
      <c r="BK314" s="567"/>
      <c r="BL314" s="567"/>
      <c r="BM314" s="567"/>
      <c r="BN314" s="567"/>
      <c r="BO314" s="567"/>
      <c r="BP314" s="567"/>
      <c r="BQ314" s="567"/>
      <c r="BR314" s="567"/>
      <c r="BS314" s="567"/>
      <c r="BT314" s="567"/>
      <c r="BU314" s="567"/>
      <c r="BV314" s="567"/>
      <c r="BW314" s="567"/>
      <c r="BX314" s="567"/>
      <c r="BY314" s="567"/>
      <c r="BZ314" s="567"/>
      <c r="CA314" s="567"/>
      <c r="CB314" s="567"/>
      <c r="CC314" s="567"/>
      <c r="CD314" s="567"/>
      <c r="CE314" s="567"/>
      <c r="CF314" s="567"/>
      <c r="CG314" s="567"/>
      <c r="CH314" s="567"/>
      <c r="CI314" s="567"/>
      <c r="CJ314" s="567"/>
      <c r="CK314" s="567"/>
      <c r="CL314" s="567"/>
      <c r="CM314" s="567"/>
      <c r="CN314" s="567"/>
      <c r="CO314" s="567"/>
      <c r="CP314" s="567"/>
      <c r="CQ314" s="567"/>
      <c r="CR314" s="567"/>
      <c r="CS314" s="567"/>
      <c r="CT314" s="567"/>
      <c r="CU314" s="567"/>
      <c r="CV314" s="567"/>
      <c r="CW314" s="567"/>
      <c r="CX314" s="567"/>
      <c r="CY314" s="567"/>
      <c r="CZ314" s="567"/>
      <c r="DA314" s="567"/>
      <c r="DB314" s="567"/>
      <c r="DC314" s="567"/>
      <c r="DD314" s="567"/>
      <c r="DE314" s="567"/>
      <c r="DF314" s="567"/>
      <c r="DG314" s="567"/>
      <c r="DH314" s="567"/>
      <c r="DI314" s="567"/>
      <c r="DJ314" s="567"/>
      <c r="DK314" s="567"/>
      <c r="DL314" s="567"/>
      <c r="DM314" s="567"/>
      <c r="DN314" s="567"/>
      <c r="DO314" s="567"/>
      <c r="DP314" s="567"/>
      <c r="DQ314" s="567"/>
    </row>
    <row r="315" spans="1:121" s="487" customFormat="1">
      <c r="A315" s="588"/>
      <c r="B315" s="588"/>
      <c r="C315" s="588"/>
      <c r="D315" s="588"/>
      <c r="E315" s="588"/>
      <c r="F315" s="588"/>
      <c r="G315" s="588"/>
      <c r="H315" s="588"/>
      <c r="I315" s="588"/>
      <c r="J315" s="588"/>
      <c r="K315" s="588"/>
      <c r="L315" s="702"/>
      <c r="M315" s="888"/>
      <c r="N315" s="888"/>
      <c r="O315" s="888"/>
      <c r="P315" s="888"/>
      <c r="Q315" s="888"/>
      <c r="R315" s="888"/>
      <c r="S315" s="888"/>
      <c r="T315" s="888"/>
      <c r="U315" s="888"/>
      <c r="V315" s="888"/>
      <c r="W315" s="888"/>
      <c r="X315" s="888"/>
      <c r="Y315" s="888"/>
      <c r="Z315" s="888"/>
      <c r="AA315" s="888"/>
      <c r="AB315" s="888"/>
      <c r="AC315" s="888"/>
      <c r="AD315" s="888"/>
      <c r="AE315" s="888"/>
      <c r="AF315" s="888"/>
      <c r="AG315" s="888"/>
      <c r="AH315" s="888"/>
      <c r="AI315" s="888"/>
      <c r="AJ315" s="888"/>
      <c r="AK315" s="888"/>
      <c r="AL315" s="888"/>
      <c r="AM315" s="888"/>
      <c r="AN315" s="888"/>
      <c r="AO315" s="888"/>
      <c r="AP315" s="888"/>
      <c r="AQ315" s="888"/>
      <c r="AR315" s="888"/>
      <c r="AS315" s="888"/>
      <c r="AT315" s="888"/>
      <c r="AU315" s="888"/>
      <c r="AV315" s="888"/>
      <c r="AW315" s="888"/>
      <c r="AX315" s="888"/>
      <c r="AY315" s="888"/>
      <c r="AZ315" s="567"/>
      <c r="BA315" s="567"/>
      <c r="BB315" s="567"/>
      <c r="BC315" s="567"/>
      <c r="BD315" s="567"/>
      <c r="BE315" s="567"/>
      <c r="BF315" s="567"/>
      <c r="BG315" s="567"/>
      <c r="BH315" s="567"/>
      <c r="BI315" s="567"/>
      <c r="BJ315" s="567"/>
      <c r="BK315" s="567"/>
      <c r="BL315" s="567"/>
      <c r="BM315" s="567"/>
      <c r="BN315" s="567"/>
      <c r="BO315" s="567"/>
      <c r="BP315" s="567"/>
      <c r="BQ315" s="567"/>
      <c r="BR315" s="567"/>
      <c r="BS315" s="567"/>
      <c r="BT315" s="567"/>
      <c r="BU315" s="567"/>
      <c r="BV315" s="567"/>
      <c r="BW315" s="567"/>
      <c r="BX315" s="567"/>
      <c r="BY315" s="567"/>
      <c r="BZ315" s="567"/>
      <c r="CA315" s="567"/>
      <c r="CB315" s="567"/>
      <c r="CC315" s="567"/>
      <c r="CD315" s="567"/>
      <c r="CE315" s="567"/>
      <c r="CF315" s="567"/>
      <c r="CG315" s="567"/>
      <c r="CH315" s="567"/>
      <c r="CI315" s="567"/>
      <c r="CJ315" s="567"/>
      <c r="CK315" s="567"/>
      <c r="CL315" s="567"/>
      <c r="CM315" s="567"/>
      <c r="CN315" s="567"/>
      <c r="CO315" s="567"/>
      <c r="CP315" s="567"/>
      <c r="CQ315" s="567"/>
      <c r="CR315" s="567"/>
      <c r="CS315" s="567"/>
      <c r="CT315" s="567"/>
      <c r="CU315" s="567"/>
      <c r="CV315" s="567"/>
      <c r="CW315" s="567"/>
      <c r="CX315" s="567"/>
      <c r="CY315" s="567"/>
      <c r="CZ315" s="567"/>
      <c r="DA315" s="567"/>
      <c r="DB315" s="567"/>
      <c r="DC315" s="567"/>
      <c r="DD315" s="567"/>
      <c r="DE315" s="567"/>
      <c r="DF315" s="567"/>
      <c r="DG315" s="567"/>
      <c r="DH315" s="567"/>
      <c r="DI315" s="567"/>
      <c r="DJ315" s="567"/>
      <c r="DK315" s="567"/>
      <c r="DL315" s="567"/>
      <c r="DM315" s="567"/>
      <c r="DN315" s="567"/>
      <c r="DO315" s="567"/>
      <c r="DP315" s="567"/>
      <c r="DQ315" s="567"/>
    </row>
    <row r="316" spans="1:121" s="487" customFormat="1">
      <c r="A316" s="588"/>
      <c r="B316" s="588"/>
      <c r="C316" s="588"/>
      <c r="D316" s="588"/>
      <c r="E316" s="588"/>
      <c r="F316" s="588"/>
      <c r="G316" s="588"/>
      <c r="H316" s="588"/>
      <c r="I316" s="588"/>
      <c r="J316" s="588"/>
      <c r="K316" s="588"/>
      <c r="L316" s="702"/>
      <c r="M316" s="888"/>
      <c r="N316" s="888"/>
      <c r="O316" s="888"/>
      <c r="P316" s="888"/>
      <c r="Q316" s="888"/>
      <c r="R316" s="888"/>
      <c r="S316" s="888"/>
      <c r="T316" s="888"/>
      <c r="U316" s="888"/>
      <c r="V316" s="888"/>
      <c r="W316" s="888"/>
      <c r="X316" s="888"/>
      <c r="Y316" s="888"/>
      <c r="Z316" s="888"/>
      <c r="AA316" s="888"/>
      <c r="AB316" s="888"/>
      <c r="AC316" s="888"/>
      <c r="AD316" s="888"/>
      <c r="AE316" s="888"/>
      <c r="AF316" s="888"/>
      <c r="AG316" s="888"/>
      <c r="AH316" s="888"/>
      <c r="AI316" s="888"/>
      <c r="AJ316" s="888"/>
      <c r="AK316" s="888"/>
      <c r="AL316" s="888"/>
      <c r="AM316" s="888"/>
      <c r="AN316" s="888"/>
      <c r="AO316" s="888"/>
      <c r="AP316" s="888"/>
      <c r="AQ316" s="888"/>
      <c r="AR316" s="888"/>
      <c r="AS316" s="888"/>
      <c r="AT316" s="888"/>
      <c r="AU316" s="888"/>
      <c r="AV316" s="888"/>
      <c r="AW316" s="888"/>
      <c r="AX316" s="888"/>
      <c r="AY316" s="888"/>
      <c r="AZ316" s="567"/>
      <c r="BA316" s="567"/>
      <c r="BB316" s="567"/>
      <c r="BC316" s="567"/>
      <c r="BD316" s="567"/>
      <c r="BE316" s="567"/>
      <c r="BF316" s="567"/>
      <c r="BG316" s="567"/>
      <c r="BH316" s="567"/>
      <c r="BI316" s="567"/>
      <c r="BJ316" s="567"/>
      <c r="BK316" s="567"/>
      <c r="BL316" s="567"/>
      <c r="BM316" s="567"/>
      <c r="BN316" s="567"/>
      <c r="BO316" s="567"/>
      <c r="BP316" s="567"/>
      <c r="BQ316" s="567"/>
      <c r="BR316" s="567"/>
      <c r="BS316" s="567"/>
      <c r="BT316" s="567"/>
      <c r="BU316" s="567"/>
      <c r="BV316" s="567"/>
      <c r="BW316" s="567"/>
      <c r="BX316" s="567"/>
      <c r="BY316" s="567"/>
      <c r="BZ316" s="567"/>
      <c r="CA316" s="567"/>
      <c r="CB316" s="567"/>
      <c r="CC316" s="567"/>
      <c r="CD316" s="567"/>
      <c r="CE316" s="567"/>
      <c r="CF316" s="567"/>
      <c r="CG316" s="567"/>
      <c r="CH316" s="567"/>
      <c r="CI316" s="567"/>
      <c r="CJ316" s="567"/>
      <c r="CK316" s="567"/>
      <c r="CL316" s="567"/>
      <c r="CM316" s="567"/>
      <c r="CN316" s="567"/>
      <c r="CO316" s="567"/>
      <c r="CP316" s="567"/>
      <c r="CQ316" s="567"/>
      <c r="CR316" s="567"/>
      <c r="CS316" s="567"/>
      <c r="CT316" s="567"/>
      <c r="CU316" s="567"/>
      <c r="CV316" s="567"/>
      <c r="CW316" s="567"/>
      <c r="CX316" s="567"/>
      <c r="CY316" s="567"/>
      <c r="CZ316" s="567"/>
      <c r="DA316" s="567"/>
      <c r="DB316" s="567"/>
      <c r="DC316" s="567"/>
      <c r="DD316" s="567"/>
      <c r="DE316" s="567"/>
      <c r="DF316" s="567"/>
      <c r="DG316" s="567"/>
      <c r="DH316" s="567"/>
      <c r="DI316" s="567"/>
      <c r="DJ316" s="567"/>
      <c r="DK316" s="567"/>
      <c r="DL316" s="567"/>
      <c r="DM316" s="567"/>
      <c r="DN316" s="567"/>
      <c r="DO316" s="567"/>
      <c r="DP316" s="567"/>
      <c r="DQ316" s="567"/>
    </row>
    <row r="317" spans="1:121" s="487" customFormat="1">
      <c r="A317" s="588"/>
      <c r="B317" s="588"/>
      <c r="C317" s="588"/>
      <c r="D317" s="588"/>
      <c r="E317" s="588"/>
      <c r="F317" s="588"/>
      <c r="G317" s="588"/>
      <c r="H317" s="588"/>
      <c r="I317" s="588"/>
      <c r="J317" s="588"/>
      <c r="K317" s="588"/>
      <c r="L317" s="702"/>
      <c r="M317" s="888"/>
      <c r="N317" s="888"/>
      <c r="O317" s="888"/>
      <c r="P317" s="888"/>
      <c r="Q317" s="888"/>
      <c r="R317" s="888"/>
      <c r="S317" s="888"/>
      <c r="T317" s="888"/>
      <c r="U317" s="888"/>
      <c r="V317" s="888"/>
      <c r="W317" s="888"/>
      <c r="X317" s="888"/>
      <c r="Y317" s="888"/>
      <c r="Z317" s="888"/>
      <c r="AA317" s="888"/>
      <c r="AB317" s="888"/>
      <c r="AC317" s="888"/>
      <c r="AD317" s="888"/>
      <c r="AE317" s="888"/>
      <c r="AF317" s="888"/>
      <c r="AG317" s="888"/>
      <c r="AH317" s="888"/>
      <c r="AI317" s="888"/>
      <c r="AJ317" s="888"/>
      <c r="AK317" s="888"/>
      <c r="AL317" s="888"/>
      <c r="AM317" s="888"/>
      <c r="AN317" s="888"/>
      <c r="AO317" s="888"/>
      <c r="AP317" s="888"/>
      <c r="AQ317" s="888"/>
      <c r="AR317" s="888"/>
      <c r="AS317" s="888"/>
      <c r="AT317" s="888"/>
      <c r="AU317" s="888"/>
      <c r="AV317" s="888"/>
      <c r="AW317" s="888"/>
      <c r="AX317" s="888"/>
      <c r="AY317" s="888"/>
      <c r="AZ317" s="567"/>
      <c r="BA317" s="567"/>
      <c r="BB317" s="567"/>
      <c r="BC317" s="567"/>
      <c r="BD317" s="567"/>
      <c r="BE317" s="567"/>
      <c r="BF317" s="567"/>
      <c r="BG317" s="567"/>
      <c r="BH317" s="567"/>
      <c r="BI317" s="567"/>
      <c r="BJ317" s="567"/>
      <c r="BK317" s="567"/>
      <c r="BL317" s="567"/>
      <c r="BM317" s="567"/>
      <c r="BN317" s="567"/>
      <c r="BO317" s="567"/>
      <c r="BP317" s="567"/>
      <c r="BQ317" s="567"/>
      <c r="BR317" s="567"/>
      <c r="BS317" s="567"/>
      <c r="BT317" s="567"/>
      <c r="BU317" s="567"/>
      <c r="BV317" s="567"/>
      <c r="BW317" s="567"/>
      <c r="BX317" s="567"/>
      <c r="BY317" s="567"/>
      <c r="BZ317" s="567"/>
      <c r="CA317" s="567"/>
      <c r="CB317" s="567"/>
      <c r="CC317" s="567"/>
      <c r="CD317" s="567"/>
      <c r="CE317" s="567"/>
      <c r="CF317" s="567"/>
      <c r="CG317" s="567"/>
      <c r="CH317" s="567"/>
      <c r="CI317" s="567"/>
      <c r="CJ317" s="567"/>
      <c r="CK317" s="567"/>
      <c r="CL317" s="567"/>
      <c r="CM317" s="567"/>
      <c r="CN317" s="567"/>
      <c r="CO317" s="567"/>
      <c r="CP317" s="567"/>
      <c r="CQ317" s="567"/>
      <c r="CR317" s="567"/>
      <c r="CS317" s="567"/>
      <c r="CT317" s="567"/>
      <c r="CU317" s="567"/>
      <c r="CV317" s="567"/>
      <c r="CW317" s="567"/>
      <c r="CX317" s="567"/>
      <c r="CY317" s="567"/>
      <c r="CZ317" s="567"/>
      <c r="DA317" s="567"/>
      <c r="DB317" s="567"/>
      <c r="DC317" s="567"/>
      <c r="DD317" s="567"/>
      <c r="DE317" s="567"/>
      <c r="DF317" s="567"/>
      <c r="DG317" s="567"/>
      <c r="DH317" s="567"/>
      <c r="DI317" s="567"/>
      <c r="DJ317" s="567"/>
      <c r="DK317" s="567"/>
      <c r="DL317" s="567"/>
      <c r="DM317" s="567"/>
      <c r="DN317" s="567"/>
      <c r="DO317" s="567"/>
      <c r="DP317" s="567"/>
      <c r="DQ317" s="567"/>
    </row>
    <row r="318" spans="1:121" s="487" customFormat="1">
      <c r="A318" s="588"/>
      <c r="B318" s="588"/>
      <c r="C318" s="588"/>
      <c r="D318" s="588"/>
      <c r="E318" s="588"/>
      <c r="F318" s="588"/>
      <c r="G318" s="588"/>
      <c r="H318" s="588"/>
      <c r="I318" s="588"/>
      <c r="J318" s="588"/>
      <c r="K318" s="588"/>
      <c r="L318" s="702"/>
      <c r="M318" s="888"/>
      <c r="N318" s="888"/>
      <c r="O318" s="888"/>
      <c r="P318" s="888"/>
      <c r="Q318" s="888"/>
      <c r="R318" s="888"/>
      <c r="S318" s="888"/>
      <c r="T318" s="888"/>
      <c r="U318" s="888"/>
      <c r="V318" s="888"/>
      <c r="W318" s="888"/>
      <c r="X318" s="888"/>
      <c r="Y318" s="888"/>
      <c r="Z318" s="888"/>
      <c r="AA318" s="888"/>
      <c r="AB318" s="888"/>
      <c r="AC318" s="888"/>
      <c r="AD318" s="888"/>
      <c r="AE318" s="888"/>
      <c r="AF318" s="888"/>
      <c r="AG318" s="888"/>
      <c r="AH318" s="888"/>
      <c r="AI318" s="888"/>
      <c r="AJ318" s="888"/>
      <c r="AK318" s="888"/>
      <c r="AL318" s="888"/>
      <c r="AM318" s="888"/>
      <c r="AN318" s="888"/>
      <c r="AO318" s="888"/>
      <c r="AP318" s="888"/>
      <c r="AQ318" s="888"/>
      <c r="AR318" s="888"/>
      <c r="AS318" s="888"/>
      <c r="AT318" s="888"/>
      <c r="AU318" s="888"/>
      <c r="AV318" s="888"/>
      <c r="AW318" s="888"/>
      <c r="AX318" s="888"/>
      <c r="AY318" s="888"/>
      <c r="AZ318" s="567"/>
      <c r="BA318" s="567"/>
      <c r="BB318" s="567"/>
      <c r="BC318" s="567"/>
      <c r="BD318" s="567"/>
      <c r="BE318" s="567"/>
      <c r="BF318" s="567"/>
      <c r="BG318" s="567"/>
      <c r="BH318" s="567"/>
      <c r="BI318" s="567"/>
      <c r="BJ318" s="567"/>
      <c r="BK318" s="567"/>
      <c r="BL318" s="567"/>
      <c r="BM318" s="567"/>
      <c r="BN318" s="567"/>
      <c r="BO318" s="567"/>
      <c r="BP318" s="567"/>
      <c r="BQ318" s="567"/>
      <c r="BR318" s="567"/>
      <c r="BS318" s="567"/>
      <c r="BT318" s="567"/>
      <c r="BU318" s="567"/>
      <c r="BV318" s="567"/>
      <c r="BW318" s="567"/>
      <c r="BX318" s="567"/>
      <c r="BY318" s="567"/>
      <c r="BZ318" s="567"/>
      <c r="CA318" s="567"/>
      <c r="CB318" s="567"/>
      <c r="CC318" s="567"/>
      <c r="CD318" s="567"/>
      <c r="CE318" s="567"/>
      <c r="CF318" s="567"/>
      <c r="CG318" s="567"/>
      <c r="CH318" s="567"/>
      <c r="CI318" s="567"/>
      <c r="CJ318" s="567"/>
      <c r="CK318" s="567"/>
      <c r="CL318" s="567"/>
      <c r="CM318" s="567"/>
      <c r="CN318" s="567"/>
      <c r="CO318" s="567"/>
      <c r="CP318" s="567"/>
      <c r="CQ318" s="567"/>
      <c r="CR318" s="567"/>
      <c r="CS318" s="567"/>
      <c r="CT318" s="567"/>
      <c r="CU318" s="567"/>
      <c r="CV318" s="567"/>
      <c r="CW318" s="567"/>
      <c r="CX318" s="567"/>
      <c r="CY318" s="567"/>
      <c r="CZ318" s="567"/>
      <c r="DA318" s="567"/>
      <c r="DB318" s="567"/>
      <c r="DC318" s="567"/>
      <c r="DD318" s="567"/>
      <c r="DE318" s="567"/>
      <c r="DF318" s="567"/>
      <c r="DG318" s="567"/>
      <c r="DH318" s="567"/>
      <c r="DI318" s="567"/>
      <c r="DJ318" s="567"/>
      <c r="DK318" s="567"/>
      <c r="DL318" s="567"/>
      <c r="DM318" s="567"/>
      <c r="DN318" s="567"/>
      <c r="DO318" s="567"/>
      <c r="DP318" s="567"/>
      <c r="DQ318" s="567"/>
    </row>
    <row r="319" spans="1:121" s="487" customFormat="1">
      <c r="A319" s="588"/>
      <c r="B319" s="588"/>
      <c r="C319" s="588"/>
      <c r="D319" s="588"/>
      <c r="E319" s="588"/>
      <c r="F319" s="588"/>
      <c r="G319" s="588"/>
      <c r="H319" s="588"/>
      <c r="I319" s="588"/>
      <c r="J319" s="588"/>
      <c r="K319" s="588"/>
      <c r="L319" s="702"/>
      <c r="M319" s="888"/>
      <c r="N319" s="888"/>
      <c r="O319" s="888"/>
      <c r="P319" s="888"/>
      <c r="Q319" s="888"/>
      <c r="R319" s="888"/>
      <c r="S319" s="888"/>
      <c r="T319" s="888"/>
      <c r="U319" s="888"/>
      <c r="V319" s="888"/>
      <c r="W319" s="888"/>
      <c r="X319" s="888"/>
      <c r="Y319" s="888"/>
      <c r="Z319" s="888"/>
      <c r="AA319" s="888"/>
      <c r="AB319" s="888"/>
      <c r="AC319" s="888"/>
      <c r="AD319" s="888"/>
      <c r="AE319" s="888"/>
      <c r="AF319" s="888"/>
      <c r="AG319" s="888"/>
      <c r="AH319" s="888"/>
      <c r="AI319" s="888"/>
      <c r="AJ319" s="888"/>
      <c r="AK319" s="888"/>
      <c r="AL319" s="888"/>
      <c r="AM319" s="888"/>
      <c r="AN319" s="888"/>
      <c r="AO319" s="888"/>
      <c r="AP319" s="888"/>
      <c r="AQ319" s="888"/>
      <c r="AR319" s="888"/>
      <c r="AS319" s="888"/>
      <c r="AT319" s="888"/>
      <c r="AU319" s="888"/>
      <c r="AV319" s="888"/>
      <c r="AW319" s="888"/>
      <c r="AX319" s="888"/>
      <c r="AY319" s="888"/>
      <c r="AZ319" s="567"/>
      <c r="BA319" s="567"/>
      <c r="BB319" s="567"/>
      <c r="BC319" s="567"/>
      <c r="BD319" s="567"/>
      <c r="BE319" s="567"/>
      <c r="BF319" s="567"/>
      <c r="BG319" s="567"/>
      <c r="BH319" s="567"/>
      <c r="BI319" s="567"/>
      <c r="BJ319" s="567"/>
      <c r="BK319" s="567"/>
      <c r="BL319" s="567"/>
      <c r="BM319" s="567"/>
      <c r="BN319" s="567"/>
      <c r="BO319" s="567"/>
      <c r="BP319" s="567"/>
      <c r="BQ319" s="567"/>
      <c r="BR319" s="567"/>
      <c r="BS319" s="567"/>
      <c r="BT319" s="567"/>
      <c r="BU319" s="567"/>
      <c r="BV319" s="567"/>
      <c r="BW319" s="567"/>
      <c r="BX319" s="567"/>
      <c r="BY319" s="567"/>
      <c r="BZ319" s="567"/>
      <c r="CA319" s="567"/>
      <c r="CB319" s="567"/>
      <c r="CC319" s="567"/>
      <c r="CD319" s="567"/>
      <c r="CE319" s="567"/>
      <c r="CF319" s="567"/>
      <c r="CG319" s="567"/>
      <c r="CH319" s="567"/>
      <c r="CI319" s="567"/>
      <c r="CJ319" s="567"/>
      <c r="CK319" s="567"/>
      <c r="CL319" s="567"/>
      <c r="CM319" s="567"/>
      <c r="CN319" s="567"/>
      <c r="CO319" s="567"/>
      <c r="CP319" s="567"/>
      <c r="CQ319" s="567"/>
      <c r="CR319" s="567"/>
      <c r="CS319" s="567"/>
      <c r="CT319" s="567"/>
      <c r="CU319" s="567"/>
      <c r="CV319" s="567"/>
      <c r="CW319" s="567"/>
      <c r="CX319" s="567"/>
      <c r="CY319" s="567"/>
      <c r="CZ319" s="567"/>
      <c r="DA319" s="567"/>
      <c r="DB319" s="567"/>
      <c r="DC319" s="567"/>
      <c r="DD319" s="567"/>
      <c r="DE319" s="567"/>
      <c r="DF319" s="567"/>
      <c r="DG319" s="567"/>
      <c r="DH319" s="567"/>
      <c r="DI319" s="567"/>
      <c r="DJ319" s="567"/>
      <c r="DK319" s="567"/>
      <c r="DL319" s="567"/>
      <c r="DM319" s="567"/>
      <c r="DN319" s="567"/>
      <c r="DO319" s="567"/>
      <c r="DP319" s="567"/>
      <c r="DQ319" s="567"/>
    </row>
    <row r="320" spans="1:121" s="487" customFormat="1">
      <c r="A320" s="588"/>
      <c r="B320" s="588"/>
      <c r="C320" s="588"/>
      <c r="D320" s="588"/>
      <c r="E320" s="588"/>
      <c r="F320" s="588"/>
      <c r="G320" s="588"/>
      <c r="H320" s="588"/>
      <c r="I320" s="588"/>
      <c r="J320" s="588"/>
      <c r="K320" s="588"/>
      <c r="L320" s="702"/>
      <c r="M320" s="888"/>
      <c r="N320" s="888"/>
      <c r="O320" s="888"/>
      <c r="P320" s="888"/>
      <c r="Q320" s="888"/>
      <c r="R320" s="888"/>
      <c r="S320" s="888"/>
      <c r="T320" s="888"/>
      <c r="U320" s="888"/>
      <c r="V320" s="888"/>
      <c r="W320" s="888"/>
      <c r="X320" s="888"/>
      <c r="Y320" s="888"/>
      <c r="Z320" s="888"/>
      <c r="AA320" s="888"/>
      <c r="AB320" s="888"/>
      <c r="AC320" s="888"/>
      <c r="AD320" s="888"/>
      <c r="AE320" s="888"/>
      <c r="AF320" s="888"/>
      <c r="AG320" s="888"/>
      <c r="AH320" s="888"/>
      <c r="AI320" s="888"/>
      <c r="AJ320" s="888"/>
      <c r="AK320" s="888"/>
      <c r="AL320" s="888"/>
      <c r="AM320" s="888"/>
      <c r="AN320" s="888"/>
      <c r="AO320" s="888"/>
      <c r="AP320" s="888"/>
      <c r="AQ320" s="888"/>
      <c r="AR320" s="888"/>
      <c r="AS320" s="888"/>
      <c r="AT320" s="888"/>
      <c r="AU320" s="888"/>
      <c r="AV320" s="888"/>
      <c r="AW320" s="888"/>
      <c r="AX320" s="888"/>
      <c r="AY320" s="888"/>
      <c r="AZ320" s="567"/>
      <c r="BA320" s="567"/>
      <c r="BB320" s="567"/>
      <c r="BC320" s="567"/>
      <c r="BD320" s="567"/>
      <c r="BE320" s="567"/>
      <c r="BF320" s="567"/>
      <c r="BG320" s="567"/>
      <c r="BH320" s="567"/>
      <c r="BI320" s="567"/>
      <c r="BJ320" s="567"/>
      <c r="BK320" s="567"/>
      <c r="BL320" s="567"/>
      <c r="BM320" s="567"/>
      <c r="BN320" s="567"/>
      <c r="BO320" s="567"/>
      <c r="BP320" s="567"/>
      <c r="BQ320" s="567"/>
      <c r="BR320" s="567"/>
      <c r="BS320" s="567"/>
      <c r="BT320" s="567"/>
      <c r="BU320" s="567"/>
      <c r="BV320" s="567"/>
      <c r="BW320" s="567"/>
      <c r="BX320" s="567"/>
      <c r="BY320" s="567"/>
      <c r="BZ320" s="567"/>
      <c r="CA320" s="567"/>
      <c r="CB320" s="567"/>
      <c r="CC320" s="567"/>
      <c r="CD320" s="567"/>
      <c r="CE320" s="567"/>
      <c r="CF320" s="567"/>
      <c r="CG320" s="567"/>
      <c r="CH320" s="567"/>
      <c r="CI320" s="567"/>
      <c r="CJ320" s="567"/>
      <c r="CK320" s="567"/>
      <c r="CL320" s="567"/>
      <c r="CM320" s="567"/>
      <c r="CN320" s="567"/>
      <c r="CO320" s="567"/>
      <c r="CP320" s="567"/>
      <c r="CQ320" s="567"/>
      <c r="CR320" s="567"/>
      <c r="CS320" s="567"/>
      <c r="CT320" s="567"/>
      <c r="CU320" s="567"/>
      <c r="CV320" s="567"/>
      <c r="CW320" s="567"/>
      <c r="CX320" s="567"/>
      <c r="CY320" s="567"/>
      <c r="CZ320" s="567"/>
      <c r="DA320" s="567"/>
      <c r="DB320" s="567"/>
      <c r="DC320" s="567"/>
      <c r="DD320" s="567"/>
      <c r="DE320" s="567"/>
      <c r="DF320" s="567"/>
      <c r="DG320" s="567"/>
      <c r="DH320" s="567"/>
      <c r="DI320" s="567"/>
      <c r="DJ320" s="567"/>
      <c r="DK320" s="567"/>
      <c r="DL320" s="567"/>
      <c r="DM320" s="567"/>
      <c r="DN320" s="567"/>
      <c r="DO320" s="567"/>
      <c r="DP320" s="567"/>
      <c r="DQ320" s="567"/>
    </row>
    <row r="321" spans="1:121" s="487" customFormat="1">
      <c r="A321" s="588"/>
      <c r="B321" s="588"/>
      <c r="C321" s="588"/>
      <c r="D321" s="588"/>
      <c r="E321" s="588"/>
      <c r="F321" s="588"/>
      <c r="G321" s="588"/>
      <c r="H321" s="588"/>
      <c r="I321" s="588"/>
      <c r="J321" s="588"/>
      <c r="K321" s="588"/>
      <c r="L321" s="702"/>
      <c r="M321" s="888"/>
      <c r="N321" s="888"/>
      <c r="O321" s="888"/>
      <c r="P321" s="888"/>
      <c r="Q321" s="888"/>
      <c r="R321" s="888"/>
      <c r="S321" s="888"/>
      <c r="T321" s="888"/>
      <c r="U321" s="888"/>
      <c r="V321" s="888"/>
      <c r="W321" s="888"/>
      <c r="X321" s="888"/>
      <c r="Y321" s="888"/>
      <c r="Z321" s="888"/>
      <c r="AA321" s="888"/>
      <c r="AB321" s="888"/>
      <c r="AC321" s="888"/>
      <c r="AD321" s="888"/>
      <c r="AE321" s="888"/>
      <c r="AF321" s="888"/>
      <c r="AG321" s="888"/>
      <c r="AH321" s="888"/>
      <c r="AI321" s="888"/>
      <c r="AJ321" s="888"/>
      <c r="AK321" s="888"/>
      <c r="AL321" s="888"/>
      <c r="AM321" s="888"/>
      <c r="AN321" s="888"/>
      <c r="AO321" s="888"/>
      <c r="AP321" s="888"/>
      <c r="AQ321" s="888"/>
      <c r="AR321" s="888"/>
      <c r="AS321" s="888"/>
      <c r="AT321" s="888"/>
      <c r="AU321" s="888"/>
      <c r="AV321" s="888"/>
      <c r="AW321" s="888"/>
      <c r="AX321" s="888"/>
      <c r="AY321" s="888"/>
      <c r="AZ321" s="567"/>
      <c r="BA321" s="567"/>
      <c r="BB321" s="567"/>
      <c r="BC321" s="567"/>
      <c r="BD321" s="567"/>
      <c r="BE321" s="567"/>
      <c r="BF321" s="567"/>
      <c r="BG321" s="567"/>
      <c r="BH321" s="567"/>
      <c r="BI321" s="567"/>
      <c r="BJ321" s="567"/>
      <c r="BK321" s="567"/>
      <c r="BL321" s="567"/>
      <c r="BM321" s="567"/>
      <c r="BN321" s="567"/>
      <c r="BO321" s="567"/>
      <c r="BP321" s="567"/>
      <c r="BQ321" s="567"/>
      <c r="BR321" s="567"/>
      <c r="BS321" s="567"/>
      <c r="BT321" s="567"/>
      <c r="BU321" s="567"/>
      <c r="BV321" s="567"/>
      <c r="BW321" s="567"/>
      <c r="BX321" s="567"/>
      <c r="BY321" s="567"/>
      <c r="BZ321" s="567"/>
      <c r="CA321" s="567"/>
      <c r="CB321" s="567"/>
      <c r="CC321" s="567"/>
      <c r="CD321" s="567"/>
      <c r="CE321" s="567"/>
      <c r="CF321" s="567"/>
      <c r="CG321" s="567"/>
      <c r="CH321" s="567"/>
      <c r="CI321" s="567"/>
      <c r="CJ321" s="567"/>
      <c r="CK321" s="567"/>
      <c r="CL321" s="567"/>
      <c r="CM321" s="567"/>
      <c r="CN321" s="567"/>
      <c r="CO321" s="567"/>
      <c r="CP321" s="567"/>
      <c r="CQ321" s="567"/>
      <c r="CR321" s="567"/>
      <c r="CS321" s="567"/>
      <c r="CT321" s="567"/>
      <c r="CU321" s="567"/>
      <c r="CV321" s="567"/>
      <c r="CW321" s="567"/>
      <c r="CX321" s="567"/>
      <c r="CY321" s="567"/>
      <c r="CZ321" s="567"/>
      <c r="DA321" s="567"/>
      <c r="DB321" s="567"/>
      <c r="DC321" s="567"/>
      <c r="DD321" s="567"/>
      <c r="DE321" s="567"/>
      <c r="DF321" s="567"/>
      <c r="DG321" s="567"/>
      <c r="DH321" s="567"/>
      <c r="DI321" s="567"/>
      <c r="DJ321" s="567"/>
      <c r="DK321" s="567"/>
      <c r="DL321" s="567"/>
      <c r="DM321" s="567"/>
      <c r="DN321" s="567"/>
      <c r="DO321" s="567"/>
      <c r="DP321" s="567"/>
      <c r="DQ321" s="567"/>
    </row>
    <row r="322" spans="1:121" s="487" customFormat="1">
      <c r="A322" s="588"/>
      <c r="B322" s="588"/>
      <c r="C322" s="588"/>
      <c r="D322" s="588"/>
      <c r="E322" s="588"/>
      <c r="F322" s="588"/>
      <c r="G322" s="588"/>
      <c r="H322" s="588"/>
      <c r="I322" s="588"/>
      <c r="J322" s="588"/>
      <c r="K322" s="588"/>
      <c r="L322" s="702"/>
      <c r="M322" s="888"/>
      <c r="N322" s="888"/>
      <c r="O322" s="888"/>
      <c r="P322" s="888"/>
      <c r="Q322" s="888"/>
      <c r="R322" s="888"/>
      <c r="S322" s="888"/>
      <c r="T322" s="888"/>
      <c r="U322" s="888"/>
      <c r="V322" s="888"/>
      <c r="W322" s="888"/>
      <c r="X322" s="888"/>
      <c r="Y322" s="888"/>
      <c r="Z322" s="888"/>
      <c r="AA322" s="888"/>
      <c r="AB322" s="888"/>
      <c r="AC322" s="888"/>
      <c r="AD322" s="888"/>
      <c r="AE322" s="888"/>
      <c r="AF322" s="888"/>
      <c r="AG322" s="888"/>
      <c r="AH322" s="888"/>
      <c r="AI322" s="888"/>
      <c r="AJ322" s="888"/>
      <c r="AK322" s="888"/>
      <c r="AL322" s="888"/>
      <c r="AM322" s="888"/>
      <c r="AN322" s="888"/>
      <c r="AO322" s="888"/>
      <c r="AP322" s="888"/>
      <c r="AQ322" s="888"/>
      <c r="AR322" s="888"/>
      <c r="AS322" s="888"/>
      <c r="AT322" s="888"/>
      <c r="AU322" s="888"/>
      <c r="AV322" s="888"/>
      <c r="AW322" s="888"/>
      <c r="AX322" s="888"/>
      <c r="AY322" s="888"/>
      <c r="AZ322" s="567"/>
      <c r="BA322" s="567"/>
      <c r="BB322" s="567"/>
      <c r="BC322" s="567"/>
      <c r="BD322" s="567"/>
      <c r="BE322" s="567"/>
      <c r="BF322" s="567"/>
      <c r="BG322" s="567"/>
      <c r="BH322" s="567"/>
      <c r="BI322" s="567"/>
      <c r="BJ322" s="567"/>
      <c r="BK322" s="567"/>
      <c r="BL322" s="567"/>
      <c r="BM322" s="567"/>
      <c r="BN322" s="567"/>
      <c r="BO322" s="567"/>
      <c r="BP322" s="567"/>
      <c r="BQ322" s="567"/>
      <c r="BR322" s="567"/>
      <c r="BS322" s="567"/>
      <c r="BT322" s="567"/>
      <c r="BU322" s="567"/>
      <c r="BV322" s="567"/>
      <c r="BW322" s="567"/>
      <c r="BX322" s="567"/>
      <c r="BY322" s="567"/>
      <c r="BZ322" s="567"/>
      <c r="CA322" s="567"/>
      <c r="CB322" s="567"/>
      <c r="CC322" s="567"/>
      <c r="CD322" s="567"/>
      <c r="CE322" s="567"/>
      <c r="CF322" s="567"/>
      <c r="CG322" s="567"/>
      <c r="CH322" s="567"/>
      <c r="CI322" s="567"/>
      <c r="CJ322" s="567"/>
      <c r="CK322" s="567"/>
      <c r="CL322" s="567"/>
      <c r="CM322" s="567"/>
      <c r="CN322" s="567"/>
      <c r="CO322" s="567"/>
      <c r="CP322" s="567"/>
      <c r="CQ322" s="567"/>
      <c r="CR322" s="567"/>
      <c r="CS322" s="567"/>
      <c r="CT322" s="567"/>
      <c r="CU322" s="567"/>
      <c r="CV322" s="567"/>
      <c r="CW322" s="567"/>
      <c r="CX322" s="567"/>
      <c r="CY322" s="567"/>
      <c r="CZ322" s="567"/>
      <c r="DA322" s="567"/>
      <c r="DB322" s="567"/>
      <c r="DC322" s="567"/>
      <c r="DD322" s="567"/>
      <c r="DE322" s="567"/>
      <c r="DF322" s="567"/>
      <c r="DG322" s="567"/>
      <c r="DH322" s="567"/>
      <c r="DI322" s="567"/>
      <c r="DJ322" s="567"/>
      <c r="DK322" s="567"/>
      <c r="DL322" s="567"/>
      <c r="DM322" s="567"/>
      <c r="DN322" s="567"/>
      <c r="DO322" s="567"/>
      <c r="DP322" s="567"/>
      <c r="DQ322" s="567"/>
    </row>
    <row r="323" spans="1:121" s="487" customFormat="1">
      <c r="A323" s="588"/>
      <c r="B323" s="588"/>
      <c r="C323" s="588"/>
      <c r="D323" s="588"/>
      <c r="E323" s="588"/>
      <c r="F323" s="588"/>
      <c r="G323" s="588"/>
      <c r="H323" s="588"/>
      <c r="I323" s="588"/>
      <c r="J323" s="588"/>
      <c r="K323" s="588"/>
      <c r="L323" s="702"/>
      <c r="M323" s="888"/>
      <c r="N323" s="888"/>
      <c r="O323" s="888"/>
      <c r="P323" s="888"/>
      <c r="Q323" s="888"/>
      <c r="R323" s="888"/>
      <c r="S323" s="888"/>
      <c r="T323" s="888"/>
      <c r="U323" s="888"/>
      <c r="V323" s="888"/>
      <c r="W323" s="888"/>
      <c r="X323" s="888"/>
      <c r="Y323" s="888"/>
      <c r="Z323" s="888"/>
      <c r="AA323" s="888"/>
      <c r="AB323" s="888"/>
      <c r="AC323" s="888"/>
      <c r="AD323" s="888"/>
      <c r="AE323" s="888"/>
      <c r="AF323" s="888"/>
      <c r="AG323" s="888"/>
      <c r="AH323" s="888"/>
      <c r="AI323" s="888"/>
      <c r="AJ323" s="888"/>
      <c r="AK323" s="888"/>
      <c r="AL323" s="888"/>
      <c r="AM323" s="888"/>
      <c r="AN323" s="888"/>
      <c r="AO323" s="888"/>
      <c r="AP323" s="888"/>
      <c r="AQ323" s="888"/>
      <c r="AR323" s="888"/>
      <c r="AS323" s="888"/>
      <c r="AT323" s="888"/>
      <c r="AU323" s="888"/>
      <c r="AV323" s="888"/>
      <c r="AW323" s="888"/>
      <c r="AX323" s="888"/>
      <c r="AY323" s="888"/>
      <c r="AZ323" s="567"/>
      <c r="BA323" s="567"/>
      <c r="BB323" s="567"/>
      <c r="BC323" s="567"/>
      <c r="BD323" s="567"/>
      <c r="BE323" s="567"/>
      <c r="BF323" s="567"/>
      <c r="BG323" s="567"/>
      <c r="BH323" s="567"/>
      <c r="BI323" s="567"/>
      <c r="BJ323" s="567"/>
      <c r="BK323" s="567"/>
      <c r="BL323" s="567"/>
      <c r="BM323" s="567"/>
      <c r="BN323" s="567"/>
      <c r="BO323" s="567"/>
      <c r="BP323" s="567"/>
      <c r="BQ323" s="567"/>
      <c r="BR323" s="567"/>
      <c r="BS323" s="567"/>
      <c r="BT323" s="567"/>
      <c r="BU323" s="567"/>
      <c r="BV323" s="567"/>
      <c r="BW323" s="567"/>
      <c r="BX323" s="567"/>
      <c r="BY323" s="567"/>
      <c r="BZ323" s="567"/>
      <c r="CA323" s="567"/>
      <c r="CB323" s="567"/>
      <c r="CC323" s="567"/>
      <c r="CD323" s="567"/>
      <c r="CE323" s="567"/>
      <c r="CF323" s="567"/>
      <c r="CG323" s="567"/>
      <c r="CH323" s="567"/>
      <c r="CI323" s="567"/>
      <c r="CJ323" s="567"/>
      <c r="CK323" s="567"/>
      <c r="CL323" s="567"/>
      <c r="CM323" s="567"/>
      <c r="CN323" s="567"/>
      <c r="CO323" s="567"/>
      <c r="CP323" s="567"/>
      <c r="CQ323" s="567"/>
      <c r="CR323" s="567"/>
      <c r="CS323" s="567"/>
      <c r="CT323" s="567"/>
      <c r="CU323" s="567"/>
      <c r="CV323" s="567"/>
      <c r="CW323" s="567"/>
      <c r="CX323" s="567"/>
      <c r="CY323" s="567"/>
      <c r="CZ323" s="567"/>
      <c r="DA323" s="567"/>
      <c r="DB323" s="567"/>
      <c r="DC323" s="567"/>
      <c r="DD323" s="567"/>
      <c r="DE323" s="567"/>
      <c r="DF323" s="567"/>
      <c r="DG323" s="567"/>
      <c r="DH323" s="567"/>
      <c r="DI323" s="567"/>
      <c r="DJ323" s="567"/>
      <c r="DK323" s="567"/>
      <c r="DL323" s="567"/>
      <c r="DM323" s="567"/>
      <c r="DN323" s="567"/>
      <c r="DO323" s="567"/>
      <c r="DP323" s="567"/>
      <c r="DQ323" s="567"/>
    </row>
    <row r="324" spans="1:121" s="487" customFormat="1">
      <c r="A324" s="588"/>
      <c r="B324" s="588"/>
      <c r="C324" s="588"/>
      <c r="D324" s="588"/>
      <c r="E324" s="588"/>
      <c r="F324" s="588"/>
      <c r="G324" s="588"/>
      <c r="H324" s="588"/>
      <c r="I324" s="588"/>
      <c r="J324" s="588"/>
      <c r="K324" s="588"/>
      <c r="L324" s="702"/>
      <c r="M324" s="888"/>
      <c r="N324" s="888"/>
      <c r="O324" s="888"/>
      <c r="P324" s="888"/>
      <c r="Q324" s="888"/>
      <c r="R324" s="888"/>
      <c r="S324" s="888"/>
      <c r="T324" s="888"/>
      <c r="U324" s="888"/>
      <c r="V324" s="888"/>
      <c r="W324" s="888"/>
      <c r="X324" s="888"/>
      <c r="Y324" s="888"/>
      <c r="Z324" s="888"/>
      <c r="AA324" s="888"/>
      <c r="AB324" s="888"/>
      <c r="AC324" s="888"/>
      <c r="AD324" s="888"/>
      <c r="AE324" s="888"/>
      <c r="AF324" s="888"/>
      <c r="AG324" s="888"/>
      <c r="AH324" s="888"/>
      <c r="AI324" s="888"/>
      <c r="AJ324" s="888"/>
      <c r="AK324" s="888"/>
      <c r="AL324" s="888"/>
      <c r="AM324" s="888"/>
      <c r="AN324" s="888"/>
      <c r="AO324" s="888"/>
      <c r="AP324" s="888"/>
      <c r="AQ324" s="888"/>
      <c r="AR324" s="888"/>
      <c r="AS324" s="888"/>
      <c r="AT324" s="888"/>
      <c r="AU324" s="888"/>
      <c r="AV324" s="888"/>
      <c r="AW324" s="888"/>
      <c r="AX324" s="888"/>
      <c r="AY324" s="888"/>
      <c r="AZ324" s="567"/>
      <c r="BA324" s="567"/>
      <c r="BB324" s="567"/>
      <c r="BC324" s="567"/>
      <c r="BD324" s="567"/>
      <c r="BE324" s="567"/>
      <c r="BF324" s="567"/>
      <c r="BG324" s="567"/>
      <c r="BH324" s="567"/>
      <c r="BI324" s="567"/>
      <c r="BJ324" s="567"/>
      <c r="BK324" s="567"/>
      <c r="BL324" s="567"/>
      <c r="BM324" s="567"/>
      <c r="BN324" s="567"/>
      <c r="BO324" s="567"/>
      <c r="BP324" s="567"/>
      <c r="BQ324" s="567"/>
      <c r="BR324" s="567"/>
      <c r="BS324" s="567"/>
      <c r="BT324" s="567"/>
      <c r="BU324" s="567"/>
      <c r="BV324" s="567"/>
      <c r="BW324" s="567"/>
      <c r="BX324" s="567"/>
      <c r="BY324" s="567"/>
      <c r="BZ324" s="567"/>
      <c r="CA324" s="567"/>
      <c r="CB324" s="567"/>
      <c r="CC324" s="567"/>
      <c r="CD324" s="567"/>
      <c r="CE324" s="567"/>
      <c r="CF324" s="567"/>
      <c r="CG324" s="567"/>
      <c r="CH324" s="567"/>
      <c r="CI324" s="567"/>
      <c r="CJ324" s="567"/>
      <c r="CK324" s="567"/>
      <c r="CL324" s="567"/>
      <c r="CM324" s="567"/>
      <c r="CN324" s="567"/>
      <c r="CO324" s="567"/>
      <c r="CP324" s="567"/>
      <c r="CQ324" s="567"/>
      <c r="CR324" s="567"/>
      <c r="CS324" s="567"/>
      <c r="CT324" s="567"/>
      <c r="CU324" s="567"/>
      <c r="CV324" s="567"/>
      <c r="CW324" s="567"/>
      <c r="CX324" s="567"/>
      <c r="CY324" s="567"/>
      <c r="CZ324" s="567"/>
      <c r="DA324" s="567"/>
      <c r="DB324" s="567"/>
      <c r="DC324" s="567"/>
      <c r="DD324" s="567"/>
      <c r="DE324" s="567"/>
      <c r="DF324" s="567"/>
      <c r="DG324" s="567"/>
      <c r="DH324" s="567"/>
      <c r="DI324" s="567"/>
      <c r="DJ324" s="567"/>
      <c r="DK324" s="567"/>
      <c r="DL324" s="567"/>
      <c r="DM324" s="567"/>
      <c r="DN324" s="567"/>
      <c r="DO324" s="567"/>
      <c r="DP324" s="567"/>
      <c r="DQ324" s="567"/>
    </row>
    <row r="325" spans="1:121" s="487" customFormat="1">
      <c r="A325" s="588"/>
      <c r="B325" s="588"/>
      <c r="C325" s="588"/>
      <c r="D325" s="588"/>
      <c r="E325" s="588"/>
      <c r="F325" s="588"/>
      <c r="G325" s="588"/>
      <c r="H325" s="588"/>
      <c r="I325" s="588"/>
      <c r="J325" s="588"/>
      <c r="K325" s="588"/>
      <c r="L325" s="702"/>
      <c r="M325" s="888"/>
      <c r="N325" s="888"/>
      <c r="O325" s="888"/>
      <c r="P325" s="888"/>
      <c r="Q325" s="888"/>
      <c r="R325" s="888"/>
      <c r="S325" s="888"/>
      <c r="T325" s="888"/>
      <c r="U325" s="888"/>
      <c r="V325" s="888"/>
      <c r="W325" s="888"/>
      <c r="X325" s="888"/>
      <c r="Y325" s="888"/>
      <c r="Z325" s="888"/>
      <c r="AA325" s="888"/>
      <c r="AB325" s="888"/>
      <c r="AC325" s="888"/>
      <c r="AD325" s="888"/>
      <c r="AE325" s="888"/>
      <c r="AF325" s="888"/>
      <c r="AG325" s="888"/>
      <c r="AH325" s="888"/>
      <c r="AI325" s="888"/>
      <c r="AJ325" s="888"/>
      <c r="AK325" s="888"/>
      <c r="AL325" s="888"/>
      <c r="AM325" s="888"/>
      <c r="AN325" s="888"/>
      <c r="AO325" s="888"/>
      <c r="AP325" s="888"/>
      <c r="AQ325" s="888"/>
      <c r="AR325" s="888"/>
      <c r="AS325" s="888"/>
      <c r="AT325" s="888"/>
      <c r="AU325" s="888"/>
      <c r="AV325" s="888"/>
      <c r="AW325" s="888"/>
      <c r="AX325" s="888"/>
      <c r="AY325" s="888"/>
      <c r="AZ325" s="567"/>
      <c r="BA325" s="567"/>
      <c r="BB325" s="567"/>
      <c r="BC325" s="567"/>
      <c r="BD325" s="567"/>
      <c r="BE325" s="567"/>
      <c r="BF325" s="567"/>
      <c r="BG325" s="567"/>
      <c r="BH325" s="567"/>
      <c r="BI325" s="567"/>
      <c r="BJ325" s="567"/>
      <c r="BK325" s="567"/>
      <c r="BL325" s="567"/>
      <c r="BM325" s="567"/>
      <c r="BN325" s="567"/>
      <c r="BO325" s="567"/>
      <c r="BP325" s="567"/>
      <c r="BQ325" s="567"/>
      <c r="BR325" s="567"/>
      <c r="BS325" s="567"/>
      <c r="BT325" s="567"/>
      <c r="BU325" s="567"/>
      <c r="BV325" s="567"/>
      <c r="BW325" s="567"/>
      <c r="BX325" s="567"/>
      <c r="BY325" s="567"/>
      <c r="BZ325" s="567"/>
      <c r="CA325" s="567"/>
      <c r="CB325" s="567"/>
      <c r="CC325" s="567"/>
      <c r="CD325" s="567"/>
      <c r="CE325" s="567"/>
      <c r="CF325" s="567"/>
      <c r="CG325" s="567"/>
      <c r="CH325" s="567"/>
      <c r="CI325" s="567"/>
      <c r="CJ325" s="567"/>
      <c r="CK325" s="567"/>
      <c r="CL325" s="567"/>
      <c r="CM325" s="567"/>
      <c r="CN325" s="567"/>
      <c r="CO325" s="567"/>
      <c r="CP325" s="567"/>
      <c r="CQ325" s="567"/>
      <c r="CR325" s="567"/>
      <c r="CS325" s="567"/>
      <c r="CT325" s="567"/>
      <c r="CU325" s="567"/>
      <c r="CV325" s="567"/>
      <c r="CW325" s="567"/>
      <c r="CX325" s="567"/>
      <c r="CY325" s="567"/>
      <c r="CZ325" s="567"/>
      <c r="DA325" s="567"/>
      <c r="DB325" s="567"/>
      <c r="DC325" s="567"/>
      <c r="DD325" s="567"/>
      <c r="DE325" s="567"/>
      <c r="DF325" s="567"/>
      <c r="DG325" s="567"/>
      <c r="DH325" s="567"/>
      <c r="DI325" s="567"/>
      <c r="DJ325" s="567"/>
      <c r="DK325" s="567"/>
      <c r="DL325" s="567"/>
      <c r="DM325" s="567"/>
      <c r="DN325" s="567"/>
      <c r="DO325" s="567"/>
      <c r="DP325" s="567"/>
      <c r="DQ325" s="567"/>
    </row>
    <row r="326" spans="1:121" s="487" customFormat="1">
      <c r="A326" s="588"/>
      <c r="B326" s="588"/>
      <c r="C326" s="588"/>
      <c r="D326" s="588"/>
      <c r="E326" s="588"/>
      <c r="F326" s="588"/>
      <c r="G326" s="588"/>
      <c r="H326" s="588"/>
      <c r="I326" s="588"/>
      <c r="J326" s="588"/>
      <c r="K326" s="588"/>
      <c r="L326" s="702"/>
      <c r="M326" s="888"/>
      <c r="N326" s="888"/>
      <c r="O326" s="888"/>
      <c r="P326" s="888"/>
      <c r="Q326" s="888"/>
      <c r="R326" s="888"/>
      <c r="S326" s="888"/>
      <c r="T326" s="888"/>
      <c r="U326" s="888"/>
      <c r="V326" s="888"/>
      <c r="W326" s="888"/>
      <c r="X326" s="888"/>
      <c r="Y326" s="888"/>
      <c r="Z326" s="888"/>
      <c r="AA326" s="888"/>
      <c r="AB326" s="888"/>
      <c r="AC326" s="888"/>
      <c r="AD326" s="888"/>
      <c r="AE326" s="888"/>
      <c r="AF326" s="888"/>
      <c r="AG326" s="888"/>
      <c r="AH326" s="888"/>
      <c r="AI326" s="888"/>
      <c r="AJ326" s="888"/>
      <c r="AK326" s="888"/>
      <c r="AL326" s="888"/>
      <c r="AM326" s="888"/>
      <c r="AN326" s="888"/>
      <c r="AO326" s="888"/>
      <c r="AP326" s="888"/>
      <c r="AQ326" s="888"/>
      <c r="AR326" s="888"/>
      <c r="AS326" s="888"/>
      <c r="AT326" s="888"/>
      <c r="AU326" s="888"/>
      <c r="AV326" s="888"/>
      <c r="AW326" s="888"/>
      <c r="AX326" s="888"/>
      <c r="AY326" s="888"/>
      <c r="AZ326" s="567"/>
      <c r="BA326" s="567"/>
      <c r="BB326" s="567"/>
      <c r="BC326" s="567"/>
      <c r="BD326" s="567"/>
      <c r="BE326" s="567"/>
      <c r="BF326" s="567"/>
      <c r="BG326" s="567"/>
      <c r="BH326" s="567"/>
      <c r="BI326" s="567"/>
      <c r="BJ326" s="567"/>
      <c r="BK326" s="567"/>
      <c r="BL326" s="567"/>
      <c r="BM326" s="567"/>
      <c r="BN326" s="567"/>
      <c r="BO326" s="567"/>
      <c r="BP326" s="567"/>
      <c r="BQ326" s="567"/>
      <c r="BR326" s="567"/>
      <c r="BS326" s="567"/>
      <c r="BT326" s="567"/>
      <c r="BU326" s="567"/>
      <c r="BV326" s="567"/>
      <c r="BW326" s="567"/>
      <c r="BX326" s="567"/>
      <c r="BY326" s="567"/>
      <c r="BZ326" s="567"/>
      <c r="CA326" s="567"/>
      <c r="CB326" s="567"/>
      <c r="CC326" s="567"/>
      <c r="CD326" s="567"/>
      <c r="CE326" s="567"/>
      <c r="CF326" s="567"/>
      <c r="CG326" s="567"/>
      <c r="CH326" s="567"/>
      <c r="CI326" s="567"/>
      <c r="CJ326" s="567"/>
      <c r="CK326" s="567"/>
      <c r="CL326" s="567"/>
      <c r="CM326" s="567"/>
      <c r="CN326" s="567"/>
      <c r="CO326" s="567"/>
      <c r="CP326" s="567"/>
      <c r="CQ326" s="567"/>
      <c r="CR326" s="567"/>
      <c r="CS326" s="567"/>
      <c r="CT326" s="567"/>
      <c r="CU326" s="567"/>
      <c r="CV326" s="567"/>
      <c r="CW326" s="567"/>
      <c r="CX326" s="567"/>
      <c r="CY326" s="567"/>
      <c r="CZ326" s="567"/>
      <c r="DA326" s="567"/>
      <c r="DB326" s="567"/>
      <c r="DC326" s="567"/>
      <c r="DD326" s="567"/>
      <c r="DE326" s="567"/>
      <c r="DF326" s="567"/>
      <c r="DG326" s="567"/>
      <c r="DH326" s="567"/>
      <c r="DI326" s="567"/>
      <c r="DJ326" s="567"/>
      <c r="DK326" s="567"/>
      <c r="DL326" s="567"/>
      <c r="DM326" s="567"/>
      <c r="DN326" s="567"/>
      <c r="DO326" s="567"/>
      <c r="DP326" s="567"/>
      <c r="DQ326" s="567"/>
    </row>
    <row r="327" spans="1:121" s="487" customFormat="1">
      <c r="A327" s="588"/>
      <c r="B327" s="588"/>
      <c r="C327" s="588"/>
      <c r="D327" s="588"/>
      <c r="E327" s="588"/>
      <c r="F327" s="588"/>
      <c r="G327" s="588"/>
      <c r="H327" s="588"/>
      <c r="I327" s="588"/>
      <c r="J327" s="588"/>
      <c r="K327" s="588"/>
      <c r="L327" s="702"/>
      <c r="M327" s="888"/>
      <c r="N327" s="888"/>
      <c r="O327" s="888"/>
      <c r="P327" s="888"/>
      <c r="Q327" s="888"/>
      <c r="R327" s="888"/>
      <c r="S327" s="888"/>
      <c r="T327" s="888"/>
      <c r="U327" s="888"/>
      <c r="V327" s="888"/>
      <c r="W327" s="888"/>
      <c r="X327" s="888"/>
      <c r="Y327" s="888"/>
      <c r="Z327" s="888"/>
      <c r="AA327" s="888"/>
      <c r="AB327" s="888"/>
      <c r="AC327" s="888"/>
      <c r="AD327" s="888"/>
      <c r="AE327" s="888"/>
      <c r="AF327" s="888"/>
      <c r="AG327" s="888"/>
      <c r="AH327" s="888"/>
      <c r="AI327" s="888"/>
      <c r="AJ327" s="888"/>
      <c r="AK327" s="888"/>
      <c r="AL327" s="888"/>
      <c r="AM327" s="888"/>
      <c r="AN327" s="888"/>
      <c r="AO327" s="888"/>
      <c r="AP327" s="888"/>
      <c r="AQ327" s="888"/>
      <c r="AR327" s="888"/>
      <c r="AS327" s="888"/>
      <c r="AT327" s="888"/>
      <c r="AU327" s="888"/>
      <c r="AV327" s="888"/>
      <c r="AW327" s="888"/>
      <c r="AX327" s="888"/>
      <c r="AY327" s="888"/>
      <c r="AZ327" s="567"/>
      <c r="BA327" s="567"/>
      <c r="BB327" s="567"/>
      <c r="BC327" s="567"/>
      <c r="BD327" s="567"/>
      <c r="BE327" s="567"/>
      <c r="BF327" s="567"/>
      <c r="BG327" s="567"/>
      <c r="BH327" s="567"/>
      <c r="BI327" s="567"/>
      <c r="BJ327" s="567"/>
      <c r="BK327" s="567"/>
      <c r="BL327" s="567"/>
      <c r="BM327" s="567"/>
      <c r="BN327" s="567"/>
      <c r="BO327" s="567"/>
      <c r="BP327" s="567"/>
      <c r="BQ327" s="567"/>
      <c r="BR327" s="567"/>
      <c r="BS327" s="567"/>
      <c r="BT327" s="567"/>
      <c r="BU327" s="567"/>
      <c r="BV327" s="567"/>
      <c r="BW327" s="567"/>
      <c r="BX327" s="567"/>
      <c r="BY327" s="567"/>
      <c r="BZ327" s="567"/>
      <c r="CA327" s="567"/>
      <c r="CB327" s="567"/>
      <c r="CC327" s="567"/>
      <c r="CD327" s="567"/>
      <c r="CE327" s="567"/>
      <c r="CF327" s="567"/>
      <c r="CG327" s="567"/>
      <c r="CH327" s="567"/>
      <c r="CI327" s="567"/>
      <c r="CJ327" s="567"/>
      <c r="CK327" s="567"/>
      <c r="CL327" s="567"/>
      <c r="CM327" s="567"/>
      <c r="CN327" s="567"/>
      <c r="CO327" s="567"/>
      <c r="CP327" s="567"/>
      <c r="CQ327" s="567"/>
      <c r="CR327" s="567"/>
      <c r="CS327" s="567"/>
      <c r="CT327" s="567"/>
      <c r="CU327" s="567"/>
      <c r="CV327" s="567"/>
      <c r="CW327" s="567"/>
      <c r="CX327" s="567"/>
      <c r="CY327" s="567"/>
      <c r="CZ327" s="567"/>
      <c r="DA327" s="567"/>
      <c r="DB327" s="567"/>
      <c r="DC327" s="567"/>
      <c r="DD327" s="567"/>
      <c r="DE327" s="567"/>
      <c r="DF327" s="567"/>
      <c r="DG327" s="567"/>
      <c r="DH327" s="567"/>
      <c r="DI327" s="567"/>
      <c r="DJ327" s="567"/>
      <c r="DK327" s="567"/>
      <c r="DL327" s="567"/>
      <c r="DM327" s="567"/>
      <c r="DN327" s="567"/>
      <c r="DO327" s="567"/>
      <c r="DP327" s="567"/>
      <c r="DQ327" s="567"/>
    </row>
    <row r="328" spans="1:121" s="487" customFormat="1">
      <c r="A328" s="588"/>
      <c r="B328" s="588"/>
      <c r="C328" s="588"/>
      <c r="D328" s="588"/>
      <c r="E328" s="588"/>
      <c r="F328" s="588"/>
      <c r="G328" s="588"/>
      <c r="H328" s="588"/>
      <c r="I328" s="588"/>
      <c r="J328" s="588"/>
      <c r="K328" s="588"/>
      <c r="L328" s="702"/>
      <c r="M328" s="888"/>
      <c r="N328" s="888"/>
      <c r="O328" s="888"/>
      <c r="P328" s="888"/>
      <c r="Q328" s="888"/>
      <c r="R328" s="888"/>
      <c r="S328" s="888"/>
      <c r="T328" s="888"/>
      <c r="U328" s="888"/>
      <c r="V328" s="888"/>
      <c r="W328" s="888"/>
      <c r="X328" s="888"/>
      <c r="Y328" s="888"/>
      <c r="Z328" s="888"/>
      <c r="AA328" s="888"/>
      <c r="AB328" s="888"/>
      <c r="AC328" s="888"/>
      <c r="AD328" s="888"/>
      <c r="AE328" s="888"/>
      <c r="AF328" s="888"/>
      <c r="AG328" s="888"/>
      <c r="AH328" s="888"/>
      <c r="AI328" s="888"/>
      <c r="AJ328" s="888"/>
      <c r="AK328" s="888"/>
      <c r="AL328" s="888"/>
      <c r="AM328" s="888"/>
      <c r="AN328" s="888"/>
      <c r="AO328" s="888"/>
      <c r="AP328" s="888"/>
      <c r="AQ328" s="888"/>
      <c r="AR328" s="888"/>
      <c r="AS328" s="888"/>
      <c r="AT328" s="888"/>
      <c r="AU328" s="888"/>
      <c r="AV328" s="888"/>
      <c r="AW328" s="888"/>
      <c r="AX328" s="888"/>
      <c r="AY328" s="888"/>
      <c r="AZ328" s="567"/>
      <c r="BA328" s="567"/>
      <c r="BB328" s="567"/>
      <c r="BC328" s="567"/>
      <c r="BD328" s="567"/>
      <c r="BE328" s="567"/>
      <c r="BF328" s="567"/>
      <c r="BG328" s="567"/>
      <c r="BH328" s="567"/>
      <c r="BI328" s="567"/>
      <c r="BJ328" s="567"/>
      <c r="BK328" s="567"/>
      <c r="BL328" s="567"/>
      <c r="BM328" s="567"/>
      <c r="BN328" s="567"/>
      <c r="BO328" s="567"/>
      <c r="BP328" s="567"/>
      <c r="BQ328" s="567"/>
      <c r="BR328" s="567"/>
      <c r="BS328" s="567"/>
      <c r="BT328" s="567"/>
      <c r="BU328" s="567"/>
      <c r="BV328" s="567"/>
      <c r="BW328" s="567"/>
      <c r="BX328" s="567"/>
      <c r="BY328" s="567"/>
      <c r="BZ328" s="567"/>
      <c r="CA328" s="567"/>
      <c r="CB328" s="567"/>
      <c r="CC328" s="567"/>
      <c r="CD328" s="567"/>
      <c r="CE328" s="567"/>
      <c r="CF328" s="567"/>
      <c r="CG328" s="567"/>
      <c r="CH328" s="567"/>
      <c r="CI328" s="567"/>
      <c r="CJ328" s="567"/>
      <c r="CK328" s="567"/>
      <c r="CL328" s="567"/>
      <c r="CM328" s="567"/>
      <c r="CN328" s="567"/>
      <c r="CO328" s="567"/>
      <c r="CP328" s="567"/>
      <c r="CQ328" s="567"/>
      <c r="CR328" s="567"/>
      <c r="CS328" s="567"/>
      <c r="CT328" s="567"/>
      <c r="CU328" s="567"/>
      <c r="CV328" s="567"/>
      <c r="CW328" s="567"/>
      <c r="CX328" s="567"/>
      <c r="CY328" s="567"/>
      <c r="CZ328" s="567"/>
      <c r="DA328" s="567"/>
      <c r="DB328" s="567"/>
      <c r="DC328" s="567"/>
      <c r="DD328" s="567"/>
      <c r="DE328" s="567"/>
      <c r="DF328" s="567"/>
      <c r="DG328" s="567"/>
      <c r="DH328" s="567"/>
      <c r="DI328" s="567"/>
      <c r="DJ328" s="567"/>
      <c r="DK328" s="567"/>
      <c r="DL328" s="567"/>
      <c r="DM328" s="567"/>
      <c r="DN328" s="567"/>
      <c r="DO328" s="567"/>
      <c r="DP328" s="567"/>
      <c r="DQ328" s="567"/>
    </row>
    <row r="329" spans="1:121" s="487" customFormat="1">
      <c r="A329" s="588"/>
      <c r="B329" s="588"/>
      <c r="C329" s="588"/>
      <c r="D329" s="588"/>
      <c r="E329" s="588"/>
      <c r="F329" s="588"/>
      <c r="G329" s="588"/>
      <c r="H329" s="588"/>
      <c r="I329" s="588"/>
      <c r="J329" s="588"/>
      <c r="K329" s="588"/>
      <c r="L329" s="702"/>
      <c r="M329" s="888"/>
      <c r="N329" s="888"/>
      <c r="O329" s="888"/>
      <c r="P329" s="888"/>
      <c r="Q329" s="888"/>
      <c r="R329" s="888"/>
      <c r="S329" s="888"/>
      <c r="T329" s="888"/>
      <c r="U329" s="888"/>
      <c r="V329" s="888"/>
      <c r="W329" s="888"/>
      <c r="X329" s="888"/>
      <c r="Y329" s="888"/>
      <c r="Z329" s="888"/>
      <c r="AA329" s="888"/>
      <c r="AB329" s="888"/>
      <c r="AC329" s="888"/>
      <c r="AD329" s="888"/>
      <c r="AE329" s="888"/>
      <c r="AF329" s="888"/>
      <c r="AG329" s="888"/>
      <c r="AH329" s="888"/>
      <c r="AI329" s="888"/>
      <c r="AJ329" s="888"/>
      <c r="AK329" s="888"/>
      <c r="AL329" s="888"/>
      <c r="AM329" s="888"/>
      <c r="AN329" s="888"/>
      <c r="AO329" s="888"/>
      <c r="AP329" s="888"/>
      <c r="AQ329" s="888"/>
      <c r="AR329" s="888"/>
      <c r="AS329" s="888"/>
      <c r="AT329" s="888"/>
      <c r="AU329" s="888"/>
      <c r="AV329" s="888"/>
      <c r="AW329" s="888"/>
      <c r="AX329" s="888"/>
      <c r="AY329" s="888"/>
      <c r="AZ329" s="567"/>
      <c r="BA329" s="567"/>
      <c r="BB329" s="567"/>
      <c r="BC329" s="567"/>
      <c r="BD329" s="567"/>
      <c r="BE329" s="567"/>
      <c r="BF329" s="567"/>
      <c r="BG329" s="567"/>
      <c r="BH329" s="567"/>
      <c r="BI329" s="567"/>
      <c r="BJ329" s="567"/>
      <c r="BK329" s="567"/>
      <c r="BL329" s="567"/>
      <c r="BM329" s="567"/>
      <c r="BN329" s="567"/>
      <c r="BO329" s="567"/>
      <c r="BP329" s="567"/>
      <c r="BQ329" s="567"/>
      <c r="BR329" s="567"/>
      <c r="BS329" s="567"/>
      <c r="BT329" s="567"/>
      <c r="BU329" s="567"/>
      <c r="BV329" s="567"/>
      <c r="BW329" s="567"/>
      <c r="BX329" s="567"/>
      <c r="BY329" s="567"/>
      <c r="BZ329" s="567"/>
      <c r="CA329" s="567"/>
      <c r="CB329" s="567"/>
      <c r="CC329" s="567"/>
      <c r="CD329" s="567"/>
      <c r="CE329" s="567"/>
      <c r="CF329" s="567"/>
      <c r="CG329" s="567"/>
      <c r="CH329" s="567"/>
      <c r="CI329" s="567"/>
      <c r="CJ329" s="567"/>
      <c r="CK329" s="567"/>
      <c r="CL329" s="567"/>
      <c r="CM329" s="567"/>
      <c r="CN329" s="567"/>
      <c r="CO329" s="567"/>
      <c r="CP329" s="567"/>
      <c r="CQ329" s="567"/>
      <c r="CR329" s="567"/>
      <c r="CS329" s="567"/>
      <c r="CT329" s="567"/>
      <c r="CU329" s="567"/>
      <c r="CV329" s="567"/>
      <c r="CW329" s="567"/>
      <c r="CX329" s="567"/>
      <c r="CY329" s="567"/>
      <c r="CZ329" s="567"/>
      <c r="DA329" s="567"/>
      <c r="DB329" s="567"/>
      <c r="DC329" s="567"/>
      <c r="DD329" s="567"/>
      <c r="DE329" s="567"/>
      <c r="DF329" s="567"/>
      <c r="DG329" s="567"/>
      <c r="DH329" s="567"/>
      <c r="DI329" s="567"/>
      <c r="DJ329" s="567"/>
      <c r="DK329" s="567"/>
      <c r="DL329" s="567"/>
      <c r="DM329" s="567"/>
      <c r="DN329" s="567"/>
      <c r="DO329" s="567"/>
      <c r="DP329" s="567"/>
      <c r="DQ329" s="567"/>
    </row>
    <row r="330" spans="1:121" s="487" customFormat="1">
      <c r="A330" s="588"/>
      <c r="B330" s="588"/>
      <c r="C330" s="588"/>
      <c r="D330" s="588"/>
      <c r="E330" s="588"/>
      <c r="F330" s="588"/>
      <c r="G330" s="588"/>
      <c r="H330" s="588"/>
      <c r="I330" s="588"/>
      <c r="J330" s="588"/>
      <c r="K330" s="588"/>
      <c r="L330" s="702"/>
      <c r="M330" s="888"/>
      <c r="N330" s="888"/>
      <c r="O330" s="888"/>
      <c r="P330" s="888"/>
      <c r="Q330" s="888"/>
      <c r="R330" s="888"/>
      <c r="S330" s="888"/>
      <c r="T330" s="888"/>
      <c r="U330" s="888"/>
      <c r="V330" s="888"/>
      <c r="W330" s="888"/>
      <c r="X330" s="888"/>
      <c r="Y330" s="888"/>
      <c r="Z330" s="888"/>
      <c r="AA330" s="888"/>
      <c r="AB330" s="888"/>
      <c r="AC330" s="888"/>
      <c r="AD330" s="888"/>
      <c r="AE330" s="888"/>
      <c r="AF330" s="888"/>
      <c r="AG330" s="888"/>
      <c r="AH330" s="888"/>
      <c r="AI330" s="888"/>
      <c r="AJ330" s="888"/>
      <c r="AK330" s="888"/>
      <c r="AL330" s="888"/>
      <c r="AM330" s="888"/>
      <c r="AN330" s="888"/>
      <c r="AO330" s="888"/>
      <c r="AP330" s="888"/>
      <c r="AQ330" s="888"/>
      <c r="AR330" s="888"/>
      <c r="AS330" s="888"/>
      <c r="AT330" s="888"/>
      <c r="AU330" s="888"/>
      <c r="AV330" s="888"/>
      <c r="AW330" s="888"/>
      <c r="AX330" s="888"/>
      <c r="AY330" s="888"/>
      <c r="AZ330" s="567"/>
      <c r="BA330" s="567"/>
      <c r="BB330" s="567"/>
      <c r="BC330" s="567"/>
      <c r="BD330" s="567"/>
      <c r="BE330" s="567"/>
      <c r="BF330" s="567"/>
      <c r="BG330" s="567"/>
      <c r="BH330" s="567"/>
      <c r="BI330" s="567"/>
      <c r="BJ330" s="567"/>
      <c r="BK330" s="567"/>
      <c r="BL330" s="567"/>
      <c r="BM330" s="567"/>
      <c r="BN330" s="567"/>
      <c r="BO330" s="567"/>
      <c r="BP330" s="567"/>
      <c r="BQ330" s="567"/>
      <c r="BR330" s="567"/>
      <c r="BS330" s="567"/>
      <c r="BT330" s="567"/>
      <c r="BU330" s="567"/>
      <c r="BV330" s="567"/>
      <c r="BW330" s="567"/>
      <c r="BX330" s="567"/>
      <c r="BY330" s="567"/>
      <c r="BZ330" s="567"/>
      <c r="CA330" s="567"/>
      <c r="CB330" s="567"/>
      <c r="CC330" s="567"/>
      <c r="CD330" s="567"/>
      <c r="CE330" s="567"/>
      <c r="CF330" s="567"/>
      <c r="CG330" s="567"/>
      <c r="CH330" s="567"/>
      <c r="CI330" s="567"/>
      <c r="CJ330" s="567"/>
      <c r="CK330" s="567"/>
      <c r="CL330" s="567"/>
      <c r="CM330" s="567"/>
      <c r="CN330" s="567"/>
      <c r="CO330" s="567"/>
      <c r="CP330" s="567"/>
      <c r="CQ330" s="567"/>
      <c r="CR330" s="567"/>
      <c r="CS330" s="567"/>
      <c r="CT330" s="567"/>
      <c r="CU330" s="567"/>
      <c r="CV330" s="567"/>
      <c r="CW330" s="567"/>
      <c r="CX330" s="567"/>
      <c r="CY330" s="567"/>
      <c r="CZ330" s="567"/>
      <c r="DA330" s="567"/>
      <c r="DB330" s="567"/>
      <c r="DC330" s="567"/>
      <c r="DD330" s="567"/>
      <c r="DE330" s="567"/>
      <c r="DF330" s="567"/>
      <c r="DG330" s="567"/>
      <c r="DH330" s="567"/>
      <c r="DI330" s="567"/>
      <c r="DJ330" s="567"/>
      <c r="DK330" s="567"/>
      <c r="DL330" s="567"/>
      <c r="DM330" s="567"/>
      <c r="DN330" s="567"/>
      <c r="DO330" s="567"/>
      <c r="DP330" s="567"/>
      <c r="DQ330" s="567"/>
    </row>
    <row r="331" spans="1:121" s="487" customFormat="1">
      <c r="A331" s="588"/>
      <c r="B331" s="588"/>
      <c r="C331" s="588"/>
      <c r="D331" s="588"/>
      <c r="E331" s="588"/>
      <c r="F331" s="588"/>
      <c r="G331" s="588"/>
      <c r="H331" s="588"/>
      <c r="I331" s="588"/>
      <c r="J331" s="588"/>
      <c r="K331" s="588"/>
      <c r="L331" s="702"/>
      <c r="M331" s="888"/>
      <c r="N331" s="888"/>
      <c r="O331" s="888"/>
      <c r="P331" s="888"/>
      <c r="Q331" s="888"/>
      <c r="R331" s="888"/>
      <c r="S331" s="888"/>
      <c r="T331" s="888"/>
      <c r="U331" s="888"/>
      <c r="V331" s="888"/>
      <c r="W331" s="888"/>
      <c r="X331" s="888"/>
      <c r="Y331" s="888"/>
      <c r="Z331" s="888"/>
      <c r="AA331" s="888"/>
      <c r="AB331" s="888"/>
      <c r="AC331" s="888"/>
      <c r="AD331" s="888"/>
      <c r="AE331" s="888"/>
      <c r="AF331" s="888"/>
      <c r="AG331" s="888"/>
      <c r="AH331" s="888"/>
      <c r="AI331" s="888"/>
      <c r="AJ331" s="888"/>
      <c r="AK331" s="888"/>
      <c r="AL331" s="888"/>
      <c r="AM331" s="888"/>
      <c r="AN331" s="888"/>
      <c r="AO331" s="888"/>
      <c r="AP331" s="888"/>
      <c r="AQ331" s="888"/>
      <c r="AR331" s="888"/>
      <c r="AS331" s="888"/>
      <c r="AT331" s="888"/>
      <c r="AU331" s="888"/>
      <c r="AV331" s="888"/>
      <c r="AW331" s="888"/>
      <c r="AX331" s="888"/>
      <c r="AY331" s="888"/>
      <c r="AZ331" s="567"/>
      <c r="BA331" s="567"/>
      <c r="BB331" s="567"/>
      <c r="BC331" s="567"/>
      <c r="BD331" s="567"/>
      <c r="BE331" s="567"/>
      <c r="BF331" s="567"/>
      <c r="BG331" s="567"/>
      <c r="BH331" s="567"/>
      <c r="BI331" s="567"/>
      <c r="BJ331" s="567"/>
      <c r="BK331" s="567"/>
      <c r="BL331" s="567"/>
      <c r="BM331" s="567"/>
      <c r="BN331" s="567"/>
      <c r="BO331" s="567"/>
      <c r="BP331" s="567"/>
      <c r="BQ331" s="567"/>
      <c r="BR331" s="567"/>
      <c r="BS331" s="567"/>
      <c r="BT331" s="567"/>
      <c r="BU331" s="567"/>
      <c r="BV331" s="567"/>
      <c r="BW331" s="567"/>
      <c r="BX331" s="567"/>
      <c r="BY331" s="567"/>
      <c r="BZ331" s="567"/>
      <c r="CA331" s="567"/>
      <c r="CB331" s="567"/>
      <c r="CC331" s="567"/>
      <c r="CD331" s="567"/>
      <c r="CE331" s="567"/>
      <c r="CF331" s="567"/>
      <c r="CG331" s="567"/>
      <c r="CH331" s="567"/>
      <c r="CI331" s="567"/>
      <c r="CJ331" s="567"/>
      <c r="CK331" s="567"/>
      <c r="CL331" s="567"/>
      <c r="CM331" s="567"/>
      <c r="CN331" s="567"/>
      <c r="CO331" s="567"/>
      <c r="CP331" s="567"/>
      <c r="CQ331" s="567"/>
      <c r="CR331" s="567"/>
      <c r="CS331" s="567"/>
      <c r="CT331" s="567"/>
      <c r="CU331" s="567"/>
      <c r="CV331" s="567"/>
      <c r="CW331" s="567"/>
      <c r="CX331" s="567"/>
      <c r="CY331" s="567"/>
      <c r="CZ331" s="567"/>
      <c r="DA331" s="567"/>
      <c r="DB331" s="567"/>
      <c r="DC331" s="567"/>
      <c r="DD331" s="567"/>
      <c r="DE331" s="567"/>
      <c r="DF331" s="567"/>
      <c r="DG331" s="567"/>
      <c r="DH331" s="567"/>
      <c r="DI331" s="567"/>
      <c r="DJ331" s="567"/>
      <c r="DK331" s="567"/>
      <c r="DL331" s="567"/>
      <c r="DM331" s="567"/>
      <c r="DN331" s="567"/>
      <c r="DO331" s="567"/>
      <c r="DP331" s="567"/>
      <c r="DQ331" s="567"/>
    </row>
    <row r="332" spans="1:121" s="487" customFormat="1">
      <c r="A332" s="588"/>
      <c r="B332" s="588"/>
      <c r="C332" s="588"/>
      <c r="D332" s="588"/>
      <c r="E332" s="588"/>
      <c r="F332" s="588"/>
      <c r="G332" s="588"/>
      <c r="H332" s="588"/>
      <c r="I332" s="588"/>
      <c r="J332" s="588"/>
      <c r="K332" s="588"/>
      <c r="L332" s="702"/>
      <c r="M332" s="888"/>
      <c r="N332" s="888"/>
      <c r="O332" s="888"/>
      <c r="P332" s="888"/>
      <c r="Q332" s="888"/>
      <c r="R332" s="888"/>
      <c r="S332" s="888"/>
      <c r="T332" s="888"/>
      <c r="U332" s="888"/>
      <c r="V332" s="888"/>
      <c r="W332" s="888"/>
      <c r="X332" s="888"/>
      <c r="Y332" s="888"/>
      <c r="Z332" s="888"/>
      <c r="AA332" s="888"/>
      <c r="AB332" s="888"/>
      <c r="AC332" s="888"/>
      <c r="AD332" s="888"/>
      <c r="AE332" s="888"/>
      <c r="AF332" s="888"/>
      <c r="AG332" s="888"/>
      <c r="AH332" s="888"/>
      <c r="AI332" s="888"/>
      <c r="AJ332" s="888"/>
      <c r="AK332" s="888"/>
      <c r="AL332" s="888"/>
      <c r="AM332" s="888"/>
      <c r="AN332" s="888"/>
      <c r="AO332" s="888"/>
      <c r="AP332" s="888"/>
      <c r="AQ332" s="888"/>
      <c r="AR332" s="888"/>
      <c r="AS332" s="888"/>
      <c r="AT332" s="888"/>
      <c r="AU332" s="888"/>
      <c r="AV332" s="888"/>
      <c r="AW332" s="888"/>
      <c r="AX332" s="888"/>
      <c r="AY332" s="888"/>
      <c r="AZ332" s="567"/>
      <c r="BA332" s="567"/>
      <c r="BB332" s="567"/>
      <c r="BC332" s="567"/>
      <c r="BD332" s="567"/>
      <c r="BE332" s="567"/>
      <c r="BF332" s="567"/>
      <c r="BG332" s="567"/>
      <c r="BH332" s="567"/>
      <c r="BI332" s="567"/>
      <c r="BJ332" s="567"/>
      <c r="BK332" s="567"/>
      <c r="BL332" s="567"/>
      <c r="BM332" s="567"/>
      <c r="BN332" s="567"/>
      <c r="BO332" s="567"/>
      <c r="BP332" s="567"/>
      <c r="BQ332" s="567"/>
      <c r="BR332" s="567"/>
      <c r="BS332" s="567"/>
      <c r="BT332" s="567"/>
      <c r="BU332" s="567"/>
      <c r="BV332" s="567"/>
      <c r="BW332" s="567"/>
      <c r="BX332" s="567"/>
      <c r="BY332" s="567"/>
      <c r="BZ332" s="567"/>
      <c r="CA332" s="567"/>
      <c r="CB332" s="567"/>
      <c r="CC332" s="567"/>
      <c r="CD332" s="567"/>
      <c r="CE332" s="567"/>
      <c r="CF332" s="567"/>
      <c r="CG332" s="567"/>
      <c r="CH332" s="567"/>
      <c r="CI332" s="567"/>
      <c r="CJ332" s="567"/>
      <c r="CK332" s="567"/>
      <c r="CL332" s="567"/>
      <c r="CM332" s="567"/>
      <c r="CN332" s="567"/>
      <c r="CO332" s="567"/>
      <c r="CP332" s="567"/>
      <c r="CQ332" s="567"/>
      <c r="CR332" s="567"/>
      <c r="CS332" s="567"/>
      <c r="CT332" s="567"/>
      <c r="CU332" s="567"/>
      <c r="CV332" s="567"/>
      <c r="CW332" s="567"/>
      <c r="CX332" s="567"/>
      <c r="CY332" s="567"/>
      <c r="CZ332" s="567"/>
      <c r="DA332" s="567"/>
      <c r="DB332" s="567"/>
      <c r="DC332" s="567"/>
      <c r="DD332" s="567"/>
      <c r="DE332" s="567"/>
      <c r="DF332" s="567"/>
      <c r="DG332" s="567"/>
      <c r="DH332" s="567"/>
      <c r="DI332" s="567"/>
      <c r="DJ332" s="567"/>
      <c r="DK332" s="567"/>
      <c r="DL332" s="567"/>
      <c r="DM332" s="567"/>
      <c r="DN332" s="567"/>
      <c r="DO332" s="567"/>
      <c r="DP332" s="567"/>
      <c r="DQ332" s="567"/>
    </row>
    <row r="333" spans="1:121" s="487" customFormat="1">
      <c r="A333" s="588"/>
      <c r="B333" s="588"/>
      <c r="C333" s="588"/>
      <c r="D333" s="588"/>
      <c r="E333" s="588"/>
      <c r="F333" s="588"/>
      <c r="G333" s="588"/>
      <c r="H333" s="588"/>
      <c r="I333" s="588"/>
      <c r="J333" s="588"/>
      <c r="K333" s="588"/>
      <c r="L333" s="702"/>
      <c r="M333" s="888"/>
      <c r="N333" s="888"/>
      <c r="O333" s="888"/>
      <c r="P333" s="888"/>
      <c r="Q333" s="888"/>
      <c r="R333" s="888"/>
      <c r="S333" s="888"/>
      <c r="T333" s="888"/>
      <c r="U333" s="888"/>
      <c r="V333" s="888"/>
      <c r="W333" s="888"/>
      <c r="X333" s="888"/>
      <c r="Y333" s="888"/>
      <c r="Z333" s="888"/>
      <c r="AA333" s="888"/>
      <c r="AB333" s="888"/>
      <c r="AC333" s="888"/>
      <c r="AD333" s="888"/>
      <c r="AE333" s="888"/>
      <c r="AF333" s="888"/>
      <c r="AG333" s="888"/>
      <c r="AH333" s="888"/>
      <c r="AI333" s="888"/>
      <c r="AJ333" s="888"/>
      <c r="AK333" s="888"/>
      <c r="AL333" s="888"/>
      <c r="AM333" s="888"/>
      <c r="AN333" s="888"/>
      <c r="AO333" s="888"/>
      <c r="AP333" s="888"/>
      <c r="AQ333" s="888"/>
      <c r="AR333" s="888"/>
      <c r="AS333" s="888"/>
      <c r="AT333" s="888"/>
      <c r="AU333" s="888"/>
      <c r="AV333" s="888"/>
      <c r="AW333" s="888"/>
      <c r="AX333" s="888"/>
      <c r="AY333" s="888"/>
      <c r="AZ333" s="567"/>
      <c r="BA333" s="567"/>
      <c r="BB333" s="567"/>
      <c r="BC333" s="567"/>
      <c r="BD333" s="567"/>
      <c r="BE333" s="567"/>
      <c r="BF333" s="567"/>
      <c r="BG333" s="567"/>
      <c r="BH333" s="567"/>
      <c r="BI333" s="567"/>
      <c r="BJ333" s="567"/>
      <c r="BK333" s="567"/>
      <c r="BL333" s="567"/>
      <c r="BM333" s="567"/>
      <c r="BN333" s="567"/>
      <c r="BO333" s="567"/>
      <c r="BP333" s="567"/>
      <c r="BQ333" s="567"/>
      <c r="BR333" s="567"/>
      <c r="BS333" s="567"/>
      <c r="BT333" s="567"/>
      <c r="BU333" s="567"/>
      <c r="BV333" s="567"/>
      <c r="BW333" s="567"/>
      <c r="BX333" s="567"/>
      <c r="BY333" s="567"/>
      <c r="BZ333" s="567"/>
      <c r="CA333" s="567"/>
      <c r="CB333" s="567"/>
      <c r="CC333" s="567"/>
      <c r="CD333" s="567"/>
      <c r="CE333" s="567"/>
      <c r="CF333" s="567"/>
      <c r="CG333" s="567"/>
      <c r="CH333" s="567"/>
      <c r="CI333" s="567"/>
      <c r="CJ333" s="567"/>
      <c r="CK333" s="567"/>
      <c r="CL333" s="567"/>
      <c r="CM333" s="567"/>
      <c r="CN333" s="567"/>
      <c r="CO333" s="567"/>
      <c r="CP333" s="567"/>
      <c r="CQ333" s="567"/>
      <c r="CR333" s="567"/>
      <c r="CS333" s="567"/>
      <c r="CT333" s="567"/>
      <c r="CU333" s="567"/>
      <c r="CV333" s="567"/>
      <c r="CW333" s="567"/>
      <c r="CX333" s="567"/>
      <c r="CY333" s="567"/>
      <c r="CZ333" s="567"/>
      <c r="DA333" s="567"/>
      <c r="DB333" s="567"/>
      <c r="DC333" s="567"/>
      <c r="DD333" s="567"/>
      <c r="DE333" s="567"/>
      <c r="DF333" s="567"/>
      <c r="DG333" s="567"/>
      <c r="DH333" s="567"/>
      <c r="DI333" s="567"/>
      <c r="DJ333" s="567"/>
      <c r="DK333" s="567"/>
      <c r="DL333" s="567"/>
      <c r="DM333" s="567"/>
      <c r="DN333" s="567"/>
      <c r="DO333" s="567"/>
      <c r="DP333" s="567"/>
      <c r="DQ333" s="567"/>
    </row>
    <row r="334" spans="1:121" s="487" customFormat="1">
      <c r="A334" s="588"/>
      <c r="B334" s="588"/>
      <c r="C334" s="588"/>
      <c r="D334" s="588"/>
      <c r="E334" s="588"/>
      <c r="F334" s="588"/>
      <c r="G334" s="588"/>
      <c r="H334" s="588"/>
      <c r="I334" s="588"/>
      <c r="J334" s="588"/>
      <c r="K334" s="588"/>
      <c r="L334" s="702"/>
      <c r="M334" s="888"/>
      <c r="N334" s="888"/>
      <c r="O334" s="888"/>
      <c r="P334" s="888"/>
      <c r="Q334" s="888"/>
      <c r="R334" s="888"/>
      <c r="S334" s="888"/>
      <c r="T334" s="888"/>
      <c r="U334" s="888"/>
      <c r="V334" s="888"/>
      <c r="W334" s="888"/>
      <c r="X334" s="888"/>
      <c r="Y334" s="888"/>
      <c r="Z334" s="888"/>
      <c r="AA334" s="888"/>
      <c r="AB334" s="888"/>
      <c r="AC334" s="888"/>
      <c r="AD334" s="888"/>
      <c r="AE334" s="888"/>
      <c r="AF334" s="888"/>
      <c r="AG334" s="888"/>
      <c r="AH334" s="888"/>
      <c r="AI334" s="888"/>
      <c r="AJ334" s="888"/>
      <c r="AK334" s="888"/>
      <c r="AL334" s="888"/>
      <c r="AM334" s="888"/>
      <c r="AN334" s="888"/>
      <c r="AO334" s="888"/>
      <c r="AP334" s="888"/>
      <c r="AQ334" s="888"/>
      <c r="AR334" s="888"/>
      <c r="AS334" s="888"/>
      <c r="AT334" s="888"/>
      <c r="AU334" s="888"/>
      <c r="AV334" s="888"/>
      <c r="AW334" s="888"/>
      <c r="AX334" s="888"/>
      <c r="AY334" s="888"/>
      <c r="AZ334" s="567"/>
      <c r="BA334" s="567"/>
      <c r="BB334" s="567"/>
      <c r="BC334" s="567"/>
      <c r="BD334" s="567"/>
      <c r="BE334" s="567"/>
      <c r="BF334" s="567"/>
      <c r="BG334" s="567"/>
      <c r="BH334" s="567"/>
      <c r="BI334" s="567"/>
      <c r="BJ334" s="567"/>
      <c r="BK334" s="567"/>
      <c r="BL334" s="567"/>
      <c r="BM334" s="567"/>
      <c r="BN334" s="567"/>
      <c r="BO334" s="567"/>
      <c r="BP334" s="567"/>
      <c r="BQ334" s="567"/>
      <c r="BR334" s="567"/>
      <c r="BS334" s="567"/>
      <c r="BT334" s="567"/>
      <c r="BU334" s="567"/>
      <c r="BV334" s="567"/>
      <c r="BW334" s="567"/>
      <c r="BX334" s="567"/>
      <c r="BY334" s="567"/>
      <c r="BZ334" s="567"/>
      <c r="CA334" s="567"/>
      <c r="CB334" s="567"/>
      <c r="CC334" s="567"/>
      <c r="CD334" s="567"/>
      <c r="CE334" s="567"/>
      <c r="CF334" s="567"/>
      <c r="CG334" s="567"/>
      <c r="CH334" s="567"/>
      <c r="CI334" s="567"/>
      <c r="CJ334" s="567"/>
      <c r="CK334" s="567"/>
      <c r="CL334" s="567"/>
      <c r="CM334" s="567"/>
      <c r="CN334" s="567"/>
      <c r="CO334" s="567"/>
      <c r="CP334" s="567"/>
      <c r="CQ334" s="567"/>
      <c r="CR334" s="567"/>
      <c r="CS334" s="567"/>
      <c r="CT334" s="567"/>
      <c r="CU334" s="567"/>
      <c r="CV334" s="567"/>
      <c r="CW334" s="567"/>
      <c r="CX334" s="567"/>
      <c r="CY334" s="567"/>
      <c r="CZ334" s="567"/>
      <c r="DA334" s="567"/>
      <c r="DB334" s="567"/>
      <c r="DC334" s="567"/>
      <c r="DD334" s="567"/>
      <c r="DE334" s="567"/>
      <c r="DF334" s="567"/>
      <c r="DG334" s="567"/>
      <c r="DH334" s="567"/>
      <c r="DI334" s="567"/>
      <c r="DJ334" s="567"/>
      <c r="DK334" s="567"/>
      <c r="DL334" s="567"/>
      <c r="DM334" s="567"/>
      <c r="DN334" s="567"/>
      <c r="DO334" s="567"/>
      <c r="DP334" s="567"/>
      <c r="DQ334" s="567"/>
    </row>
    <row r="335" spans="1:121" s="487" customFormat="1">
      <c r="A335" s="588"/>
      <c r="B335" s="588"/>
      <c r="C335" s="588"/>
      <c r="D335" s="588"/>
      <c r="E335" s="588"/>
      <c r="F335" s="588"/>
      <c r="G335" s="588"/>
      <c r="H335" s="588"/>
      <c r="I335" s="588"/>
      <c r="J335" s="588"/>
      <c r="K335" s="588"/>
      <c r="L335" s="702"/>
      <c r="M335" s="888"/>
      <c r="N335" s="888"/>
      <c r="O335" s="888"/>
      <c r="P335" s="888"/>
      <c r="Q335" s="888"/>
      <c r="R335" s="888"/>
      <c r="S335" s="888"/>
      <c r="T335" s="888"/>
      <c r="U335" s="888"/>
      <c r="V335" s="888"/>
      <c r="W335" s="888"/>
      <c r="X335" s="888"/>
      <c r="Y335" s="888"/>
      <c r="Z335" s="888"/>
      <c r="AA335" s="888"/>
      <c r="AB335" s="888"/>
      <c r="AC335" s="888"/>
      <c r="AD335" s="888"/>
      <c r="AE335" s="888"/>
      <c r="AF335" s="888"/>
      <c r="AG335" s="888"/>
      <c r="AH335" s="888"/>
      <c r="AI335" s="888"/>
      <c r="AJ335" s="888"/>
      <c r="AK335" s="888"/>
      <c r="AL335" s="888"/>
      <c r="AM335" s="888"/>
      <c r="AN335" s="888"/>
      <c r="AO335" s="888"/>
      <c r="AP335" s="888"/>
      <c r="AQ335" s="888"/>
      <c r="AR335" s="888"/>
      <c r="AS335" s="888"/>
      <c r="AT335" s="888"/>
      <c r="AU335" s="888"/>
      <c r="AV335" s="888"/>
      <c r="AW335" s="888"/>
      <c r="AX335" s="888"/>
      <c r="AY335" s="888"/>
      <c r="AZ335" s="567"/>
      <c r="BA335" s="567"/>
      <c r="BB335" s="567"/>
      <c r="BC335" s="567"/>
      <c r="BD335" s="567"/>
      <c r="BE335" s="567"/>
      <c r="BF335" s="567"/>
      <c r="BG335" s="567"/>
      <c r="BH335" s="567"/>
      <c r="BI335" s="567"/>
      <c r="BJ335" s="567"/>
      <c r="BK335" s="567"/>
      <c r="BL335" s="567"/>
      <c r="BM335" s="567"/>
      <c r="BN335" s="567"/>
      <c r="BO335" s="567"/>
      <c r="BP335" s="567"/>
      <c r="BQ335" s="567"/>
      <c r="BR335" s="567"/>
      <c r="BS335" s="567"/>
      <c r="BT335" s="567"/>
      <c r="BU335" s="567"/>
      <c r="BV335" s="567"/>
      <c r="BW335" s="567"/>
      <c r="BX335" s="567"/>
      <c r="BY335" s="567"/>
      <c r="BZ335" s="567"/>
      <c r="CA335" s="567"/>
      <c r="CB335" s="567"/>
      <c r="CC335" s="567"/>
      <c r="CD335" s="567"/>
      <c r="CE335" s="567"/>
      <c r="CF335" s="567"/>
      <c r="CG335" s="567"/>
      <c r="CH335" s="567"/>
      <c r="CI335" s="567"/>
      <c r="CJ335" s="567"/>
      <c r="CK335" s="567"/>
      <c r="CL335" s="567"/>
      <c r="CM335" s="567"/>
      <c r="CN335" s="567"/>
      <c r="CO335" s="567"/>
      <c r="CP335" s="567"/>
      <c r="CQ335" s="567"/>
      <c r="CR335" s="567"/>
      <c r="CS335" s="567"/>
      <c r="CT335" s="567"/>
      <c r="CU335" s="567"/>
      <c r="CV335" s="567"/>
      <c r="CW335" s="567"/>
      <c r="CX335" s="567"/>
      <c r="CY335" s="567"/>
      <c r="CZ335" s="567"/>
      <c r="DA335" s="567"/>
      <c r="DB335" s="567"/>
      <c r="DC335" s="567"/>
      <c r="DD335" s="567"/>
      <c r="DE335" s="567"/>
      <c r="DF335" s="567"/>
      <c r="DG335" s="567"/>
      <c r="DH335" s="567"/>
      <c r="DI335" s="567"/>
      <c r="DJ335" s="567"/>
      <c r="DK335" s="567"/>
      <c r="DL335" s="567"/>
      <c r="DM335" s="567"/>
      <c r="DN335" s="567"/>
      <c r="DO335" s="567"/>
      <c r="DP335" s="567"/>
      <c r="DQ335" s="567"/>
    </row>
    <row r="336" spans="1:121" s="487" customFormat="1">
      <c r="A336" s="588"/>
      <c r="B336" s="588"/>
      <c r="C336" s="588"/>
      <c r="D336" s="588"/>
      <c r="E336" s="588"/>
      <c r="F336" s="588"/>
      <c r="G336" s="588"/>
      <c r="H336" s="588"/>
      <c r="I336" s="588"/>
      <c r="J336" s="588"/>
      <c r="K336" s="588"/>
      <c r="L336" s="702"/>
      <c r="M336" s="888"/>
      <c r="N336" s="888"/>
      <c r="O336" s="888"/>
      <c r="P336" s="888"/>
      <c r="Q336" s="888"/>
      <c r="R336" s="888"/>
      <c r="S336" s="888"/>
      <c r="T336" s="888"/>
      <c r="U336" s="888"/>
      <c r="V336" s="888"/>
      <c r="W336" s="888"/>
      <c r="X336" s="888"/>
      <c r="Y336" s="888"/>
      <c r="Z336" s="888"/>
      <c r="AA336" s="888"/>
      <c r="AB336" s="888"/>
      <c r="AC336" s="888"/>
      <c r="AD336" s="888"/>
      <c r="AE336" s="888"/>
      <c r="AF336" s="888"/>
      <c r="AG336" s="888"/>
      <c r="AH336" s="888"/>
      <c r="AI336" s="888"/>
      <c r="AJ336" s="888"/>
      <c r="AK336" s="888"/>
      <c r="AL336" s="888"/>
      <c r="AM336" s="888"/>
      <c r="AN336" s="888"/>
      <c r="AO336" s="888"/>
      <c r="AP336" s="888"/>
      <c r="AQ336" s="888"/>
      <c r="AR336" s="888"/>
      <c r="AS336" s="888"/>
      <c r="AT336" s="888"/>
      <c r="AU336" s="888"/>
      <c r="AV336" s="888"/>
      <c r="AW336" s="888"/>
      <c r="AX336" s="888"/>
      <c r="AY336" s="888"/>
      <c r="AZ336" s="567"/>
      <c r="BA336" s="567"/>
      <c r="BB336" s="567"/>
      <c r="BC336" s="567"/>
      <c r="BD336" s="567"/>
      <c r="BE336" s="567"/>
      <c r="BF336" s="567"/>
      <c r="BG336" s="567"/>
      <c r="BH336" s="567"/>
      <c r="BI336" s="567"/>
      <c r="BJ336" s="567"/>
      <c r="BK336" s="567"/>
      <c r="BL336" s="567"/>
      <c r="BM336" s="567"/>
      <c r="BN336" s="567"/>
      <c r="BO336" s="567"/>
      <c r="BP336" s="567"/>
      <c r="BQ336" s="567"/>
      <c r="BR336" s="567"/>
      <c r="BS336" s="567"/>
      <c r="BT336" s="567"/>
      <c r="BU336" s="567"/>
      <c r="BV336" s="567"/>
      <c r="BW336" s="567"/>
      <c r="BX336" s="567"/>
      <c r="BY336" s="567"/>
      <c r="BZ336" s="567"/>
      <c r="CA336" s="567"/>
      <c r="CB336" s="567"/>
      <c r="CC336" s="567"/>
      <c r="CD336" s="567"/>
      <c r="CE336" s="567"/>
      <c r="CF336" s="567"/>
      <c r="CG336" s="567"/>
      <c r="CH336" s="567"/>
      <c r="CI336" s="567"/>
      <c r="CJ336" s="567"/>
      <c r="CK336" s="567"/>
      <c r="CL336" s="567"/>
      <c r="CM336" s="567"/>
      <c r="CN336" s="567"/>
      <c r="CO336" s="567"/>
      <c r="CP336" s="567"/>
      <c r="CQ336" s="567"/>
      <c r="CR336" s="567"/>
      <c r="CS336" s="567"/>
      <c r="CT336" s="567"/>
      <c r="CU336" s="567"/>
      <c r="CV336" s="567"/>
      <c r="CW336" s="567"/>
      <c r="CX336" s="567"/>
      <c r="CY336" s="567"/>
      <c r="CZ336" s="567"/>
      <c r="DA336" s="567"/>
      <c r="DB336" s="567"/>
      <c r="DC336" s="567"/>
      <c r="DD336" s="567"/>
      <c r="DE336" s="567"/>
      <c r="DF336" s="567"/>
      <c r="DG336" s="567"/>
      <c r="DH336" s="567"/>
      <c r="DI336" s="567"/>
      <c r="DJ336" s="567"/>
      <c r="DK336" s="567"/>
      <c r="DL336" s="567"/>
      <c r="DM336" s="567"/>
      <c r="DN336" s="567"/>
      <c r="DO336" s="567"/>
      <c r="DP336" s="567"/>
      <c r="DQ336" s="567"/>
    </row>
    <row r="337" spans="1:121" s="487" customFormat="1">
      <c r="A337" s="588"/>
      <c r="B337" s="588"/>
      <c r="C337" s="588"/>
      <c r="D337" s="588"/>
      <c r="E337" s="588"/>
      <c r="F337" s="588"/>
      <c r="G337" s="588"/>
      <c r="H337" s="588"/>
      <c r="I337" s="588"/>
      <c r="J337" s="588"/>
      <c r="K337" s="588"/>
      <c r="L337" s="702"/>
      <c r="M337" s="888"/>
      <c r="N337" s="888"/>
      <c r="O337" s="888"/>
      <c r="P337" s="888"/>
      <c r="Q337" s="888"/>
      <c r="R337" s="888"/>
      <c r="S337" s="888"/>
      <c r="T337" s="888"/>
      <c r="U337" s="888"/>
      <c r="V337" s="888"/>
      <c r="W337" s="888"/>
      <c r="X337" s="888"/>
      <c r="Y337" s="888"/>
      <c r="Z337" s="888"/>
      <c r="AA337" s="888"/>
      <c r="AB337" s="888"/>
      <c r="AC337" s="888"/>
      <c r="AD337" s="888"/>
      <c r="AE337" s="888"/>
      <c r="AF337" s="888"/>
      <c r="AG337" s="888"/>
      <c r="AH337" s="888"/>
      <c r="AI337" s="888"/>
      <c r="AJ337" s="888"/>
      <c r="AK337" s="888"/>
      <c r="AL337" s="888"/>
      <c r="AM337" s="888"/>
      <c r="AN337" s="888"/>
      <c r="AO337" s="888"/>
      <c r="AP337" s="888"/>
      <c r="AQ337" s="888"/>
      <c r="AR337" s="888"/>
      <c r="AS337" s="888"/>
      <c r="AT337" s="888"/>
      <c r="AU337" s="888"/>
      <c r="AV337" s="888"/>
      <c r="AW337" s="888"/>
      <c r="AX337" s="888"/>
      <c r="AY337" s="888"/>
      <c r="AZ337" s="567"/>
      <c r="BA337" s="567"/>
      <c r="BB337" s="567"/>
      <c r="BC337" s="567"/>
      <c r="BD337" s="567"/>
      <c r="BE337" s="567"/>
      <c r="BF337" s="567"/>
      <c r="BG337" s="567"/>
      <c r="BH337" s="567"/>
      <c r="BI337" s="567"/>
      <c r="BJ337" s="567"/>
      <c r="BK337" s="567"/>
      <c r="BL337" s="567"/>
      <c r="BM337" s="567"/>
      <c r="BN337" s="567"/>
      <c r="BO337" s="567"/>
      <c r="BP337" s="567"/>
      <c r="BQ337" s="567"/>
      <c r="BR337" s="567"/>
      <c r="BS337" s="567"/>
      <c r="BT337" s="567"/>
      <c r="BU337" s="567"/>
      <c r="BV337" s="567"/>
      <c r="BW337" s="567"/>
      <c r="BX337" s="567"/>
      <c r="BY337" s="567"/>
      <c r="BZ337" s="567"/>
      <c r="CA337" s="567"/>
      <c r="CB337" s="567"/>
      <c r="CC337" s="567"/>
      <c r="CD337" s="567"/>
      <c r="CE337" s="567"/>
      <c r="CF337" s="567"/>
      <c r="CG337" s="567"/>
      <c r="CH337" s="567"/>
      <c r="CI337" s="567"/>
      <c r="CJ337" s="567"/>
      <c r="CK337" s="567"/>
      <c r="CL337" s="567"/>
      <c r="CM337" s="567"/>
      <c r="CN337" s="567"/>
      <c r="CO337" s="567"/>
      <c r="CP337" s="567"/>
      <c r="CQ337" s="567"/>
      <c r="CR337" s="567"/>
      <c r="CS337" s="567"/>
      <c r="CT337" s="567"/>
      <c r="CU337" s="567"/>
      <c r="CV337" s="567"/>
      <c r="CW337" s="567"/>
      <c r="CX337" s="567"/>
      <c r="CY337" s="567"/>
      <c r="CZ337" s="567"/>
      <c r="DA337" s="567"/>
      <c r="DB337" s="567"/>
      <c r="DC337" s="567"/>
      <c r="DD337" s="567"/>
      <c r="DE337" s="567"/>
      <c r="DF337" s="567"/>
      <c r="DG337" s="567"/>
      <c r="DH337" s="567"/>
      <c r="DI337" s="567"/>
      <c r="DJ337" s="567"/>
      <c r="DK337" s="567"/>
      <c r="DL337" s="567"/>
      <c r="DM337" s="567"/>
      <c r="DN337" s="567"/>
      <c r="DO337" s="567"/>
      <c r="DP337" s="567"/>
      <c r="DQ337" s="567"/>
    </row>
    <row r="338" spans="1:121" s="487" customFormat="1">
      <c r="A338" s="588"/>
      <c r="B338" s="588"/>
      <c r="C338" s="588"/>
      <c r="D338" s="588"/>
      <c r="E338" s="588"/>
      <c r="F338" s="588"/>
      <c r="G338" s="588"/>
      <c r="H338" s="588"/>
      <c r="I338" s="588"/>
      <c r="J338" s="588"/>
      <c r="K338" s="588"/>
      <c r="L338" s="702"/>
      <c r="M338" s="888"/>
      <c r="N338" s="888"/>
      <c r="O338" s="888"/>
      <c r="P338" s="888"/>
      <c r="Q338" s="888"/>
      <c r="R338" s="888"/>
      <c r="S338" s="888"/>
      <c r="T338" s="888"/>
      <c r="U338" s="888"/>
      <c r="V338" s="888"/>
      <c r="W338" s="888"/>
      <c r="X338" s="888"/>
      <c r="Y338" s="888"/>
      <c r="Z338" s="888"/>
      <c r="AA338" s="888"/>
      <c r="AB338" s="888"/>
      <c r="AC338" s="888"/>
      <c r="AD338" s="888"/>
      <c r="AE338" s="888"/>
      <c r="AF338" s="888"/>
      <c r="AG338" s="888"/>
      <c r="AH338" s="888"/>
      <c r="AI338" s="888"/>
      <c r="AJ338" s="888"/>
      <c r="AK338" s="888"/>
      <c r="AL338" s="888"/>
      <c r="AM338" s="888"/>
      <c r="AN338" s="888"/>
      <c r="AO338" s="888"/>
      <c r="AP338" s="888"/>
      <c r="AQ338" s="888"/>
      <c r="AR338" s="888"/>
      <c r="AS338" s="888"/>
      <c r="AT338" s="888"/>
      <c r="AU338" s="888"/>
      <c r="AV338" s="888"/>
      <c r="AW338" s="888"/>
      <c r="AX338" s="888"/>
      <c r="AY338" s="888"/>
      <c r="AZ338" s="567"/>
      <c r="BA338" s="567"/>
      <c r="BB338" s="567"/>
      <c r="BC338" s="567"/>
      <c r="BD338" s="567"/>
      <c r="BE338" s="567"/>
      <c r="BF338" s="567"/>
      <c r="BG338" s="567"/>
      <c r="BH338" s="567"/>
      <c r="BI338" s="567"/>
      <c r="BJ338" s="567"/>
      <c r="BK338" s="567"/>
      <c r="BL338" s="567"/>
      <c r="BM338" s="567"/>
      <c r="BN338" s="567"/>
      <c r="BO338" s="567"/>
      <c r="BP338" s="567"/>
      <c r="BQ338" s="567"/>
      <c r="BR338" s="567"/>
      <c r="BS338" s="567"/>
      <c r="BT338" s="567"/>
      <c r="BU338" s="567"/>
      <c r="BV338" s="567"/>
      <c r="BW338" s="567"/>
      <c r="BX338" s="567"/>
      <c r="BY338" s="567"/>
      <c r="BZ338" s="567"/>
      <c r="CA338" s="567"/>
      <c r="CB338" s="567"/>
      <c r="CC338" s="567"/>
      <c r="CD338" s="567"/>
      <c r="CE338" s="567"/>
      <c r="CF338" s="567"/>
      <c r="CG338" s="567"/>
      <c r="CH338" s="567"/>
      <c r="CI338" s="567"/>
      <c r="CJ338" s="567"/>
      <c r="CK338" s="567"/>
      <c r="CL338" s="567"/>
      <c r="CM338" s="567"/>
      <c r="CN338" s="567"/>
      <c r="CO338" s="567"/>
      <c r="CP338" s="567"/>
      <c r="CQ338" s="567"/>
      <c r="CR338" s="567"/>
      <c r="CS338" s="567"/>
      <c r="CT338" s="567"/>
      <c r="CU338" s="567"/>
      <c r="CV338" s="567"/>
      <c r="CW338" s="567"/>
      <c r="CX338" s="567"/>
      <c r="CY338" s="567"/>
      <c r="CZ338" s="567"/>
      <c r="DA338" s="567"/>
      <c r="DB338" s="567"/>
      <c r="DC338" s="567"/>
      <c r="DD338" s="567"/>
      <c r="DE338" s="567"/>
      <c r="DF338" s="567"/>
      <c r="DG338" s="567"/>
      <c r="DH338" s="567"/>
      <c r="DI338" s="567"/>
      <c r="DJ338" s="567"/>
      <c r="DK338" s="567"/>
      <c r="DL338" s="567"/>
      <c r="DM338" s="567"/>
      <c r="DN338" s="567"/>
      <c r="DO338" s="567"/>
      <c r="DP338" s="567"/>
      <c r="DQ338" s="567"/>
    </row>
    <row r="339" spans="1:121" s="487" customFormat="1">
      <c r="A339" s="588"/>
      <c r="B339" s="588"/>
      <c r="C339" s="588"/>
      <c r="D339" s="588"/>
      <c r="E339" s="588"/>
      <c r="F339" s="588"/>
      <c r="G339" s="588"/>
      <c r="H339" s="588"/>
      <c r="I339" s="588"/>
      <c r="J339" s="588"/>
      <c r="K339" s="588"/>
      <c r="L339" s="702"/>
      <c r="M339" s="888"/>
      <c r="N339" s="888"/>
      <c r="O339" s="888"/>
      <c r="P339" s="888"/>
      <c r="Q339" s="888"/>
      <c r="R339" s="888"/>
      <c r="S339" s="888"/>
      <c r="T339" s="888"/>
      <c r="U339" s="888"/>
      <c r="V339" s="888"/>
      <c r="W339" s="888"/>
      <c r="X339" s="888"/>
      <c r="Y339" s="888"/>
      <c r="Z339" s="888"/>
      <c r="AA339" s="888"/>
      <c r="AB339" s="888"/>
      <c r="AC339" s="888"/>
      <c r="AD339" s="888"/>
      <c r="AE339" s="888"/>
      <c r="AF339" s="888"/>
      <c r="AG339" s="888"/>
      <c r="AH339" s="888"/>
      <c r="AI339" s="888"/>
      <c r="AJ339" s="888"/>
      <c r="AK339" s="888"/>
      <c r="AL339" s="888"/>
      <c r="AM339" s="888"/>
      <c r="AN339" s="888"/>
      <c r="AO339" s="888"/>
      <c r="AP339" s="888"/>
      <c r="AQ339" s="888"/>
      <c r="AR339" s="888"/>
      <c r="AS339" s="888"/>
      <c r="AT339" s="888"/>
      <c r="AU339" s="888"/>
      <c r="AV339" s="888"/>
      <c r="AW339" s="888"/>
      <c r="AX339" s="888"/>
      <c r="AY339" s="888"/>
      <c r="AZ339" s="567"/>
      <c r="BA339" s="567"/>
      <c r="BB339" s="567"/>
      <c r="BC339" s="567"/>
      <c r="BD339" s="567"/>
      <c r="BE339" s="567"/>
      <c r="BF339" s="567"/>
      <c r="BG339" s="567"/>
      <c r="BH339" s="567"/>
      <c r="BI339" s="567"/>
      <c r="BJ339" s="567"/>
      <c r="BK339" s="567"/>
      <c r="BL339" s="567"/>
      <c r="BM339" s="567"/>
      <c r="BN339" s="567"/>
      <c r="BO339" s="567"/>
      <c r="BP339" s="567"/>
      <c r="BQ339" s="567"/>
      <c r="BR339" s="567"/>
      <c r="BS339" s="567"/>
      <c r="BT339" s="567"/>
      <c r="BU339" s="567"/>
      <c r="BV339" s="567"/>
      <c r="BW339" s="567"/>
      <c r="BX339" s="567"/>
      <c r="BY339" s="567"/>
      <c r="BZ339" s="567"/>
      <c r="CA339" s="567"/>
      <c r="CB339" s="567"/>
      <c r="CC339" s="567"/>
      <c r="CD339" s="567"/>
      <c r="CE339" s="567"/>
      <c r="CF339" s="567"/>
      <c r="CG339" s="567"/>
      <c r="CH339" s="567"/>
      <c r="CI339" s="567"/>
      <c r="CJ339" s="567"/>
      <c r="CK339" s="567"/>
      <c r="CL339" s="567"/>
      <c r="CM339" s="567"/>
      <c r="CN339" s="567"/>
      <c r="CO339" s="567"/>
      <c r="CP339" s="567"/>
      <c r="CQ339" s="567"/>
      <c r="CR339" s="567"/>
      <c r="CS339" s="567"/>
      <c r="CT339" s="567"/>
      <c r="CU339" s="567"/>
      <c r="CV339" s="567"/>
      <c r="CW339" s="567"/>
      <c r="CX339" s="567"/>
      <c r="CY339" s="567"/>
      <c r="CZ339" s="567"/>
      <c r="DA339" s="567"/>
      <c r="DB339" s="567"/>
      <c r="DC339" s="567"/>
      <c r="DD339" s="567"/>
      <c r="DE339" s="567"/>
      <c r="DF339" s="567"/>
      <c r="DG339" s="567"/>
      <c r="DH339" s="567"/>
      <c r="DI339" s="567"/>
      <c r="DJ339" s="567"/>
      <c r="DK339" s="567"/>
      <c r="DL339" s="567"/>
      <c r="DM339" s="567"/>
      <c r="DN339" s="567"/>
      <c r="DO339" s="567"/>
      <c r="DP339" s="567"/>
      <c r="DQ339" s="567"/>
    </row>
    <row r="340" spans="1:121" s="487" customFormat="1">
      <c r="A340" s="588"/>
      <c r="B340" s="588"/>
      <c r="C340" s="588"/>
      <c r="D340" s="588"/>
      <c r="E340" s="588"/>
      <c r="F340" s="588"/>
      <c r="G340" s="588"/>
      <c r="H340" s="588"/>
      <c r="I340" s="588"/>
      <c r="J340" s="588"/>
      <c r="K340" s="588"/>
      <c r="L340" s="702"/>
      <c r="M340" s="888"/>
      <c r="N340" s="888"/>
      <c r="O340" s="888"/>
      <c r="P340" s="888"/>
      <c r="Q340" s="888"/>
      <c r="R340" s="888"/>
      <c r="S340" s="888"/>
      <c r="T340" s="888"/>
      <c r="U340" s="888"/>
      <c r="V340" s="888"/>
      <c r="W340" s="888"/>
      <c r="X340" s="888"/>
      <c r="Y340" s="888"/>
      <c r="Z340" s="888"/>
      <c r="AA340" s="888"/>
      <c r="AB340" s="888"/>
      <c r="AC340" s="888"/>
      <c r="AD340" s="888"/>
      <c r="AE340" s="888"/>
      <c r="AF340" s="888"/>
      <c r="AG340" s="888"/>
      <c r="AH340" s="888"/>
      <c r="AI340" s="888"/>
      <c r="AJ340" s="888"/>
      <c r="AK340" s="888"/>
      <c r="AL340" s="888"/>
      <c r="AM340" s="888"/>
      <c r="AN340" s="888"/>
      <c r="AO340" s="888"/>
      <c r="AP340" s="888"/>
      <c r="AQ340" s="888"/>
      <c r="AR340" s="888"/>
      <c r="AS340" s="888"/>
      <c r="AT340" s="888"/>
      <c r="AU340" s="888"/>
      <c r="AV340" s="888"/>
      <c r="AW340" s="888"/>
      <c r="AX340" s="888"/>
      <c r="AY340" s="888"/>
      <c r="AZ340" s="567"/>
      <c r="BA340" s="567"/>
      <c r="BB340" s="567"/>
      <c r="BC340" s="567"/>
      <c r="BD340" s="567"/>
      <c r="BE340" s="567"/>
      <c r="BF340" s="567"/>
      <c r="BG340" s="567"/>
      <c r="BH340" s="567"/>
      <c r="BI340" s="567"/>
      <c r="BJ340" s="567"/>
      <c r="BK340" s="567"/>
      <c r="BL340" s="567"/>
      <c r="BM340" s="567"/>
      <c r="BN340" s="567"/>
      <c r="BO340" s="567"/>
      <c r="BP340" s="567"/>
      <c r="BQ340" s="567"/>
      <c r="BR340" s="567"/>
      <c r="BS340" s="567"/>
      <c r="BT340" s="567"/>
      <c r="BU340" s="567"/>
      <c r="BV340" s="567"/>
      <c r="BW340" s="567"/>
      <c r="BX340" s="567"/>
      <c r="BY340" s="567"/>
      <c r="BZ340" s="567"/>
      <c r="CA340" s="567"/>
      <c r="CB340" s="567"/>
      <c r="CC340" s="567"/>
      <c r="CD340" s="567"/>
      <c r="CE340" s="567"/>
      <c r="CF340" s="567"/>
      <c r="CG340" s="567"/>
      <c r="CH340" s="567"/>
      <c r="CI340" s="567"/>
      <c r="CJ340" s="567"/>
      <c r="CK340" s="567"/>
      <c r="CL340" s="567"/>
      <c r="CM340" s="567"/>
      <c r="CN340" s="567"/>
      <c r="CO340" s="567"/>
      <c r="CP340" s="567"/>
      <c r="CQ340" s="567"/>
      <c r="CR340" s="567"/>
      <c r="CS340" s="567"/>
      <c r="CT340" s="567"/>
      <c r="CU340" s="567"/>
      <c r="CV340" s="567"/>
      <c r="CW340" s="567"/>
      <c r="CX340" s="567"/>
      <c r="CY340" s="567"/>
      <c r="CZ340" s="567"/>
      <c r="DA340" s="567"/>
      <c r="DB340" s="567"/>
      <c r="DC340" s="567"/>
      <c r="DD340" s="567"/>
      <c r="DE340" s="567"/>
      <c r="DF340" s="567"/>
      <c r="DG340" s="567"/>
      <c r="DH340" s="567"/>
      <c r="DI340" s="567"/>
      <c r="DJ340" s="567"/>
      <c r="DK340" s="567"/>
      <c r="DL340" s="567"/>
      <c r="DM340" s="567"/>
      <c r="DN340" s="567"/>
      <c r="DO340" s="567"/>
      <c r="DP340" s="567"/>
      <c r="DQ340" s="567"/>
    </row>
    <row r="341" spans="1:121" s="487" customFormat="1">
      <c r="A341" s="588"/>
      <c r="B341" s="588"/>
      <c r="C341" s="588"/>
      <c r="D341" s="588"/>
      <c r="E341" s="588"/>
      <c r="F341" s="588"/>
      <c r="G341" s="588"/>
      <c r="H341" s="588"/>
      <c r="I341" s="588"/>
      <c r="J341" s="588"/>
      <c r="K341" s="588"/>
      <c r="L341" s="702"/>
      <c r="M341" s="888"/>
      <c r="N341" s="888"/>
      <c r="O341" s="888"/>
      <c r="P341" s="888"/>
      <c r="Q341" s="888"/>
      <c r="R341" s="888"/>
      <c r="S341" s="888"/>
      <c r="T341" s="888"/>
      <c r="U341" s="888"/>
      <c r="V341" s="888"/>
      <c r="W341" s="888"/>
      <c r="X341" s="888"/>
      <c r="Y341" s="888"/>
      <c r="Z341" s="888"/>
      <c r="AA341" s="888"/>
      <c r="AB341" s="888"/>
      <c r="AC341" s="888"/>
      <c r="AD341" s="888"/>
      <c r="AE341" s="888"/>
      <c r="AF341" s="888"/>
      <c r="AG341" s="888"/>
      <c r="AH341" s="888"/>
      <c r="AI341" s="888"/>
      <c r="AJ341" s="888"/>
      <c r="AK341" s="888"/>
      <c r="AL341" s="888"/>
      <c r="AM341" s="888"/>
      <c r="AN341" s="888"/>
      <c r="AO341" s="888"/>
      <c r="AP341" s="888"/>
      <c r="AQ341" s="888"/>
      <c r="AR341" s="888"/>
      <c r="AS341" s="888"/>
      <c r="AT341" s="888"/>
      <c r="AU341" s="888"/>
      <c r="AV341" s="888"/>
      <c r="AW341" s="888"/>
      <c r="AX341" s="888"/>
      <c r="AY341" s="888"/>
      <c r="AZ341" s="567"/>
      <c r="BA341" s="567"/>
      <c r="BB341" s="567"/>
      <c r="BC341" s="567"/>
      <c r="BD341" s="567"/>
      <c r="BE341" s="567"/>
      <c r="BF341" s="567"/>
      <c r="BG341" s="567"/>
      <c r="BH341" s="567"/>
      <c r="BI341" s="567"/>
      <c r="BJ341" s="567"/>
      <c r="BK341" s="567"/>
      <c r="BL341" s="567"/>
      <c r="BM341" s="567"/>
      <c r="BN341" s="567"/>
      <c r="BO341" s="567"/>
      <c r="BP341" s="567"/>
      <c r="BQ341" s="567"/>
      <c r="BR341" s="567"/>
      <c r="BS341" s="567"/>
      <c r="BT341" s="567"/>
      <c r="BU341" s="567"/>
      <c r="BV341" s="567"/>
      <c r="BW341" s="567"/>
      <c r="BX341" s="567"/>
      <c r="BY341" s="567"/>
      <c r="BZ341" s="567"/>
      <c r="CA341" s="567"/>
      <c r="CB341" s="567"/>
      <c r="CC341" s="567"/>
      <c r="CD341" s="567"/>
      <c r="CE341" s="567"/>
      <c r="CF341" s="567"/>
      <c r="CG341" s="567"/>
      <c r="CH341" s="567"/>
      <c r="CI341" s="567"/>
      <c r="CJ341" s="567"/>
      <c r="CK341" s="567"/>
      <c r="CL341" s="567"/>
      <c r="CM341" s="567"/>
      <c r="CN341" s="567"/>
      <c r="CO341" s="567"/>
      <c r="CP341" s="567"/>
      <c r="CQ341" s="567"/>
      <c r="CR341" s="567"/>
      <c r="CS341" s="567"/>
      <c r="CT341" s="567"/>
      <c r="CU341" s="567"/>
      <c r="CV341" s="567"/>
      <c r="CW341" s="567"/>
      <c r="CX341" s="567"/>
      <c r="CY341" s="567"/>
      <c r="CZ341" s="567"/>
      <c r="DA341" s="567"/>
      <c r="DB341" s="567"/>
      <c r="DC341" s="567"/>
      <c r="DD341" s="567"/>
      <c r="DE341" s="567"/>
      <c r="DF341" s="567"/>
      <c r="DG341" s="567"/>
      <c r="DH341" s="567"/>
      <c r="DI341" s="567"/>
      <c r="DJ341" s="567"/>
      <c r="DK341" s="567"/>
      <c r="DL341" s="567"/>
      <c r="DM341" s="567"/>
      <c r="DN341" s="567"/>
      <c r="DO341" s="567"/>
      <c r="DP341" s="567"/>
      <c r="DQ341" s="567"/>
    </row>
    <row r="342" spans="1:121" s="487" customFormat="1">
      <c r="A342" s="588"/>
      <c r="B342" s="588"/>
      <c r="C342" s="588"/>
      <c r="D342" s="588"/>
      <c r="E342" s="588"/>
      <c r="F342" s="588"/>
      <c r="G342" s="588"/>
      <c r="H342" s="588"/>
      <c r="I342" s="588"/>
      <c r="J342" s="588"/>
      <c r="K342" s="588"/>
      <c r="L342" s="702"/>
      <c r="M342" s="888"/>
      <c r="N342" s="888"/>
      <c r="O342" s="888"/>
      <c r="P342" s="888"/>
      <c r="Q342" s="888"/>
      <c r="R342" s="888"/>
      <c r="S342" s="888"/>
      <c r="T342" s="888"/>
      <c r="U342" s="888"/>
      <c r="V342" s="888"/>
      <c r="W342" s="888"/>
      <c r="X342" s="888"/>
      <c r="Y342" s="888"/>
      <c r="Z342" s="888"/>
      <c r="AA342" s="888"/>
      <c r="AB342" s="888"/>
      <c r="AC342" s="888"/>
      <c r="AD342" s="888"/>
      <c r="AE342" s="888"/>
      <c r="AF342" s="888"/>
      <c r="AG342" s="888"/>
      <c r="AH342" s="888"/>
      <c r="AI342" s="888"/>
      <c r="AJ342" s="888"/>
      <c r="AK342" s="888"/>
      <c r="AL342" s="888"/>
      <c r="AM342" s="888"/>
      <c r="AN342" s="888"/>
      <c r="AO342" s="888"/>
      <c r="AP342" s="888"/>
      <c r="AQ342" s="888"/>
      <c r="AR342" s="888"/>
      <c r="AS342" s="888"/>
      <c r="AT342" s="888"/>
      <c r="AU342" s="888"/>
      <c r="AV342" s="888"/>
      <c r="AW342" s="888"/>
      <c r="AX342" s="888"/>
      <c r="AY342" s="888"/>
      <c r="AZ342" s="567"/>
      <c r="BA342" s="567"/>
      <c r="BB342" s="567"/>
      <c r="BC342" s="567"/>
      <c r="BD342" s="567"/>
      <c r="BE342" s="567"/>
      <c r="BF342" s="567"/>
      <c r="BG342" s="567"/>
      <c r="BH342" s="567"/>
      <c r="BI342" s="567"/>
      <c r="BJ342" s="567"/>
      <c r="BK342" s="567"/>
      <c r="BL342" s="567"/>
      <c r="BM342" s="567"/>
      <c r="BN342" s="567"/>
      <c r="BO342" s="567"/>
      <c r="BP342" s="567"/>
      <c r="BQ342" s="567"/>
      <c r="BR342" s="567"/>
      <c r="BS342" s="567"/>
      <c r="BT342" s="567"/>
      <c r="BU342" s="567"/>
      <c r="BV342" s="567"/>
      <c r="BW342" s="567"/>
      <c r="BX342" s="567"/>
      <c r="BY342" s="567"/>
      <c r="BZ342" s="567"/>
      <c r="CA342" s="567"/>
      <c r="CB342" s="567"/>
      <c r="CC342" s="567"/>
      <c r="CD342" s="567"/>
      <c r="CE342" s="567"/>
      <c r="CF342" s="567"/>
      <c r="CG342" s="567"/>
      <c r="CH342" s="567"/>
      <c r="CI342" s="567"/>
      <c r="CJ342" s="567"/>
      <c r="CK342" s="567"/>
      <c r="CL342" s="567"/>
      <c r="CM342" s="567"/>
      <c r="CN342" s="567"/>
      <c r="CO342" s="567"/>
      <c r="CP342" s="567"/>
      <c r="CQ342" s="567"/>
      <c r="CR342" s="567"/>
      <c r="CS342" s="567"/>
      <c r="CT342" s="567"/>
      <c r="CU342" s="567"/>
      <c r="CV342" s="567"/>
      <c r="CW342" s="567"/>
      <c r="CX342" s="567"/>
      <c r="CY342" s="567"/>
      <c r="CZ342" s="567"/>
      <c r="DA342" s="567"/>
      <c r="DB342" s="567"/>
      <c r="DC342" s="567"/>
      <c r="DD342" s="567"/>
      <c r="DE342" s="567"/>
      <c r="DF342" s="567"/>
      <c r="DG342" s="567"/>
      <c r="DH342" s="567"/>
      <c r="DI342" s="567"/>
      <c r="DJ342" s="567"/>
      <c r="DK342" s="567"/>
      <c r="DL342" s="567"/>
      <c r="DM342" s="567"/>
      <c r="DN342" s="567"/>
      <c r="DO342" s="567"/>
      <c r="DP342" s="567"/>
      <c r="DQ342" s="567"/>
    </row>
    <row r="343" spans="1:121" s="487" customFormat="1">
      <c r="A343" s="588"/>
      <c r="B343" s="588"/>
      <c r="C343" s="588"/>
      <c r="D343" s="588"/>
      <c r="E343" s="588"/>
      <c r="F343" s="588"/>
      <c r="G343" s="588"/>
      <c r="H343" s="588"/>
      <c r="I343" s="588"/>
      <c r="J343" s="588"/>
      <c r="K343" s="588"/>
      <c r="L343" s="702"/>
      <c r="M343" s="888"/>
      <c r="N343" s="888"/>
      <c r="O343" s="888"/>
      <c r="P343" s="888"/>
      <c r="Q343" s="888"/>
      <c r="R343" s="888"/>
      <c r="S343" s="888"/>
      <c r="T343" s="888"/>
      <c r="U343" s="888"/>
      <c r="V343" s="888"/>
      <c r="W343" s="888"/>
      <c r="X343" s="888"/>
      <c r="Y343" s="888"/>
      <c r="Z343" s="888"/>
      <c r="AA343" s="888"/>
      <c r="AB343" s="888"/>
      <c r="AC343" s="888"/>
      <c r="AD343" s="888"/>
      <c r="AE343" s="888"/>
      <c r="AF343" s="888"/>
      <c r="AG343" s="888"/>
      <c r="AH343" s="888"/>
      <c r="AI343" s="888"/>
      <c r="AJ343" s="888"/>
      <c r="AK343" s="888"/>
      <c r="AL343" s="888"/>
      <c r="AM343" s="888"/>
      <c r="AN343" s="888"/>
      <c r="AO343" s="888"/>
      <c r="AP343" s="888"/>
      <c r="AQ343" s="888"/>
      <c r="AR343" s="888"/>
      <c r="AS343" s="888"/>
      <c r="AT343" s="888"/>
      <c r="AU343" s="888"/>
      <c r="AV343" s="888"/>
      <c r="AW343" s="888"/>
      <c r="AX343" s="888"/>
      <c r="AY343" s="888"/>
      <c r="AZ343" s="567"/>
      <c r="BA343" s="567"/>
      <c r="BB343" s="567"/>
      <c r="BC343" s="567"/>
      <c r="BD343" s="567"/>
      <c r="BE343" s="567"/>
      <c r="BF343" s="567"/>
      <c r="BG343" s="567"/>
      <c r="BH343" s="567"/>
      <c r="BI343" s="567"/>
      <c r="BJ343" s="567"/>
      <c r="BK343" s="567"/>
      <c r="BL343" s="567"/>
      <c r="BM343" s="567"/>
      <c r="BN343" s="567"/>
      <c r="BO343" s="567"/>
      <c r="BP343" s="567"/>
      <c r="BQ343" s="567"/>
      <c r="BR343" s="567"/>
      <c r="BS343" s="567"/>
      <c r="BT343" s="567"/>
      <c r="BU343" s="567"/>
      <c r="BV343" s="567"/>
      <c r="BW343" s="567"/>
      <c r="BX343" s="567"/>
      <c r="BY343" s="567"/>
      <c r="BZ343" s="567"/>
      <c r="CA343" s="567"/>
      <c r="CB343" s="567"/>
      <c r="CC343" s="567"/>
      <c r="CD343" s="567"/>
      <c r="CE343" s="567"/>
      <c r="CF343" s="567"/>
      <c r="CG343" s="567"/>
      <c r="CH343" s="567"/>
      <c r="CI343" s="567"/>
      <c r="CJ343" s="567"/>
      <c r="CK343" s="567"/>
      <c r="CL343" s="567"/>
      <c r="CM343" s="567"/>
      <c r="CN343" s="567"/>
      <c r="CO343" s="567"/>
      <c r="CP343" s="567"/>
      <c r="CQ343" s="567"/>
      <c r="CR343" s="567"/>
      <c r="CS343" s="567"/>
      <c r="CT343" s="567"/>
      <c r="CU343" s="567"/>
      <c r="CV343" s="567"/>
      <c r="CW343" s="567"/>
      <c r="CX343" s="567"/>
      <c r="CY343" s="567"/>
      <c r="CZ343" s="567"/>
      <c r="DA343" s="567"/>
      <c r="DB343" s="567"/>
      <c r="DC343" s="567"/>
      <c r="DD343" s="567"/>
      <c r="DE343" s="567"/>
      <c r="DF343" s="567"/>
      <c r="DG343" s="567"/>
      <c r="DH343" s="567"/>
      <c r="DI343" s="567"/>
      <c r="DJ343" s="567"/>
      <c r="DK343" s="567"/>
      <c r="DL343" s="567"/>
      <c r="DM343" s="567"/>
      <c r="DN343" s="567"/>
      <c r="DO343" s="567"/>
      <c r="DP343" s="567"/>
      <c r="DQ343" s="567"/>
    </row>
    <row r="344" spans="1:121" s="487" customFormat="1">
      <c r="A344" s="588"/>
      <c r="B344" s="588"/>
      <c r="C344" s="588"/>
      <c r="D344" s="588"/>
      <c r="E344" s="588"/>
      <c r="F344" s="588"/>
      <c r="G344" s="588"/>
      <c r="H344" s="588"/>
      <c r="I344" s="588"/>
      <c r="J344" s="588"/>
      <c r="K344" s="588"/>
      <c r="L344" s="702"/>
      <c r="M344" s="888"/>
      <c r="N344" s="888"/>
      <c r="O344" s="888"/>
      <c r="P344" s="888"/>
      <c r="Q344" s="888"/>
      <c r="R344" s="888"/>
      <c r="S344" s="888"/>
      <c r="T344" s="888"/>
      <c r="U344" s="888"/>
      <c r="V344" s="888"/>
      <c r="W344" s="888"/>
      <c r="X344" s="888"/>
      <c r="Y344" s="888"/>
      <c r="Z344" s="888"/>
      <c r="AA344" s="888"/>
      <c r="AB344" s="888"/>
      <c r="AC344" s="888"/>
      <c r="AD344" s="888"/>
      <c r="AE344" s="888"/>
      <c r="AF344" s="888"/>
      <c r="AG344" s="888"/>
      <c r="AH344" s="888"/>
      <c r="AI344" s="888"/>
      <c r="AJ344" s="888"/>
      <c r="AK344" s="888"/>
      <c r="AL344" s="888"/>
      <c r="AM344" s="888"/>
      <c r="AN344" s="888"/>
      <c r="AO344" s="888"/>
      <c r="AP344" s="888"/>
      <c r="AQ344" s="888"/>
      <c r="AR344" s="888"/>
      <c r="AS344" s="888"/>
      <c r="AT344" s="888"/>
      <c r="AU344" s="888"/>
      <c r="AV344" s="888"/>
      <c r="AW344" s="888"/>
      <c r="AX344" s="888"/>
      <c r="AY344" s="888"/>
      <c r="AZ344" s="567"/>
      <c r="BA344" s="567"/>
      <c r="BB344" s="567"/>
      <c r="BC344" s="567"/>
      <c r="BD344" s="567"/>
      <c r="BE344" s="567"/>
      <c r="BF344" s="567"/>
      <c r="BG344" s="567"/>
      <c r="BH344" s="567"/>
      <c r="BI344" s="567"/>
      <c r="BJ344" s="567"/>
      <c r="BK344" s="567"/>
      <c r="BL344" s="567"/>
      <c r="BM344" s="567"/>
      <c r="BN344" s="567"/>
      <c r="BO344" s="567"/>
      <c r="BP344" s="567"/>
      <c r="BQ344" s="567"/>
      <c r="BR344" s="567"/>
      <c r="BS344" s="567"/>
      <c r="BT344" s="567"/>
      <c r="BU344" s="567"/>
      <c r="BV344" s="567"/>
      <c r="BW344" s="567"/>
      <c r="BX344" s="567"/>
      <c r="BY344" s="567"/>
      <c r="BZ344" s="567"/>
      <c r="CA344" s="567"/>
      <c r="CB344" s="567"/>
      <c r="CC344" s="567"/>
      <c r="CD344" s="567"/>
      <c r="CE344" s="567"/>
      <c r="CF344" s="567"/>
      <c r="CG344" s="567"/>
      <c r="CH344" s="567"/>
      <c r="CI344" s="567"/>
      <c r="CJ344" s="567"/>
      <c r="CK344" s="567"/>
      <c r="CL344" s="567"/>
      <c r="CM344" s="567"/>
      <c r="CN344" s="567"/>
      <c r="CO344" s="567"/>
      <c r="CP344" s="567"/>
      <c r="CQ344" s="567"/>
      <c r="CR344" s="567"/>
      <c r="CS344" s="567"/>
      <c r="CT344" s="567"/>
      <c r="CU344" s="567"/>
      <c r="CV344" s="567"/>
      <c r="CW344" s="567"/>
      <c r="CX344" s="567"/>
      <c r="CY344" s="567"/>
      <c r="CZ344" s="567"/>
      <c r="DA344" s="567"/>
      <c r="DB344" s="567"/>
      <c r="DC344" s="567"/>
      <c r="DD344" s="567"/>
      <c r="DE344" s="567"/>
      <c r="DF344" s="567"/>
      <c r="DG344" s="567"/>
      <c r="DH344" s="567"/>
      <c r="DI344" s="567"/>
      <c r="DJ344" s="567"/>
      <c r="DK344" s="567"/>
      <c r="DL344" s="567"/>
      <c r="DM344" s="567"/>
      <c r="DN344" s="567"/>
      <c r="DO344" s="567"/>
      <c r="DP344" s="567"/>
      <c r="DQ344" s="567"/>
    </row>
    <row r="345" spans="1:121" s="487" customFormat="1">
      <c r="A345" s="588"/>
      <c r="B345" s="588"/>
      <c r="C345" s="588"/>
      <c r="D345" s="588"/>
      <c r="E345" s="588"/>
      <c r="F345" s="588"/>
      <c r="G345" s="588"/>
      <c r="H345" s="588"/>
      <c r="I345" s="588"/>
      <c r="J345" s="588"/>
      <c r="K345" s="588"/>
      <c r="L345" s="702"/>
      <c r="M345" s="888"/>
      <c r="N345" s="888"/>
      <c r="O345" s="888"/>
      <c r="P345" s="888"/>
      <c r="Q345" s="888"/>
      <c r="R345" s="888"/>
      <c r="S345" s="888"/>
      <c r="T345" s="888"/>
      <c r="U345" s="888"/>
      <c r="V345" s="888"/>
      <c r="W345" s="888"/>
      <c r="X345" s="888"/>
      <c r="Y345" s="888"/>
      <c r="Z345" s="888"/>
      <c r="AA345" s="888"/>
      <c r="AB345" s="888"/>
      <c r="AC345" s="888"/>
      <c r="AD345" s="888"/>
      <c r="AE345" s="888"/>
      <c r="AF345" s="888"/>
      <c r="AG345" s="888"/>
      <c r="AH345" s="888"/>
      <c r="AI345" s="888"/>
      <c r="AJ345" s="888"/>
      <c r="AK345" s="888"/>
      <c r="AL345" s="888"/>
      <c r="AM345" s="888"/>
      <c r="AN345" s="888"/>
      <c r="AO345" s="888"/>
      <c r="AP345" s="888"/>
      <c r="AQ345" s="888"/>
      <c r="AR345" s="888"/>
      <c r="AS345" s="888"/>
      <c r="AT345" s="888"/>
      <c r="AU345" s="888"/>
      <c r="AV345" s="888"/>
      <c r="AW345" s="888"/>
      <c r="AX345" s="888"/>
      <c r="AY345" s="888"/>
      <c r="AZ345" s="567"/>
      <c r="BA345" s="567"/>
      <c r="BB345" s="567"/>
      <c r="BC345" s="567"/>
      <c r="BD345" s="567"/>
      <c r="BE345" s="567"/>
      <c r="BF345" s="567"/>
      <c r="BG345" s="567"/>
      <c r="BH345" s="567"/>
      <c r="BI345" s="567"/>
      <c r="BJ345" s="567"/>
      <c r="BK345" s="567"/>
      <c r="BL345" s="567"/>
      <c r="BM345" s="567"/>
      <c r="BN345" s="567"/>
      <c r="BO345" s="567"/>
      <c r="BP345" s="567"/>
      <c r="BQ345" s="567"/>
      <c r="BR345" s="567"/>
      <c r="BS345" s="567"/>
      <c r="BT345" s="567"/>
      <c r="BU345" s="567"/>
      <c r="BV345" s="567"/>
      <c r="BW345" s="567"/>
      <c r="BX345" s="567"/>
      <c r="BY345" s="567"/>
      <c r="BZ345" s="567"/>
      <c r="CA345" s="567"/>
      <c r="CB345" s="567"/>
      <c r="CC345" s="567"/>
      <c r="CD345" s="567"/>
      <c r="CE345" s="567"/>
      <c r="CF345" s="567"/>
      <c r="CG345" s="567"/>
      <c r="CH345" s="567"/>
      <c r="CI345" s="567"/>
      <c r="CJ345" s="567"/>
      <c r="CK345" s="567"/>
      <c r="CL345" s="567"/>
      <c r="CM345" s="567"/>
      <c r="CN345" s="567"/>
      <c r="CO345" s="567"/>
      <c r="CP345" s="567"/>
      <c r="CQ345" s="567"/>
      <c r="CR345" s="567"/>
      <c r="CS345" s="567"/>
      <c r="CT345" s="567"/>
      <c r="CU345" s="567"/>
      <c r="CV345" s="567"/>
      <c r="CW345" s="567"/>
      <c r="CX345" s="567"/>
      <c r="CY345" s="567"/>
      <c r="CZ345" s="567"/>
      <c r="DA345" s="567"/>
      <c r="DB345" s="567"/>
      <c r="DC345" s="567"/>
      <c r="DD345" s="567"/>
      <c r="DE345" s="567"/>
      <c r="DF345" s="567"/>
      <c r="DG345" s="567"/>
      <c r="DH345" s="567"/>
      <c r="DI345" s="567"/>
      <c r="DJ345" s="567"/>
      <c r="DK345" s="567"/>
      <c r="DL345" s="567"/>
      <c r="DM345" s="567"/>
      <c r="DN345" s="567"/>
      <c r="DO345" s="567"/>
      <c r="DP345" s="567"/>
      <c r="DQ345" s="567"/>
    </row>
    <row r="346" spans="1:121" s="487" customFormat="1">
      <c r="A346" s="588"/>
      <c r="B346" s="588"/>
      <c r="C346" s="588"/>
      <c r="D346" s="588"/>
      <c r="E346" s="588"/>
      <c r="F346" s="588"/>
      <c r="G346" s="588"/>
      <c r="H346" s="588"/>
      <c r="I346" s="588"/>
      <c r="J346" s="588"/>
      <c r="K346" s="588"/>
      <c r="L346" s="702"/>
      <c r="M346" s="888"/>
      <c r="N346" s="888"/>
      <c r="O346" s="888"/>
      <c r="P346" s="888"/>
      <c r="Q346" s="888"/>
      <c r="R346" s="888"/>
      <c r="S346" s="888"/>
      <c r="T346" s="888"/>
      <c r="U346" s="888"/>
      <c r="V346" s="888"/>
      <c r="W346" s="888"/>
      <c r="X346" s="888"/>
      <c r="Y346" s="888"/>
      <c r="Z346" s="888"/>
      <c r="AA346" s="888"/>
      <c r="AB346" s="888"/>
      <c r="AC346" s="888"/>
      <c r="AD346" s="888"/>
      <c r="AE346" s="888"/>
      <c r="AF346" s="888"/>
      <c r="AG346" s="888"/>
      <c r="AH346" s="888"/>
      <c r="AI346" s="888"/>
      <c r="AJ346" s="888"/>
      <c r="AK346" s="888"/>
      <c r="AL346" s="888"/>
      <c r="AM346" s="888"/>
      <c r="AN346" s="888"/>
      <c r="AO346" s="888"/>
      <c r="AP346" s="888"/>
      <c r="AQ346" s="888"/>
      <c r="AR346" s="888"/>
      <c r="AS346" s="888"/>
      <c r="AT346" s="888"/>
      <c r="AU346" s="888"/>
      <c r="AV346" s="888"/>
      <c r="AW346" s="888"/>
      <c r="AX346" s="888"/>
      <c r="AY346" s="888"/>
      <c r="AZ346" s="567"/>
      <c r="BA346" s="567"/>
      <c r="BB346" s="567"/>
      <c r="BC346" s="567"/>
      <c r="BD346" s="567"/>
      <c r="BE346" s="567"/>
      <c r="BF346" s="567"/>
      <c r="BG346" s="567"/>
      <c r="BH346" s="567"/>
      <c r="BI346" s="567"/>
      <c r="BJ346" s="567"/>
      <c r="BK346" s="567"/>
      <c r="BL346" s="567"/>
      <c r="BM346" s="567"/>
      <c r="BN346" s="567"/>
      <c r="BO346" s="567"/>
      <c r="BP346" s="567"/>
      <c r="BQ346" s="567"/>
      <c r="BR346" s="567"/>
      <c r="BS346" s="567"/>
      <c r="BT346" s="567"/>
      <c r="BU346" s="567"/>
      <c r="BV346" s="567"/>
      <c r="BW346" s="567"/>
      <c r="BX346" s="567"/>
      <c r="BY346" s="567"/>
      <c r="BZ346" s="567"/>
      <c r="CA346" s="567"/>
      <c r="CB346" s="567"/>
      <c r="CC346" s="567"/>
      <c r="CD346" s="567"/>
      <c r="CE346" s="567"/>
      <c r="CF346" s="567"/>
      <c r="CG346" s="567"/>
      <c r="CH346" s="567"/>
      <c r="CI346" s="567"/>
      <c r="CJ346" s="567"/>
      <c r="CK346" s="567"/>
      <c r="CL346" s="567"/>
      <c r="CM346" s="567"/>
      <c r="CN346" s="567"/>
      <c r="CO346" s="567"/>
      <c r="CP346" s="567"/>
      <c r="CQ346" s="567"/>
      <c r="CR346" s="567"/>
      <c r="CS346" s="567"/>
      <c r="CT346" s="567"/>
      <c r="CU346" s="567"/>
      <c r="CV346" s="567"/>
      <c r="CW346" s="567"/>
      <c r="CX346" s="567"/>
      <c r="CY346" s="567"/>
      <c r="CZ346" s="567"/>
      <c r="DA346" s="567"/>
      <c r="DB346" s="567"/>
      <c r="DC346" s="567"/>
      <c r="DD346" s="567"/>
      <c r="DE346" s="567"/>
      <c r="DF346" s="567"/>
      <c r="DG346" s="567"/>
      <c r="DH346" s="567"/>
      <c r="DI346" s="567"/>
      <c r="DJ346" s="567"/>
      <c r="DK346" s="567"/>
      <c r="DL346" s="567"/>
      <c r="DM346" s="567"/>
      <c r="DN346" s="567"/>
      <c r="DO346" s="567"/>
      <c r="DP346" s="567"/>
      <c r="DQ346" s="567"/>
    </row>
    <row r="347" spans="1:121" s="487" customFormat="1">
      <c r="A347" s="588"/>
      <c r="B347" s="588"/>
      <c r="C347" s="588"/>
      <c r="D347" s="588"/>
      <c r="E347" s="588"/>
      <c r="F347" s="588"/>
      <c r="G347" s="588"/>
      <c r="H347" s="588"/>
      <c r="I347" s="588"/>
      <c r="J347" s="588"/>
      <c r="K347" s="588"/>
      <c r="L347" s="702"/>
      <c r="M347" s="888"/>
      <c r="N347" s="888"/>
      <c r="O347" s="888"/>
      <c r="P347" s="888"/>
      <c r="Q347" s="888"/>
      <c r="R347" s="888"/>
      <c r="S347" s="888"/>
      <c r="T347" s="888"/>
      <c r="U347" s="888"/>
      <c r="V347" s="888"/>
      <c r="W347" s="888"/>
      <c r="X347" s="888"/>
      <c r="Y347" s="888"/>
      <c r="Z347" s="888"/>
      <c r="AA347" s="888"/>
      <c r="AB347" s="888"/>
      <c r="AC347" s="888"/>
      <c r="AD347" s="888"/>
      <c r="AE347" s="888"/>
      <c r="AF347" s="888"/>
      <c r="AG347" s="888"/>
      <c r="AH347" s="888"/>
      <c r="AI347" s="888"/>
      <c r="AJ347" s="888"/>
      <c r="AK347" s="888"/>
      <c r="AL347" s="888"/>
      <c r="AM347" s="888"/>
      <c r="AN347" s="888"/>
      <c r="AO347" s="888"/>
      <c r="AP347" s="888"/>
      <c r="AQ347" s="888"/>
      <c r="AR347" s="888"/>
      <c r="AS347" s="888"/>
      <c r="AT347" s="888"/>
      <c r="AU347" s="888"/>
      <c r="AV347" s="888"/>
      <c r="AW347" s="888"/>
      <c r="AX347" s="888"/>
      <c r="AY347" s="888"/>
      <c r="AZ347" s="567"/>
      <c r="BA347" s="567"/>
      <c r="BB347" s="567"/>
      <c r="BC347" s="567"/>
      <c r="BD347" s="567"/>
      <c r="BE347" s="567"/>
      <c r="BF347" s="567"/>
      <c r="BG347" s="567"/>
      <c r="BH347" s="567"/>
      <c r="BI347" s="567"/>
      <c r="BJ347" s="567"/>
      <c r="BK347" s="567"/>
      <c r="BL347" s="567"/>
      <c r="BM347" s="567"/>
      <c r="BN347" s="567"/>
      <c r="BO347" s="567"/>
      <c r="BP347" s="567"/>
      <c r="BQ347" s="567"/>
      <c r="BR347" s="567"/>
      <c r="BS347" s="567"/>
      <c r="BT347" s="567"/>
      <c r="BU347" s="567"/>
      <c r="BV347" s="567"/>
      <c r="BW347" s="567"/>
      <c r="BX347" s="567"/>
      <c r="BY347" s="567"/>
      <c r="BZ347" s="567"/>
      <c r="CA347" s="567"/>
      <c r="CB347" s="567"/>
      <c r="CC347" s="567"/>
      <c r="CD347" s="567"/>
      <c r="CE347" s="567"/>
      <c r="CF347" s="567"/>
      <c r="CG347" s="567"/>
      <c r="CH347" s="567"/>
      <c r="CI347" s="567"/>
      <c r="CJ347" s="567"/>
      <c r="CK347" s="567"/>
      <c r="CL347" s="567"/>
      <c r="CM347" s="567"/>
      <c r="CN347" s="567"/>
      <c r="CO347" s="567"/>
      <c r="CP347" s="567"/>
      <c r="CQ347" s="567"/>
      <c r="CR347" s="567"/>
      <c r="CS347" s="567"/>
      <c r="CT347" s="567"/>
      <c r="CU347" s="567"/>
      <c r="CV347" s="567"/>
      <c r="CW347" s="567"/>
      <c r="CX347" s="567"/>
      <c r="CY347" s="567"/>
      <c r="CZ347" s="567"/>
      <c r="DA347" s="567"/>
      <c r="DB347" s="567"/>
      <c r="DC347" s="567"/>
      <c r="DD347" s="567"/>
      <c r="DE347" s="567"/>
      <c r="DF347" s="567"/>
      <c r="DG347" s="567"/>
      <c r="DH347" s="567"/>
      <c r="DI347" s="567"/>
      <c r="DJ347" s="567"/>
      <c r="DK347" s="567"/>
      <c r="DL347" s="567"/>
      <c r="DM347" s="567"/>
      <c r="DN347" s="567"/>
      <c r="DO347" s="567"/>
      <c r="DP347" s="567"/>
      <c r="DQ347" s="567"/>
    </row>
    <row r="348" spans="1:121" s="487" customFormat="1">
      <c r="A348" s="588"/>
      <c r="B348" s="588"/>
      <c r="C348" s="588"/>
      <c r="D348" s="588"/>
      <c r="E348" s="588"/>
      <c r="F348" s="588"/>
      <c r="G348" s="588"/>
      <c r="H348" s="588"/>
      <c r="I348" s="588"/>
      <c r="J348" s="588"/>
      <c r="K348" s="588"/>
      <c r="L348" s="702"/>
      <c r="M348" s="888"/>
      <c r="N348" s="888"/>
      <c r="O348" s="888"/>
      <c r="P348" s="888"/>
      <c r="Q348" s="888"/>
      <c r="R348" s="888"/>
      <c r="S348" s="888"/>
      <c r="T348" s="888"/>
      <c r="U348" s="888"/>
      <c r="V348" s="888"/>
      <c r="W348" s="888"/>
      <c r="X348" s="888"/>
      <c r="Y348" s="888"/>
      <c r="Z348" s="888"/>
      <c r="AA348" s="888"/>
      <c r="AB348" s="888"/>
      <c r="AC348" s="888"/>
      <c r="AD348" s="888"/>
      <c r="AE348" s="888"/>
      <c r="AF348" s="888"/>
      <c r="AG348" s="888"/>
      <c r="AH348" s="888"/>
      <c r="AI348" s="888"/>
      <c r="AJ348" s="888"/>
      <c r="AK348" s="888"/>
      <c r="AL348" s="888"/>
      <c r="AM348" s="888"/>
      <c r="AN348" s="888"/>
      <c r="AO348" s="888"/>
      <c r="AP348" s="888"/>
      <c r="AQ348" s="888"/>
      <c r="AR348" s="888"/>
      <c r="AS348" s="888"/>
      <c r="AT348" s="888"/>
      <c r="AU348" s="888"/>
      <c r="AV348" s="888"/>
      <c r="AW348" s="888"/>
      <c r="AX348" s="888"/>
      <c r="AY348" s="888"/>
      <c r="AZ348" s="567"/>
      <c r="BA348" s="567"/>
      <c r="BB348" s="567"/>
      <c r="BC348" s="567"/>
      <c r="BD348" s="567"/>
      <c r="BE348" s="567"/>
      <c r="BF348" s="567"/>
      <c r="BG348" s="567"/>
      <c r="BH348" s="567"/>
      <c r="BI348" s="567"/>
      <c r="BJ348" s="567"/>
      <c r="BK348" s="567"/>
      <c r="BL348" s="567"/>
      <c r="BM348" s="567"/>
      <c r="BN348" s="567"/>
      <c r="BO348" s="567"/>
      <c r="BP348" s="567"/>
      <c r="BQ348" s="567"/>
      <c r="BR348" s="567"/>
      <c r="BS348" s="567"/>
      <c r="BT348" s="567"/>
      <c r="BU348" s="567"/>
      <c r="BV348" s="567"/>
      <c r="BW348" s="567"/>
      <c r="BX348" s="567"/>
      <c r="BY348" s="567"/>
      <c r="BZ348" s="567"/>
      <c r="CA348" s="567"/>
      <c r="CB348" s="567"/>
      <c r="CC348" s="567"/>
      <c r="CD348" s="567"/>
      <c r="CE348" s="567"/>
      <c r="CF348" s="567"/>
      <c r="CG348" s="567"/>
      <c r="CH348" s="567"/>
      <c r="CI348" s="567"/>
      <c r="CJ348" s="567"/>
      <c r="CK348" s="567"/>
      <c r="CL348" s="567"/>
      <c r="CM348" s="567"/>
      <c r="CN348" s="567"/>
      <c r="CO348" s="567"/>
      <c r="CP348" s="567"/>
      <c r="CQ348" s="567"/>
      <c r="CR348" s="567"/>
      <c r="CS348" s="567"/>
      <c r="CT348" s="567"/>
      <c r="CU348" s="567"/>
      <c r="CV348" s="567"/>
      <c r="CW348" s="567"/>
      <c r="CX348" s="567"/>
      <c r="CY348" s="567"/>
      <c r="CZ348" s="567"/>
      <c r="DA348" s="567"/>
      <c r="DB348" s="567"/>
      <c r="DC348" s="567"/>
      <c r="DD348" s="567"/>
      <c r="DE348" s="567"/>
      <c r="DF348" s="567"/>
      <c r="DG348" s="567"/>
      <c r="DH348" s="567"/>
      <c r="DI348" s="567"/>
      <c r="DJ348" s="567"/>
      <c r="DK348" s="567"/>
      <c r="DL348" s="567"/>
      <c r="DM348" s="567"/>
      <c r="DN348" s="567"/>
      <c r="DO348" s="567"/>
      <c r="DP348" s="567"/>
      <c r="DQ348" s="567"/>
    </row>
    <row r="349" spans="1:121" s="487" customFormat="1">
      <c r="A349" s="588"/>
      <c r="B349" s="588"/>
      <c r="C349" s="588"/>
      <c r="D349" s="588"/>
      <c r="E349" s="588"/>
      <c r="F349" s="588"/>
      <c r="G349" s="588"/>
      <c r="H349" s="588"/>
      <c r="I349" s="588"/>
      <c r="J349" s="588"/>
      <c r="K349" s="588"/>
      <c r="L349" s="702"/>
      <c r="M349" s="888"/>
      <c r="N349" s="888"/>
      <c r="O349" s="888"/>
      <c r="P349" s="888"/>
      <c r="Q349" s="888"/>
      <c r="R349" s="888"/>
      <c r="S349" s="888"/>
      <c r="T349" s="888"/>
      <c r="U349" s="888"/>
      <c r="V349" s="888"/>
      <c r="W349" s="888"/>
      <c r="X349" s="888"/>
      <c r="Y349" s="888"/>
      <c r="Z349" s="888"/>
      <c r="AA349" s="888"/>
      <c r="AB349" s="888"/>
      <c r="AC349" s="888"/>
      <c r="AD349" s="888"/>
      <c r="AE349" s="888"/>
      <c r="AF349" s="888"/>
      <c r="AG349" s="888"/>
      <c r="AH349" s="888"/>
      <c r="AI349" s="888"/>
      <c r="AJ349" s="888"/>
      <c r="AK349" s="888"/>
      <c r="AL349" s="888"/>
      <c r="AM349" s="888"/>
      <c r="AN349" s="888"/>
      <c r="AO349" s="888"/>
      <c r="AP349" s="888"/>
      <c r="AQ349" s="888"/>
      <c r="AR349" s="888"/>
      <c r="AS349" s="888"/>
      <c r="AT349" s="888"/>
      <c r="AU349" s="888"/>
      <c r="AV349" s="888"/>
      <c r="AW349" s="888"/>
      <c r="AX349" s="888"/>
      <c r="AY349" s="888"/>
      <c r="AZ349" s="567"/>
      <c r="BA349" s="567"/>
      <c r="BB349" s="567"/>
      <c r="BC349" s="567"/>
      <c r="BD349" s="567"/>
      <c r="BE349" s="567"/>
      <c r="BF349" s="567"/>
      <c r="BG349" s="567"/>
      <c r="BH349" s="567"/>
      <c r="BI349" s="567"/>
      <c r="BJ349" s="567"/>
      <c r="BK349" s="567"/>
      <c r="BL349" s="567"/>
      <c r="BM349" s="567"/>
      <c r="BN349" s="567"/>
      <c r="BO349" s="567"/>
      <c r="BP349" s="567"/>
      <c r="BQ349" s="567"/>
      <c r="BR349" s="567"/>
      <c r="BS349" s="567"/>
      <c r="BT349" s="567"/>
      <c r="BU349" s="567"/>
      <c r="BV349" s="567"/>
      <c r="BW349" s="567"/>
      <c r="BX349" s="567"/>
      <c r="BY349" s="567"/>
      <c r="BZ349" s="567"/>
      <c r="CA349" s="567"/>
      <c r="CB349" s="567"/>
      <c r="CC349" s="567"/>
      <c r="CD349" s="567"/>
      <c r="CE349" s="567"/>
      <c r="CF349" s="567"/>
      <c r="CG349" s="567"/>
      <c r="CH349" s="567"/>
      <c r="CI349" s="567"/>
      <c r="CJ349" s="567"/>
      <c r="CK349" s="567"/>
      <c r="CL349" s="567"/>
      <c r="CM349" s="567"/>
      <c r="CN349" s="567"/>
      <c r="CO349" s="567"/>
      <c r="CP349" s="567"/>
      <c r="CQ349" s="567"/>
      <c r="CR349" s="567"/>
      <c r="CS349" s="567"/>
      <c r="CT349" s="567"/>
      <c r="CU349" s="567"/>
      <c r="CV349" s="567"/>
      <c r="CW349" s="567"/>
      <c r="CX349" s="567"/>
      <c r="CY349" s="567"/>
      <c r="CZ349" s="567"/>
      <c r="DA349" s="567"/>
      <c r="DB349" s="567"/>
      <c r="DC349" s="567"/>
      <c r="DD349" s="567"/>
      <c r="DE349" s="567"/>
      <c r="DF349" s="567"/>
      <c r="DG349" s="567"/>
      <c r="DH349" s="567"/>
      <c r="DI349" s="567"/>
      <c r="DJ349" s="567"/>
      <c r="DK349" s="567"/>
      <c r="DL349" s="567"/>
      <c r="DM349" s="567"/>
      <c r="DN349" s="567"/>
      <c r="DO349" s="567"/>
      <c r="DP349" s="567"/>
      <c r="DQ349" s="567"/>
    </row>
    <row r="350" spans="1:121" s="487" customFormat="1">
      <c r="A350" s="588"/>
      <c r="B350" s="588"/>
      <c r="C350" s="588"/>
      <c r="D350" s="588"/>
      <c r="E350" s="588"/>
      <c r="F350" s="588"/>
      <c r="G350" s="588"/>
      <c r="H350" s="588"/>
      <c r="I350" s="588"/>
      <c r="J350" s="588"/>
      <c r="K350" s="588"/>
      <c r="L350" s="702"/>
      <c r="M350" s="888"/>
      <c r="N350" s="888"/>
      <c r="O350" s="888"/>
      <c r="P350" s="888"/>
      <c r="Q350" s="888"/>
      <c r="R350" s="888"/>
      <c r="S350" s="888"/>
      <c r="T350" s="888"/>
      <c r="U350" s="888"/>
      <c r="V350" s="888"/>
      <c r="W350" s="888"/>
      <c r="X350" s="888"/>
      <c r="Y350" s="888"/>
      <c r="Z350" s="888"/>
      <c r="AA350" s="888"/>
      <c r="AB350" s="888"/>
      <c r="AC350" s="888"/>
      <c r="AD350" s="888"/>
      <c r="AE350" s="888"/>
      <c r="AF350" s="888"/>
      <c r="AG350" s="888"/>
      <c r="AH350" s="888"/>
      <c r="AI350" s="888"/>
      <c r="AJ350" s="888"/>
      <c r="AK350" s="888"/>
      <c r="AL350" s="888"/>
      <c r="AM350" s="888"/>
      <c r="AN350" s="888"/>
      <c r="AO350" s="888"/>
      <c r="AP350" s="888"/>
      <c r="AQ350" s="888"/>
      <c r="AR350" s="888"/>
      <c r="AS350" s="888"/>
      <c r="AT350" s="888"/>
      <c r="AU350" s="888"/>
      <c r="AV350" s="888"/>
      <c r="AW350" s="888"/>
      <c r="AX350" s="888"/>
      <c r="AY350" s="888"/>
      <c r="AZ350" s="567"/>
      <c r="BA350" s="567"/>
      <c r="BB350" s="567"/>
      <c r="BC350" s="567"/>
      <c r="BD350" s="567"/>
      <c r="BE350" s="567"/>
      <c r="BF350" s="567"/>
      <c r="BG350" s="567"/>
      <c r="BH350" s="567"/>
      <c r="BI350" s="567"/>
      <c r="BJ350" s="567"/>
      <c r="BK350" s="567"/>
      <c r="BL350" s="567"/>
      <c r="BM350" s="567"/>
      <c r="BN350" s="567"/>
      <c r="BO350" s="567"/>
      <c r="BP350" s="567"/>
      <c r="BQ350" s="567"/>
      <c r="BR350" s="567"/>
      <c r="BS350" s="567"/>
      <c r="BT350" s="567"/>
      <c r="BU350" s="567"/>
      <c r="BV350" s="567"/>
      <c r="BW350" s="567"/>
      <c r="BX350" s="567"/>
      <c r="BY350" s="567"/>
      <c r="BZ350" s="567"/>
      <c r="CA350" s="567"/>
      <c r="CB350" s="567"/>
      <c r="CC350" s="567"/>
      <c r="CD350" s="567"/>
      <c r="CE350" s="567"/>
      <c r="CF350" s="567"/>
      <c r="CG350" s="567"/>
      <c r="CH350" s="567"/>
      <c r="CI350" s="567"/>
      <c r="CJ350" s="567"/>
      <c r="CK350" s="567"/>
      <c r="CL350" s="567"/>
      <c r="CM350" s="567"/>
      <c r="CN350" s="567"/>
      <c r="CO350" s="567"/>
      <c r="CP350" s="567"/>
      <c r="CQ350" s="567"/>
      <c r="CR350" s="567"/>
      <c r="CS350" s="567"/>
      <c r="CT350" s="567"/>
      <c r="CU350" s="567"/>
      <c r="CV350" s="567"/>
      <c r="CW350" s="567"/>
      <c r="CX350" s="567"/>
      <c r="CY350" s="567"/>
      <c r="CZ350" s="567"/>
      <c r="DA350" s="567"/>
      <c r="DB350" s="567"/>
      <c r="DC350" s="567"/>
      <c r="DD350" s="567"/>
      <c r="DE350" s="567"/>
      <c r="DF350" s="567"/>
      <c r="DG350" s="567"/>
      <c r="DH350" s="567"/>
      <c r="DI350" s="567"/>
      <c r="DJ350" s="567"/>
      <c r="DK350" s="567"/>
      <c r="DL350" s="567"/>
      <c r="DM350" s="567"/>
      <c r="DN350" s="567"/>
      <c r="DO350" s="567"/>
      <c r="DP350" s="567"/>
      <c r="DQ350" s="567"/>
    </row>
    <row r="351" spans="1:121" s="487" customFormat="1">
      <c r="A351" s="588"/>
      <c r="B351" s="588"/>
      <c r="C351" s="588"/>
      <c r="D351" s="588"/>
      <c r="E351" s="588"/>
      <c r="F351" s="588"/>
      <c r="G351" s="588"/>
      <c r="H351" s="588"/>
      <c r="I351" s="588"/>
      <c r="J351" s="588"/>
      <c r="K351" s="588"/>
      <c r="L351" s="702"/>
      <c r="M351" s="888"/>
      <c r="N351" s="888"/>
      <c r="O351" s="888"/>
      <c r="P351" s="888"/>
      <c r="Q351" s="888"/>
      <c r="R351" s="888"/>
      <c r="S351" s="888"/>
      <c r="T351" s="888"/>
      <c r="U351" s="888"/>
      <c r="V351" s="888"/>
      <c r="W351" s="888"/>
      <c r="X351" s="888"/>
      <c r="Y351" s="888"/>
      <c r="Z351" s="888"/>
      <c r="AA351" s="888"/>
      <c r="AB351" s="888"/>
      <c r="AC351" s="888"/>
      <c r="AD351" s="888"/>
      <c r="AE351" s="888"/>
      <c r="AF351" s="888"/>
      <c r="AG351" s="888"/>
      <c r="AH351" s="888"/>
      <c r="AI351" s="888"/>
      <c r="AJ351" s="888"/>
      <c r="AK351" s="888"/>
      <c r="AL351" s="888"/>
      <c r="AM351" s="888"/>
      <c r="AN351" s="888"/>
      <c r="AO351" s="888"/>
      <c r="AP351" s="888"/>
      <c r="AQ351" s="888"/>
      <c r="AR351" s="888"/>
      <c r="AS351" s="888"/>
      <c r="AT351" s="888"/>
      <c r="AU351" s="888"/>
      <c r="AV351" s="888"/>
      <c r="AW351" s="888"/>
      <c r="AX351" s="888"/>
      <c r="AY351" s="888"/>
      <c r="AZ351" s="567"/>
      <c r="BA351" s="567"/>
      <c r="BB351" s="567"/>
      <c r="BC351" s="567"/>
      <c r="BD351" s="567"/>
      <c r="BE351" s="567"/>
      <c r="BF351" s="567"/>
      <c r="BG351" s="567"/>
      <c r="BH351" s="567"/>
      <c r="BI351" s="567"/>
      <c r="BJ351" s="567"/>
      <c r="BK351" s="567"/>
      <c r="BL351" s="567"/>
      <c r="BM351" s="567"/>
      <c r="BN351" s="567"/>
      <c r="BO351" s="567"/>
      <c r="BP351" s="567"/>
      <c r="BQ351" s="567"/>
      <c r="BR351" s="567"/>
      <c r="BS351" s="567"/>
      <c r="BT351" s="567"/>
      <c r="BU351" s="567"/>
      <c r="BV351" s="567"/>
      <c r="BW351" s="567"/>
      <c r="BX351" s="567"/>
      <c r="BY351" s="567"/>
      <c r="BZ351" s="567"/>
      <c r="CA351" s="567"/>
      <c r="CB351" s="567"/>
      <c r="CC351" s="567"/>
      <c r="CD351" s="567"/>
      <c r="CE351" s="567"/>
      <c r="CF351" s="567"/>
      <c r="CG351" s="567"/>
      <c r="CH351" s="567"/>
      <c r="CI351" s="567"/>
      <c r="CJ351" s="567"/>
      <c r="CK351" s="567"/>
      <c r="CL351" s="567"/>
      <c r="CM351" s="567"/>
      <c r="CN351" s="567"/>
      <c r="CO351" s="567"/>
      <c r="CP351" s="567"/>
      <c r="CQ351" s="567"/>
      <c r="CR351" s="567"/>
      <c r="CS351" s="567"/>
      <c r="CT351" s="567"/>
      <c r="CU351" s="567"/>
      <c r="CV351" s="567"/>
      <c r="CW351" s="567"/>
      <c r="CX351" s="567"/>
      <c r="CY351" s="567"/>
      <c r="CZ351" s="567"/>
      <c r="DA351" s="567"/>
      <c r="DB351" s="567"/>
      <c r="DC351" s="567"/>
      <c r="DD351" s="567"/>
      <c r="DE351" s="567"/>
      <c r="DF351" s="567"/>
      <c r="DG351" s="567"/>
      <c r="DH351" s="567"/>
      <c r="DI351" s="567"/>
      <c r="DJ351" s="567"/>
      <c r="DK351" s="567"/>
      <c r="DL351" s="567"/>
      <c r="DM351" s="567"/>
      <c r="DN351" s="567"/>
      <c r="DO351" s="567"/>
      <c r="DP351" s="567"/>
      <c r="DQ351" s="567"/>
    </row>
    <row r="352" spans="1:121" s="487" customFormat="1">
      <c r="A352" s="588"/>
      <c r="B352" s="588"/>
      <c r="C352" s="588"/>
      <c r="D352" s="588"/>
      <c r="E352" s="588"/>
      <c r="F352" s="588"/>
      <c r="G352" s="588"/>
      <c r="H352" s="588"/>
      <c r="I352" s="588"/>
      <c r="J352" s="588"/>
      <c r="K352" s="588"/>
      <c r="L352" s="702"/>
      <c r="M352" s="888"/>
      <c r="N352" s="888"/>
      <c r="O352" s="888"/>
      <c r="P352" s="888"/>
      <c r="Q352" s="888"/>
      <c r="R352" s="888"/>
      <c r="S352" s="888"/>
      <c r="T352" s="888"/>
      <c r="U352" s="888"/>
      <c r="V352" s="888"/>
      <c r="W352" s="888"/>
      <c r="X352" s="888"/>
      <c r="Y352" s="888"/>
      <c r="Z352" s="888"/>
      <c r="AA352" s="888"/>
      <c r="AB352" s="888"/>
      <c r="AC352" s="888"/>
      <c r="AD352" s="888"/>
      <c r="AE352" s="888"/>
      <c r="AF352" s="888"/>
      <c r="AG352" s="888"/>
      <c r="AH352" s="888"/>
      <c r="AI352" s="888"/>
      <c r="AJ352" s="888"/>
      <c r="AK352" s="888"/>
      <c r="AL352" s="888"/>
      <c r="AM352" s="888"/>
      <c r="AN352" s="888"/>
      <c r="AO352" s="888"/>
      <c r="AP352" s="888"/>
      <c r="AQ352" s="888"/>
      <c r="AR352" s="888"/>
      <c r="AS352" s="888"/>
      <c r="AT352" s="888"/>
      <c r="AU352" s="888"/>
      <c r="AV352" s="888"/>
      <c r="AW352" s="888"/>
      <c r="AX352" s="888"/>
      <c r="AY352" s="888"/>
      <c r="AZ352" s="567"/>
      <c r="BA352" s="567"/>
      <c r="BB352" s="567"/>
      <c r="BC352" s="567"/>
      <c r="BD352" s="567"/>
      <c r="BE352" s="567"/>
      <c r="BF352" s="567"/>
      <c r="BG352" s="567"/>
      <c r="BH352" s="567"/>
      <c r="BI352" s="567"/>
      <c r="BJ352" s="567"/>
      <c r="BK352" s="567"/>
      <c r="BL352" s="567"/>
      <c r="BM352" s="567"/>
      <c r="BN352" s="567"/>
      <c r="BO352" s="567"/>
      <c r="BP352" s="567"/>
      <c r="BQ352" s="567"/>
      <c r="BR352" s="567"/>
      <c r="BS352" s="567"/>
      <c r="BT352" s="567"/>
      <c r="BU352" s="567"/>
      <c r="BV352" s="567"/>
      <c r="BW352" s="567"/>
      <c r="BX352" s="567"/>
      <c r="BY352" s="567"/>
      <c r="BZ352" s="567"/>
      <c r="CA352" s="567"/>
      <c r="CB352" s="567"/>
      <c r="CC352" s="567"/>
      <c r="CD352" s="567"/>
      <c r="CE352" s="567"/>
      <c r="CF352" s="567"/>
      <c r="CG352" s="567"/>
      <c r="CH352" s="567"/>
      <c r="CI352" s="567"/>
      <c r="CJ352" s="567"/>
      <c r="CK352" s="567"/>
      <c r="CL352" s="567"/>
      <c r="CM352" s="567"/>
      <c r="CN352" s="567"/>
      <c r="CO352" s="567"/>
      <c r="CP352" s="567"/>
      <c r="CQ352" s="567"/>
      <c r="CR352" s="567"/>
      <c r="CS352" s="567"/>
      <c r="CT352" s="567"/>
      <c r="CU352" s="567"/>
      <c r="CV352" s="567"/>
      <c r="CW352" s="567"/>
      <c r="CX352" s="567"/>
      <c r="CY352" s="567"/>
      <c r="CZ352" s="567"/>
      <c r="DA352" s="567"/>
      <c r="DB352" s="567"/>
      <c r="DC352" s="567"/>
      <c r="DD352" s="567"/>
      <c r="DE352" s="567"/>
      <c r="DF352" s="567"/>
      <c r="DG352" s="567"/>
      <c r="DH352" s="567"/>
      <c r="DI352" s="567"/>
      <c r="DJ352" s="567"/>
      <c r="DK352" s="567"/>
      <c r="DL352" s="567"/>
      <c r="DM352" s="567"/>
      <c r="DN352" s="567"/>
      <c r="DO352" s="567"/>
      <c r="DP352" s="567"/>
      <c r="DQ352" s="567"/>
    </row>
    <row r="353" spans="1:121" s="487" customFormat="1">
      <c r="A353" s="588"/>
      <c r="B353" s="588"/>
      <c r="C353" s="588"/>
      <c r="D353" s="588"/>
      <c r="E353" s="588"/>
      <c r="F353" s="588"/>
      <c r="G353" s="588"/>
      <c r="H353" s="588"/>
      <c r="I353" s="588"/>
      <c r="J353" s="588"/>
      <c r="K353" s="588"/>
      <c r="L353" s="702"/>
      <c r="M353" s="888"/>
      <c r="N353" s="888"/>
      <c r="O353" s="888"/>
      <c r="P353" s="888"/>
      <c r="Q353" s="888"/>
      <c r="R353" s="888"/>
      <c r="S353" s="888"/>
      <c r="T353" s="888"/>
      <c r="U353" s="888"/>
      <c r="V353" s="888"/>
      <c r="W353" s="888"/>
      <c r="X353" s="888"/>
      <c r="Y353" s="888"/>
      <c r="Z353" s="888"/>
      <c r="AA353" s="888"/>
      <c r="AB353" s="888"/>
      <c r="AC353" s="888"/>
      <c r="AD353" s="888"/>
      <c r="AE353" s="888"/>
      <c r="AF353" s="888"/>
      <c r="AG353" s="888"/>
      <c r="AH353" s="888"/>
      <c r="AI353" s="888"/>
      <c r="AJ353" s="888"/>
      <c r="AK353" s="888"/>
      <c r="AL353" s="888"/>
      <c r="AM353" s="888"/>
      <c r="AN353" s="888"/>
      <c r="AO353" s="888"/>
      <c r="AP353" s="888"/>
      <c r="AQ353" s="888"/>
      <c r="AR353" s="888"/>
      <c r="AS353" s="888"/>
      <c r="AT353" s="888"/>
      <c r="AU353" s="888"/>
      <c r="AV353" s="888"/>
      <c r="AW353" s="888"/>
      <c r="AX353" s="888"/>
      <c r="AY353" s="888"/>
      <c r="AZ353" s="567"/>
      <c r="BA353" s="567"/>
      <c r="BB353" s="567"/>
      <c r="BC353" s="567"/>
      <c r="BD353" s="567"/>
      <c r="BE353" s="567"/>
      <c r="BF353" s="567"/>
      <c r="BG353" s="567"/>
      <c r="BH353" s="567"/>
      <c r="BI353" s="567"/>
      <c r="BJ353" s="567"/>
      <c r="BK353" s="567"/>
      <c r="BL353" s="567"/>
      <c r="BM353" s="567"/>
      <c r="BN353" s="567"/>
      <c r="BO353" s="567"/>
      <c r="BP353" s="567"/>
      <c r="BQ353" s="567"/>
      <c r="BR353" s="567"/>
      <c r="BS353" s="567"/>
      <c r="BT353" s="567"/>
      <c r="BU353" s="567"/>
      <c r="BV353" s="567"/>
      <c r="BW353" s="567"/>
      <c r="BX353" s="567"/>
      <c r="BY353" s="567"/>
      <c r="BZ353" s="567"/>
      <c r="CA353" s="567"/>
      <c r="CB353" s="567"/>
      <c r="CC353" s="567"/>
      <c r="CD353" s="567"/>
      <c r="CE353" s="567"/>
      <c r="CF353" s="567"/>
      <c r="CG353" s="567"/>
      <c r="CH353" s="567"/>
      <c r="CI353" s="567"/>
      <c r="CJ353" s="567"/>
      <c r="CK353" s="567"/>
      <c r="CL353" s="567"/>
      <c r="CM353" s="567"/>
      <c r="CN353" s="567"/>
      <c r="CO353" s="567"/>
      <c r="CP353" s="567"/>
      <c r="CQ353" s="567"/>
      <c r="CR353" s="567"/>
      <c r="CS353" s="567"/>
      <c r="CT353" s="567"/>
      <c r="CU353" s="567"/>
      <c r="CV353" s="567"/>
      <c r="CW353" s="567"/>
      <c r="CX353" s="567"/>
      <c r="CY353" s="567"/>
      <c r="CZ353" s="567"/>
      <c r="DA353" s="567"/>
      <c r="DB353" s="567"/>
      <c r="DC353" s="567"/>
      <c r="DD353" s="567"/>
      <c r="DE353" s="567"/>
      <c r="DF353" s="567"/>
      <c r="DG353" s="567"/>
      <c r="DH353" s="567"/>
      <c r="DI353" s="567"/>
      <c r="DJ353" s="567"/>
      <c r="DK353" s="567"/>
      <c r="DL353" s="567"/>
      <c r="DM353" s="567"/>
      <c r="DN353" s="567"/>
      <c r="DO353" s="567"/>
      <c r="DP353" s="567"/>
      <c r="DQ353" s="567"/>
    </row>
    <row r="354" spans="1:121" s="487" customFormat="1">
      <c r="A354" s="588"/>
      <c r="B354" s="588"/>
      <c r="C354" s="588"/>
      <c r="D354" s="588"/>
      <c r="E354" s="588"/>
      <c r="F354" s="588"/>
      <c r="G354" s="588"/>
      <c r="H354" s="588"/>
      <c r="I354" s="588"/>
      <c r="J354" s="588"/>
      <c r="K354" s="588"/>
      <c r="L354" s="702"/>
      <c r="M354" s="888"/>
      <c r="N354" s="888"/>
      <c r="O354" s="888"/>
      <c r="P354" s="888"/>
      <c r="Q354" s="888"/>
      <c r="R354" s="888"/>
      <c r="S354" s="888"/>
      <c r="T354" s="888"/>
      <c r="U354" s="888"/>
      <c r="V354" s="888"/>
      <c r="W354" s="888"/>
      <c r="X354" s="888"/>
      <c r="Y354" s="888"/>
      <c r="Z354" s="888"/>
      <c r="AA354" s="888"/>
      <c r="AB354" s="888"/>
      <c r="AC354" s="888"/>
      <c r="AD354" s="888"/>
      <c r="AE354" s="888"/>
      <c r="AF354" s="888"/>
      <c r="AG354" s="888"/>
      <c r="AH354" s="888"/>
      <c r="AI354" s="888"/>
      <c r="AJ354" s="888"/>
      <c r="AK354" s="888"/>
      <c r="AL354" s="888"/>
      <c r="AM354" s="888"/>
      <c r="AN354" s="888"/>
      <c r="AO354" s="888"/>
      <c r="AP354" s="888"/>
      <c r="AQ354" s="888"/>
      <c r="AR354" s="888"/>
      <c r="AS354" s="888"/>
      <c r="AT354" s="888"/>
      <c r="AU354" s="888"/>
      <c r="AV354" s="888"/>
      <c r="AW354" s="888"/>
      <c r="AX354" s="888"/>
      <c r="AY354" s="888"/>
      <c r="AZ354" s="567"/>
      <c r="BA354" s="567"/>
      <c r="BB354" s="567"/>
      <c r="BC354" s="567"/>
      <c r="BD354" s="567"/>
      <c r="BE354" s="567"/>
      <c r="BF354" s="567"/>
      <c r="BG354" s="567"/>
      <c r="BH354" s="567"/>
      <c r="BI354" s="567"/>
      <c r="BJ354" s="567"/>
      <c r="BK354" s="567"/>
      <c r="BL354" s="567"/>
      <c r="BM354" s="567"/>
      <c r="BN354" s="567"/>
      <c r="BO354" s="567"/>
      <c r="BP354" s="567"/>
      <c r="BQ354" s="567"/>
      <c r="BR354" s="567"/>
      <c r="BS354" s="567"/>
      <c r="BT354" s="567"/>
      <c r="BU354" s="567"/>
      <c r="BV354" s="567"/>
      <c r="BW354" s="567"/>
      <c r="BX354" s="567"/>
      <c r="BY354" s="567"/>
      <c r="BZ354" s="567"/>
      <c r="CA354" s="567"/>
      <c r="CB354" s="567"/>
      <c r="CC354" s="567"/>
      <c r="CD354" s="567"/>
      <c r="CE354" s="567"/>
      <c r="CF354" s="567"/>
      <c r="CG354" s="567"/>
      <c r="CH354" s="567"/>
      <c r="CI354" s="567"/>
      <c r="CJ354" s="567"/>
      <c r="CK354" s="567"/>
      <c r="CL354" s="567"/>
      <c r="CM354" s="567"/>
      <c r="CN354" s="567"/>
      <c r="CO354" s="567"/>
      <c r="CP354" s="567"/>
      <c r="CQ354" s="567"/>
      <c r="CR354" s="567"/>
      <c r="CS354" s="567"/>
      <c r="CT354" s="567"/>
      <c r="CU354" s="567"/>
      <c r="CV354" s="567"/>
      <c r="CW354" s="567"/>
      <c r="CX354" s="567"/>
      <c r="CY354" s="567"/>
      <c r="CZ354" s="567"/>
      <c r="DA354" s="567"/>
      <c r="DB354" s="567"/>
      <c r="DC354" s="567"/>
      <c r="DD354" s="567"/>
      <c r="DE354" s="567"/>
      <c r="DF354" s="567"/>
      <c r="DG354" s="567"/>
      <c r="DH354" s="567"/>
      <c r="DI354" s="567"/>
      <c r="DJ354" s="567"/>
      <c r="DK354" s="567"/>
      <c r="DL354" s="567"/>
      <c r="DM354" s="567"/>
      <c r="DN354" s="567"/>
      <c r="DO354" s="567"/>
      <c r="DP354" s="567"/>
      <c r="DQ354" s="567"/>
    </row>
    <row r="355" spans="1:121" s="487" customFormat="1">
      <c r="A355" s="588"/>
      <c r="B355" s="588"/>
      <c r="C355" s="588"/>
      <c r="D355" s="588"/>
      <c r="E355" s="588"/>
      <c r="F355" s="588"/>
      <c r="G355" s="588"/>
      <c r="H355" s="588"/>
      <c r="I355" s="588"/>
      <c r="J355" s="588"/>
      <c r="K355" s="588"/>
      <c r="L355" s="702"/>
      <c r="M355" s="888"/>
      <c r="N355" s="888"/>
      <c r="O355" s="888"/>
      <c r="P355" s="888"/>
      <c r="Q355" s="888"/>
      <c r="R355" s="888"/>
      <c r="S355" s="888"/>
      <c r="T355" s="888"/>
      <c r="U355" s="888"/>
      <c r="V355" s="888"/>
      <c r="W355" s="888"/>
      <c r="X355" s="888"/>
      <c r="Y355" s="888"/>
      <c r="Z355" s="888"/>
      <c r="AA355" s="888"/>
      <c r="AB355" s="888"/>
      <c r="AC355" s="888"/>
      <c r="AD355" s="888"/>
      <c r="AE355" s="888"/>
      <c r="AF355" s="888"/>
      <c r="AG355" s="888"/>
      <c r="AH355" s="888"/>
      <c r="AI355" s="888"/>
      <c r="AJ355" s="888"/>
      <c r="AK355" s="888"/>
      <c r="AL355" s="888"/>
      <c r="AM355" s="888"/>
      <c r="AN355" s="888"/>
      <c r="AO355" s="888"/>
      <c r="AP355" s="888"/>
      <c r="AQ355" s="888"/>
      <c r="AR355" s="888"/>
      <c r="AS355" s="888"/>
      <c r="AT355" s="888"/>
      <c r="AU355" s="888"/>
      <c r="AV355" s="888"/>
      <c r="AW355" s="888"/>
      <c r="AX355" s="888"/>
      <c r="AY355" s="888"/>
      <c r="AZ355" s="567"/>
      <c r="BA355" s="567"/>
      <c r="BB355" s="567"/>
      <c r="BC355" s="567"/>
      <c r="BD355" s="567"/>
      <c r="BE355" s="567"/>
      <c r="BF355" s="567"/>
      <c r="BG355" s="567"/>
      <c r="BH355" s="567"/>
      <c r="BI355" s="567"/>
      <c r="BJ355" s="567"/>
      <c r="BK355" s="567"/>
      <c r="BL355" s="567"/>
      <c r="BM355" s="567"/>
      <c r="BN355" s="567"/>
      <c r="BO355" s="567"/>
      <c r="BP355" s="567"/>
      <c r="BQ355" s="567"/>
      <c r="BR355" s="567"/>
      <c r="BS355" s="567"/>
      <c r="BT355" s="567"/>
      <c r="BU355" s="567"/>
      <c r="BV355" s="567"/>
      <c r="BW355" s="567"/>
      <c r="BX355" s="567"/>
      <c r="BY355" s="567"/>
      <c r="BZ355" s="567"/>
      <c r="CA355" s="567"/>
      <c r="CB355" s="567"/>
      <c r="CC355" s="567"/>
      <c r="CD355" s="567"/>
      <c r="CE355" s="567"/>
      <c r="CF355" s="567"/>
      <c r="CG355" s="567"/>
      <c r="CH355" s="567"/>
      <c r="CI355" s="567"/>
      <c r="CJ355" s="567"/>
      <c r="CK355" s="567"/>
      <c r="CL355" s="567"/>
      <c r="CM355" s="567"/>
      <c r="CN355" s="567"/>
      <c r="CO355" s="567"/>
      <c r="CP355" s="567"/>
      <c r="CQ355" s="567"/>
      <c r="CR355" s="567"/>
      <c r="CS355" s="567"/>
      <c r="CT355" s="567"/>
      <c r="CU355" s="567"/>
      <c r="CV355" s="567"/>
      <c r="CW355" s="567"/>
      <c r="CX355" s="567"/>
      <c r="CY355" s="567"/>
      <c r="CZ355" s="567"/>
      <c r="DA355" s="567"/>
      <c r="DB355" s="567"/>
      <c r="DC355" s="567"/>
      <c r="DD355" s="567"/>
      <c r="DE355" s="567"/>
      <c r="DF355" s="567"/>
      <c r="DG355" s="567"/>
      <c r="DH355" s="567"/>
      <c r="DI355" s="567"/>
      <c r="DJ355" s="567"/>
      <c r="DK355" s="567"/>
      <c r="DL355" s="567"/>
      <c r="DM355" s="567"/>
      <c r="DN355" s="567"/>
      <c r="DO355" s="567"/>
      <c r="DP355" s="567"/>
      <c r="DQ355" s="567"/>
    </row>
    <row r="356" spans="1:121" s="487" customFormat="1">
      <c r="A356" s="588"/>
      <c r="B356" s="588"/>
      <c r="C356" s="588"/>
      <c r="D356" s="588"/>
      <c r="E356" s="588"/>
      <c r="F356" s="588"/>
      <c r="G356" s="588"/>
      <c r="H356" s="588"/>
      <c r="I356" s="588"/>
      <c r="J356" s="588"/>
      <c r="K356" s="588"/>
      <c r="L356" s="702"/>
      <c r="M356" s="888"/>
      <c r="N356" s="888"/>
      <c r="O356" s="888"/>
      <c r="P356" s="888"/>
      <c r="Q356" s="888"/>
      <c r="R356" s="888"/>
      <c r="S356" s="888"/>
      <c r="T356" s="888"/>
      <c r="U356" s="888"/>
      <c r="V356" s="888"/>
      <c r="W356" s="888"/>
      <c r="X356" s="888"/>
      <c r="Y356" s="888"/>
      <c r="Z356" s="888"/>
      <c r="AA356" s="888"/>
      <c r="AB356" s="888"/>
      <c r="AC356" s="888"/>
      <c r="AD356" s="888"/>
      <c r="AE356" s="888"/>
      <c r="AF356" s="888"/>
      <c r="AG356" s="888"/>
      <c r="AH356" s="888"/>
      <c r="AI356" s="888"/>
      <c r="AJ356" s="888"/>
      <c r="AK356" s="888"/>
      <c r="AL356" s="888"/>
      <c r="AM356" s="888"/>
      <c r="AN356" s="888"/>
      <c r="AO356" s="888"/>
      <c r="AP356" s="888"/>
      <c r="AQ356" s="888"/>
      <c r="AR356" s="888"/>
      <c r="AS356" s="888"/>
      <c r="AT356" s="888"/>
      <c r="AU356" s="888"/>
      <c r="AV356" s="888"/>
      <c r="AW356" s="888"/>
      <c r="AX356" s="888"/>
      <c r="AY356" s="888"/>
      <c r="AZ356" s="567"/>
      <c r="BA356" s="567"/>
      <c r="BB356" s="567"/>
      <c r="BC356" s="567"/>
      <c r="BD356" s="567"/>
      <c r="BE356" s="567"/>
      <c r="BF356" s="567"/>
      <c r="BG356" s="567"/>
      <c r="BH356" s="567"/>
      <c r="BI356" s="567"/>
      <c r="BJ356" s="567"/>
      <c r="BK356" s="567"/>
      <c r="BL356" s="567"/>
      <c r="BM356" s="567"/>
      <c r="BN356" s="567"/>
      <c r="BO356" s="567"/>
      <c r="BP356" s="567"/>
      <c r="BQ356" s="567"/>
      <c r="BR356" s="567"/>
      <c r="BS356" s="567"/>
      <c r="BT356" s="567"/>
      <c r="BU356" s="567"/>
      <c r="BV356" s="567"/>
      <c r="BW356" s="567"/>
      <c r="BX356" s="567"/>
      <c r="BY356" s="567"/>
      <c r="BZ356" s="567"/>
      <c r="CA356" s="567"/>
      <c r="CB356" s="567"/>
      <c r="CC356" s="567"/>
      <c r="CD356" s="567"/>
      <c r="CE356" s="567"/>
      <c r="CF356" s="567"/>
      <c r="CG356" s="567"/>
      <c r="CH356" s="567"/>
      <c r="CI356" s="567"/>
      <c r="CJ356" s="567"/>
      <c r="CK356" s="567"/>
      <c r="CL356" s="567"/>
      <c r="CM356" s="567"/>
      <c r="CN356" s="567"/>
      <c r="CO356" s="567"/>
      <c r="CP356" s="567"/>
      <c r="CQ356" s="567"/>
      <c r="CR356" s="567"/>
      <c r="CS356" s="567"/>
      <c r="CT356" s="567"/>
      <c r="CU356" s="567"/>
      <c r="CV356" s="567"/>
      <c r="CW356" s="567"/>
      <c r="CX356" s="567"/>
      <c r="CY356" s="567"/>
      <c r="CZ356" s="567"/>
      <c r="DA356" s="567"/>
      <c r="DB356" s="567"/>
      <c r="DC356" s="567"/>
      <c r="DD356" s="567"/>
      <c r="DE356" s="567"/>
      <c r="DF356" s="567"/>
      <c r="DG356" s="567"/>
      <c r="DH356" s="567"/>
      <c r="DI356" s="567"/>
      <c r="DJ356" s="567"/>
      <c r="DK356" s="567"/>
      <c r="DL356" s="567"/>
      <c r="DM356" s="567"/>
      <c r="DN356" s="567"/>
      <c r="DO356" s="567"/>
      <c r="DP356" s="567"/>
      <c r="DQ356" s="567"/>
    </row>
    <row r="357" spans="1:121" s="487" customFormat="1">
      <c r="A357" s="588"/>
      <c r="B357" s="588"/>
      <c r="C357" s="588"/>
      <c r="D357" s="588"/>
      <c r="E357" s="588"/>
      <c r="F357" s="588"/>
      <c r="G357" s="588"/>
      <c r="H357" s="588"/>
      <c r="I357" s="588"/>
      <c r="J357" s="588"/>
      <c r="K357" s="588"/>
      <c r="L357" s="702"/>
      <c r="M357" s="888"/>
      <c r="N357" s="888"/>
      <c r="O357" s="888"/>
      <c r="P357" s="888"/>
      <c r="Q357" s="888"/>
      <c r="R357" s="888"/>
      <c r="S357" s="888"/>
      <c r="T357" s="888"/>
      <c r="U357" s="888"/>
      <c r="V357" s="888"/>
      <c r="W357" s="888"/>
      <c r="X357" s="888"/>
      <c r="Y357" s="888"/>
      <c r="Z357" s="888"/>
      <c r="AA357" s="888"/>
      <c r="AB357" s="888"/>
      <c r="AC357" s="888"/>
      <c r="AD357" s="888"/>
      <c r="AE357" s="888"/>
      <c r="AF357" s="888"/>
      <c r="AG357" s="888"/>
      <c r="AH357" s="888"/>
      <c r="AI357" s="888"/>
      <c r="AJ357" s="888"/>
      <c r="AK357" s="888"/>
      <c r="AL357" s="888"/>
      <c r="AM357" s="888"/>
      <c r="AN357" s="888"/>
      <c r="AO357" s="888"/>
      <c r="AP357" s="888"/>
      <c r="AQ357" s="888"/>
      <c r="AR357" s="888"/>
      <c r="AS357" s="888"/>
      <c r="AT357" s="888"/>
      <c r="AU357" s="888"/>
      <c r="AV357" s="888"/>
      <c r="AW357" s="888"/>
      <c r="AX357" s="888"/>
      <c r="AY357" s="888"/>
      <c r="AZ357" s="567"/>
      <c r="BA357" s="567"/>
      <c r="BB357" s="567"/>
      <c r="BC357" s="567"/>
      <c r="BD357" s="567"/>
      <c r="BE357" s="567"/>
      <c r="BF357" s="567"/>
      <c r="BG357" s="567"/>
      <c r="BH357" s="567"/>
      <c r="BI357" s="567"/>
      <c r="BJ357" s="567"/>
      <c r="BK357" s="567"/>
      <c r="BL357" s="567"/>
      <c r="BM357" s="567"/>
      <c r="BN357" s="567"/>
      <c r="BO357" s="567"/>
      <c r="BP357" s="567"/>
      <c r="BQ357" s="567"/>
      <c r="BR357" s="567"/>
      <c r="BS357" s="567"/>
      <c r="BT357" s="567"/>
      <c r="BU357" s="567"/>
      <c r="BV357" s="567"/>
      <c r="BW357" s="567"/>
      <c r="BX357" s="567"/>
      <c r="BY357" s="567"/>
      <c r="BZ357" s="567"/>
      <c r="CA357" s="567"/>
      <c r="CB357" s="567"/>
      <c r="CC357" s="567"/>
      <c r="CD357" s="567"/>
      <c r="CE357" s="567"/>
      <c r="CF357" s="567"/>
      <c r="CG357" s="567"/>
      <c r="CH357" s="567"/>
      <c r="CI357" s="567"/>
      <c r="CJ357" s="567"/>
      <c r="CK357" s="567"/>
      <c r="CL357" s="567"/>
      <c r="CM357" s="567"/>
      <c r="CN357" s="567"/>
      <c r="CO357" s="567"/>
      <c r="CP357" s="567"/>
      <c r="CQ357" s="567"/>
      <c r="CR357" s="567"/>
      <c r="CS357" s="567"/>
      <c r="CT357" s="567"/>
      <c r="CU357" s="567"/>
      <c r="CV357" s="567"/>
      <c r="CW357" s="567"/>
      <c r="CX357" s="567"/>
      <c r="CY357" s="567"/>
      <c r="CZ357" s="567"/>
      <c r="DA357" s="567"/>
      <c r="DB357" s="567"/>
      <c r="DC357" s="567"/>
      <c r="DD357" s="567"/>
      <c r="DE357" s="567"/>
      <c r="DF357" s="567"/>
      <c r="DG357" s="567"/>
      <c r="DH357" s="567"/>
      <c r="DI357" s="567"/>
      <c r="DJ357" s="567"/>
      <c r="DK357" s="567"/>
      <c r="DL357" s="567"/>
      <c r="DM357" s="567"/>
      <c r="DN357" s="567"/>
      <c r="DO357" s="567"/>
      <c r="DP357" s="567"/>
      <c r="DQ357" s="567"/>
    </row>
    <row r="358" spans="1:121" s="487" customFormat="1">
      <c r="A358" s="588"/>
      <c r="B358" s="588"/>
      <c r="C358" s="588"/>
      <c r="D358" s="588"/>
      <c r="E358" s="588"/>
      <c r="F358" s="588"/>
      <c r="G358" s="588"/>
      <c r="H358" s="588"/>
      <c r="I358" s="588"/>
      <c r="J358" s="588"/>
      <c r="K358" s="588"/>
      <c r="L358" s="702"/>
      <c r="M358" s="888"/>
      <c r="N358" s="888"/>
      <c r="O358" s="888"/>
      <c r="P358" s="888"/>
      <c r="Q358" s="888"/>
      <c r="R358" s="888"/>
      <c r="S358" s="888"/>
      <c r="T358" s="888"/>
      <c r="U358" s="888"/>
      <c r="V358" s="888"/>
      <c r="W358" s="888"/>
      <c r="X358" s="888"/>
      <c r="Y358" s="888"/>
      <c r="Z358" s="888"/>
      <c r="AA358" s="888"/>
      <c r="AB358" s="888"/>
      <c r="AC358" s="888"/>
      <c r="AD358" s="888"/>
      <c r="AE358" s="888"/>
      <c r="AF358" s="888"/>
      <c r="AG358" s="888"/>
      <c r="AH358" s="888"/>
      <c r="AI358" s="888"/>
      <c r="AJ358" s="888"/>
      <c r="AK358" s="888"/>
      <c r="AL358" s="888"/>
      <c r="AM358" s="888"/>
      <c r="AN358" s="888"/>
      <c r="AO358" s="888"/>
      <c r="AP358" s="888"/>
      <c r="AQ358" s="888"/>
      <c r="AR358" s="888"/>
      <c r="AS358" s="888"/>
      <c r="AT358" s="888"/>
      <c r="AU358" s="888"/>
      <c r="AV358" s="888"/>
      <c r="AW358" s="888"/>
      <c r="AX358" s="888"/>
      <c r="AY358" s="888"/>
      <c r="AZ358" s="567"/>
      <c r="BA358" s="567"/>
      <c r="BB358" s="567"/>
      <c r="BC358" s="567"/>
      <c r="BD358" s="567"/>
      <c r="BE358" s="567"/>
      <c r="BF358" s="567"/>
      <c r="BG358" s="567"/>
      <c r="BH358" s="567"/>
      <c r="BI358" s="567"/>
      <c r="BJ358" s="567"/>
      <c r="BK358" s="567"/>
      <c r="BL358" s="567"/>
      <c r="BM358" s="567"/>
      <c r="BN358" s="567"/>
      <c r="BO358" s="567"/>
      <c r="BP358" s="567"/>
      <c r="BQ358" s="567"/>
      <c r="BR358" s="567"/>
      <c r="BS358" s="567"/>
      <c r="BT358" s="567"/>
      <c r="BU358" s="567"/>
      <c r="BV358" s="567"/>
      <c r="BW358" s="567"/>
      <c r="BX358" s="567"/>
      <c r="BY358" s="567"/>
      <c r="BZ358" s="567"/>
      <c r="CA358" s="567"/>
      <c r="CB358" s="567"/>
      <c r="CC358" s="567"/>
      <c r="CD358" s="567"/>
      <c r="CE358" s="567"/>
      <c r="CF358" s="567"/>
      <c r="CG358" s="567"/>
      <c r="CH358" s="567"/>
      <c r="CI358" s="567"/>
      <c r="CJ358" s="567"/>
      <c r="CK358" s="567"/>
      <c r="CL358" s="567"/>
      <c r="CM358" s="567"/>
      <c r="CN358" s="567"/>
      <c r="CO358" s="567"/>
      <c r="CP358" s="567"/>
      <c r="CQ358" s="567"/>
      <c r="CR358" s="567"/>
      <c r="CS358" s="567"/>
      <c r="CT358" s="567"/>
      <c r="CU358" s="567"/>
      <c r="CV358" s="567"/>
      <c r="CW358" s="567"/>
      <c r="CX358" s="567"/>
      <c r="CY358" s="567"/>
      <c r="CZ358" s="567"/>
      <c r="DA358" s="567"/>
      <c r="DB358" s="567"/>
      <c r="DC358" s="567"/>
      <c r="DD358" s="567"/>
      <c r="DE358" s="567"/>
      <c r="DF358" s="567"/>
      <c r="DG358" s="567"/>
      <c r="DH358" s="567"/>
      <c r="DI358" s="567"/>
      <c r="DJ358" s="567"/>
      <c r="DK358" s="567"/>
      <c r="DL358" s="567"/>
      <c r="DM358" s="567"/>
      <c r="DN358" s="567"/>
      <c r="DO358" s="567"/>
      <c r="DP358" s="567"/>
      <c r="DQ358" s="567"/>
    </row>
    <row r="359" spans="1:121" s="487" customFormat="1">
      <c r="A359" s="588"/>
      <c r="B359" s="588"/>
      <c r="C359" s="588"/>
      <c r="D359" s="588"/>
      <c r="E359" s="588"/>
      <c r="F359" s="588"/>
      <c r="G359" s="588"/>
      <c r="H359" s="588"/>
      <c r="I359" s="588"/>
      <c r="J359" s="588"/>
      <c r="K359" s="588"/>
      <c r="L359" s="702"/>
      <c r="M359" s="888"/>
      <c r="N359" s="888"/>
      <c r="O359" s="888"/>
      <c r="P359" s="888"/>
      <c r="Q359" s="888"/>
      <c r="R359" s="888"/>
      <c r="S359" s="888"/>
      <c r="T359" s="888"/>
      <c r="U359" s="888"/>
      <c r="V359" s="888"/>
      <c r="W359" s="888"/>
      <c r="X359" s="888"/>
      <c r="Y359" s="888"/>
      <c r="Z359" s="888"/>
      <c r="AA359" s="888"/>
      <c r="AB359" s="888"/>
      <c r="AC359" s="888"/>
      <c r="AD359" s="888"/>
      <c r="AE359" s="888"/>
      <c r="AF359" s="888"/>
      <c r="AG359" s="888"/>
      <c r="AH359" s="888"/>
      <c r="AI359" s="888"/>
      <c r="AJ359" s="888"/>
      <c r="AK359" s="888"/>
      <c r="AL359" s="888"/>
      <c r="AM359" s="888"/>
      <c r="AN359" s="888"/>
      <c r="AO359" s="888"/>
      <c r="AP359" s="888"/>
      <c r="AQ359" s="888"/>
      <c r="AR359" s="888"/>
      <c r="AS359" s="888"/>
      <c r="AT359" s="888"/>
      <c r="AU359" s="888"/>
      <c r="AV359" s="888"/>
      <c r="AW359" s="888"/>
      <c r="AX359" s="888"/>
      <c r="AY359" s="888"/>
      <c r="AZ359" s="567"/>
      <c r="BA359" s="567"/>
      <c r="BB359" s="567"/>
      <c r="BC359" s="567"/>
      <c r="BD359" s="567"/>
      <c r="BE359" s="567"/>
      <c r="BF359" s="567"/>
      <c r="BG359" s="567"/>
      <c r="BH359" s="567"/>
      <c r="BI359" s="567"/>
      <c r="BJ359" s="567"/>
      <c r="BK359" s="567"/>
      <c r="BL359" s="567"/>
      <c r="BM359" s="567"/>
      <c r="BN359" s="567"/>
      <c r="BO359" s="567"/>
      <c r="BP359" s="567"/>
      <c r="BQ359" s="567"/>
      <c r="BR359" s="567"/>
      <c r="BS359" s="567"/>
      <c r="BT359" s="567"/>
      <c r="BU359" s="567"/>
      <c r="BV359" s="567"/>
      <c r="BW359" s="567"/>
      <c r="BX359" s="567"/>
      <c r="BY359" s="567"/>
      <c r="BZ359" s="567"/>
      <c r="CA359" s="567"/>
      <c r="CB359" s="567"/>
      <c r="CC359" s="567"/>
      <c r="CD359" s="567"/>
      <c r="CE359" s="567"/>
      <c r="CF359" s="567"/>
      <c r="CG359" s="567"/>
      <c r="CH359" s="567"/>
      <c r="CI359" s="567"/>
      <c r="CJ359" s="567"/>
      <c r="CK359" s="567"/>
      <c r="CL359" s="567"/>
      <c r="CM359" s="567"/>
      <c r="CN359" s="567"/>
      <c r="CO359" s="567"/>
      <c r="CP359" s="567"/>
      <c r="CQ359" s="567"/>
      <c r="CR359" s="567"/>
      <c r="CS359" s="567"/>
      <c r="CT359" s="567"/>
      <c r="CU359" s="567"/>
      <c r="CV359" s="567"/>
      <c r="CW359" s="567"/>
      <c r="CX359" s="567"/>
      <c r="CY359" s="567"/>
      <c r="CZ359" s="567"/>
      <c r="DA359" s="567"/>
      <c r="DB359" s="567"/>
      <c r="DC359" s="567"/>
      <c r="DD359" s="567"/>
      <c r="DE359" s="567"/>
      <c r="DF359" s="567"/>
      <c r="DG359" s="567"/>
      <c r="DH359" s="567"/>
      <c r="DI359" s="567"/>
      <c r="DJ359" s="567"/>
      <c r="DK359" s="567"/>
      <c r="DL359" s="567"/>
      <c r="DM359" s="567"/>
      <c r="DN359" s="567"/>
      <c r="DO359" s="567"/>
      <c r="DP359" s="567"/>
      <c r="DQ359" s="567"/>
    </row>
    <row r="360" spans="1:121" s="487" customFormat="1">
      <c r="A360" s="588"/>
      <c r="B360" s="588"/>
      <c r="C360" s="588"/>
      <c r="D360" s="588"/>
      <c r="E360" s="588"/>
      <c r="F360" s="588"/>
      <c r="G360" s="588"/>
      <c r="H360" s="588"/>
      <c r="I360" s="588"/>
      <c r="J360" s="588"/>
      <c r="K360" s="588"/>
      <c r="L360" s="702"/>
      <c r="M360" s="888"/>
      <c r="N360" s="888"/>
      <c r="O360" s="888"/>
      <c r="P360" s="888"/>
      <c r="Q360" s="888"/>
      <c r="R360" s="888"/>
      <c r="S360" s="888"/>
      <c r="T360" s="888"/>
      <c r="U360" s="888"/>
      <c r="V360" s="888"/>
      <c r="W360" s="888"/>
      <c r="X360" s="888"/>
      <c r="Y360" s="888"/>
      <c r="Z360" s="888"/>
      <c r="AA360" s="888"/>
      <c r="AB360" s="888"/>
      <c r="AC360" s="888"/>
      <c r="AD360" s="888"/>
      <c r="AE360" s="888"/>
      <c r="AF360" s="888"/>
      <c r="AG360" s="888"/>
      <c r="AH360" s="888"/>
      <c r="AI360" s="888"/>
      <c r="AJ360" s="888"/>
      <c r="AK360" s="888"/>
      <c r="AL360" s="888"/>
      <c r="AM360" s="888"/>
      <c r="AN360" s="888"/>
      <c r="AO360" s="888"/>
      <c r="AP360" s="888"/>
      <c r="AQ360" s="888"/>
      <c r="AR360" s="888"/>
      <c r="AS360" s="888"/>
      <c r="AT360" s="888"/>
      <c r="AU360" s="888"/>
      <c r="AV360" s="888"/>
      <c r="AW360" s="888"/>
      <c r="AX360" s="888"/>
      <c r="AY360" s="888"/>
      <c r="AZ360" s="567"/>
      <c r="BA360" s="567"/>
      <c r="BB360" s="567"/>
      <c r="BC360" s="567"/>
      <c r="BD360" s="567"/>
      <c r="BE360" s="567"/>
      <c r="BF360" s="567"/>
      <c r="BG360" s="567"/>
      <c r="BH360" s="567"/>
      <c r="BI360" s="567"/>
      <c r="BJ360" s="567"/>
      <c r="BK360" s="567"/>
      <c r="BL360" s="567"/>
      <c r="BM360" s="567"/>
      <c r="BN360" s="567"/>
      <c r="BO360" s="567"/>
      <c r="BP360" s="567"/>
      <c r="BQ360" s="567"/>
      <c r="BR360" s="567"/>
      <c r="BS360" s="567"/>
      <c r="BT360" s="567"/>
      <c r="BU360" s="567"/>
      <c r="BV360" s="567"/>
      <c r="BW360" s="567"/>
      <c r="BX360" s="567"/>
      <c r="BY360" s="567"/>
      <c r="BZ360" s="567"/>
      <c r="CA360" s="567"/>
      <c r="CB360" s="567"/>
      <c r="CC360" s="567"/>
      <c r="CD360" s="567"/>
      <c r="CE360" s="567"/>
      <c r="CF360" s="567"/>
      <c r="CG360" s="567"/>
      <c r="CH360" s="567"/>
      <c r="CI360" s="567"/>
      <c r="CJ360" s="567"/>
      <c r="CK360" s="567"/>
      <c r="CL360" s="567"/>
      <c r="CM360" s="567"/>
      <c r="CN360" s="567"/>
      <c r="CO360" s="567"/>
      <c r="CP360" s="567"/>
      <c r="CQ360" s="567"/>
      <c r="CR360" s="567"/>
      <c r="CS360" s="567"/>
      <c r="CT360" s="567"/>
      <c r="CU360" s="567"/>
      <c r="CV360" s="567"/>
      <c r="CW360" s="567"/>
      <c r="CX360" s="567"/>
      <c r="CY360" s="567"/>
      <c r="CZ360" s="567"/>
      <c r="DA360" s="567"/>
      <c r="DB360" s="567"/>
      <c r="DC360" s="567"/>
      <c r="DD360" s="567"/>
      <c r="DE360" s="567"/>
      <c r="DF360" s="567"/>
      <c r="DG360" s="567"/>
      <c r="DH360" s="567"/>
      <c r="DI360" s="567"/>
      <c r="DJ360" s="567"/>
      <c r="DK360" s="567"/>
      <c r="DL360" s="567"/>
      <c r="DM360" s="567"/>
      <c r="DN360" s="567"/>
      <c r="DO360" s="567"/>
      <c r="DP360" s="567"/>
      <c r="DQ360" s="567"/>
    </row>
    <row r="361" spans="1:121" s="487" customFormat="1">
      <c r="A361" s="588"/>
      <c r="B361" s="588"/>
      <c r="C361" s="588"/>
      <c r="D361" s="588"/>
      <c r="E361" s="588"/>
      <c r="F361" s="588"/>
      <c r="G361" s="588"/>
      <c r="H361" s="588"/>
      <c r="I361" s="588"/>
      <c r="J361" s="588"/>
      <c r="K361" s="588"/>
      <c r="L361" s="702"/>
      <c r="M361" s="888"/>
      <c r="N361" s="888"/>
      <c r="O361" s="888"/>
      <c r="P361" s="888"/>
      <c r="Q361" s="888"/>
      <c r="R361" s="888"/>
      <c r="S361" s="888"/>
      <c r="T361" s="888"/>
      <c r="U361" s="888"/>
      <c r="V361" s="888"/>
      <c r="W361" s="888"/>
      <c r="X361" s="888"/>
      <c r="Y361" s="888"/>
      <c r="Z361" s="888"/>
      <c r="AA361" s="888"/>
      <c r="AB361" s="888"/>
      <c r="AC361" s="888"/>
      <c r="AD361" s="888"/>
      <c r="AE361" s="888"/>
      <c r="AF361" s="888"/>
      <c r="AG361" s="888"/>
      <c r="AH361" s="888"/>
      <c r="AI361" s="888"/>
      <c r="AJ361" s="888"/>
      <c r="AK361" s="888"/>
      <c r="AL361" s="888"/>
      <c r="AM361" s="888"/>
      <c r="AN361" s="888"/>
      <c r="AO361" s="888"/>
      <c r="AP361" s="888"/>
      <c r="AQ361" s="888"/>
      <c r="AR361" s="888"/>
      <c r="AS361" s="888"/>
      <c r="AT361" s="888"/>
      <c r="AU361" s="888"/>
      <c r="AV361" s="888"/>
      <c r="AW361" s="888"/>
      <c r="AX361" s="888"/>
      <c r="AY361" s="888"/>
      <c r="AZ361" s="567"/>
      <c r="BA361" s="567"/>
      <c r="BB361" s="567"/>
      <c r="BC361" s="567"/>
      <c r="BD361" s="567"/>
      <c r="BE361" s="567"/>
      <c r="BF361" s="567"/>
      <c r="BG361" s="567"/>
      <c r="BH361" s="567"/>
      <c r="BI361" s="567"/>
      <c r="BJ361" s="567"/>
      <c r="BK361" s="567"/>
      <c r="BL361" s="567"/>
      <c r="BM361" s="567"/>
      <c r="BN361" s="567"/>
      <c r="BO361" s="567"/>
      <c r="BP361" s="567"/>
      <c r="BQ361" s="567"/>
      <c r="BR361" s="567"/>
      <c r="BS361" s="567"/>
      <c r="BT361" s="567"/>
      <c r="BU361" s="567"/>
      <c r="BV361" s="567"/>
      <c r="BW361" s="567"/>
      <c r="BX361" s="567"/>
      <c r="BY361" s="567"/>
      <c r="BZ361" s="567"/>
      <c r="CA361" s="567"/>
      <c r="CB361" s="567"/>
      <c r="CC361" s="567"/>
      <c r="CD361" s="567"/>
      <c r="CE361" s="567"/>
      <c r="CF361" s="567"/>
      <c r="CG361" s="567"/>
      <c r="CH361" s="567"/>
      <c r="CI361" s="567"/>
      <c r="CJ361" s="567"/>
      <c r="CK361" s="567"/>
      <c r="CL361" s="567"/>
      <c r="CM361" s="567"/>
      <c r="CN361" s="567"/>
      <c r="CO361" s="567"/>
      <c r="CP361" s="567"/>
      <c r="CQ361" s="567"/>
      <c r="CR361" s="567"/>
      <c r="CS361" s="567"/>
      <c r="CT361" s="567"/>
      <c r="CU361" s="567"/>
      <c r="CV361" s="567"/>
      <c r="CW361" s="567"/>
      <c r="CX361" s="567"/>
      <c r="CY361" s="567"/>
      <c r="CZ361" s="567"/>
      <c r="DA361" s="567"/>
      <c r="DB361" s="567"/>
      <c r="DC361" s="567"/>
      <c r="DD361" s="567"/>
      <c r="DE361" s="567"/>
      <c r="DF361" s="567"/>
      <c r="DG361" s="567"/>
      <c r="DH361" s="567"/>
      <c r="DI361" s="567"/>
      <c r="DJ361" s="567"/>
      <c r="DK361" s="567"/>
      <c r="DL361" s="567"/>
      <c r="DM361" s="567"/>
      <c r="DN361" s="567"/>
      <c r="DO361" s="567"/>
      <c r="DP361" s="567"/>
      <c r="DQ361" s="567"/>
    </row>
    <row r="362" spans="1:121" s="487" customFormat="1">
      <c r="A362" s="588"/>
      <c r="B362" s="588"/>
      <c r="C362" s="588"/>
      <c r="D362" s="588"/>
      <c r="E362" s="588"/>
      <c r="F362" s="588"/>
      <c r="G362" s="588"/>
      <c r="H362" s="588"/>
      <c r="I362" s="588"/>
      <c r="J362" s="588"/>
      <c r="K362" s="588"/>
      <c r="L362" s="702"/>
      <c r="M362" s="888"/>
      <c r="N362" s="888"/>
      <c r="O362" s="888"/>
      <c r="P362" s="888"/>
      <c r="Q362" s="888"/>
      <c r="R362" s="888"/>
      <c r="S362" s="888"/>
      <c r="T362" s="888"/>
      <c r="U362" s="888"/>
      <c r="V362" s="888"/>
      <c r="W362" s="888"/>
      <c r="X362" s="888"/>
      <c r="Y362" s="888"/>
      <c r="Z362" s="888"/>
      <c r="AA362" s="888"/>
      <c r="AB362" s="888"/>
      <c r="AC362" s="888"/>
      <c r="AD362" s="888"/>
      <c r="AE362" s="888"/>
      <c r="AF362" s="888"/>
      <c r="AG362" s="888"/>
      <c r="AH362" s="888"/>
      <c r="AI362" s="888"/>
      <c r="AJ362" s="888"/>
      <c r="AK362" s="888"/>
      <c r="AL362" s="888"/>
      <c r="AM362" s="888"/>
      <c r="AN362" s="888"/>
      <c r="AO362" s="888"/>
      <c r="AP362" s="888"/>
      <c r="AQ362" s="888"/>
      <c r="AR362" s="888"/>
      <c r="AS362" s="888"/>
      <c r="AT362" s="888"/>
      <c r="AU362" s="888"/>
      <c r="AV362" s="888"/>
      <c r="AW362" s="888"/>
      <c r="AX362" s="888"/>
      <c r="AY362" s="888"/>
      <c r="AZ362" s="567"/>
      <c r="BA362" s="567"/>
      <c r="BB362" s="567"/>
      <c r="BC362" s="567"/>
      <c r="BD362" s="567"/>
      <c r="BE362" s="567"/>
      <c r="BF362" s="567"/>
      <c r="BG362" s="567"/>
      <c r="BH362" s="567"/>
      <c r="BI362" s="567"/>
      <c r="BJ362" s="567"/>
      <c r="BK362" s="567"/>
      <c r="BL362" s="567"/>
      <c r="BM362" s="567"/>
      <c r="BN362" s="567"/>
      <c r="BO362" s="567"/>
      <c r="BP362" s="567"/>
      <c r="BQ362" s="567"/>
      <c r="BR362" s="567"/>
      <c r="BS362" s="567"/>
      <c r="BT362" s="567"/>
      <c r="BU362" s="567"/>
      <c r="BV362" s="567"/>
      <c r="BW362" s="567"/>
      <c r="BX362" s="567"/>
      <c r="BY362" s="567"/>
      <c r="BZ362" s="567"/>
      <c r="CA362" s="567"/>
      <c r="CB362" s="567"/>
      <c r="CC362" s="567"/>
      <c r="CD362" s="567"/>
      <c r="CE362" s="567"/>
      <c r="CF362" s="567"/>
      <c r="CG362" s="567"/>
      <c r="CH362" s="567"/>
      <c r="CI362" s="567"/>
      <c r="CJ362" s="567"/>
      <c r="CK362" s="567"/>
      <c r="CL362" s="567"/>
      <c r="CM362" s="567"/>
      <c r="CN362" s="567"/>
      <c r="CO362" s="567"/>
      <c r="CP362" s="567"/>
      <c r="CQ362" s="567"/>
      <c r="CR362" s="567"/>
      <c r="CS362" s="567"/>
      <c r="CT362" s="567"/>
      <c r="CU362" s="567"/>
      <c r="CV362" s="567"/>
      <c r="CW362" s="567"/>
      <c r="CX362" s="567"/>
      <c r="CY362" s="567"/>
      <c r="CZ362" s="567"/>
      <c r="DA362" s="567"/>
      <c r="DB362" s="567"/>
      <c r="DC362" s="567"/>
      <c r="DD362" s="567"/>
      <c r="DE362" s="567"/>
      <c r="DF362" s="567"/>
      <c r="DG362" s="567"/>
      <c r="DH362" s="567"/>
      <c r="DI362" s="567"/>
      <c r="DJ362" s="567"/>
      <c r="DK362" s="567"/>
      <c r="DL362" s="567"/>
      <c r="DM362" s="567"/>
      <c r="DN362" s="567"/>
      <c r="DO362" s="567"/>
      <c r="DP362" s="567"/>
      <c r="DQ362" s="567"/>
    </row>
    <row r="363" spans="1:121" s="487" customFormat="1">
      <c r="A363" s="588"/>
      <c r="B363" s="588"/>
      <c r="C363" s="588"/>
      <c r="D363" s="588"/>
      <c r="E363" s="588"/>
      <c r="F363" s="588"/>
      <c r="G363" s="588"/>
      <c r="H363" s="588"/>
      <c r="I363" s="588"/>
      <c r="J363" s="588"/>
      <c r="K363" s="588"/>
      <c r="L363" s="702"/>
      <c r="M363" s="888"/>
      <c r="N363" s="888"/>
      <c r="O363" s="888"/>
      <c r="P363" s="888"/>
      <c r="Q363" s="888"/>
      <c r="R363" s="888"/>
      <c r="S363" s="888"/>
      <c r="T363" s="888"/>
      <c r="U363" s="888"/>
      <c r="V363" s="888"/>
      <c r="W363" s="888"/>
      <c r="X363" s="888"/>
      <c r="Y363" s="888"/>
      <c r="Z363" s="888"/>
      <c r="AA363" s="888"/>
      <c r="AB363" s="888"/>
      <c r="AC363" s="888"/>
      <c r="AD363" s="888"/>
      <c r="AE363" s="888"/>
      <c r="AF363" s="888"/>
      <c r="AG363" s="888"/>
      <c r="AH363" s="888"/>
      <c r="AI363" s="888"/>
      <c r="AJ363" s="888"/>
      <c r="AK363" s="888"/>
      <c r="AL363" s="888"/>
      <c r="AM363" s="888"/>
      <c r="AN363" s="888"/>
      <c r="AO363" s="888"/>
      <c r="AP363" s="888"/>
      <c r="AQ363" s="888"/>
      <c r="AR363" s="888"/>
      <c r="AS363" s="888"/>
      <c r="AT363" s="888"/>
      <c r="AU363" s="888"/>
      <c r="AV363" s="888"/>
      <c r="AW363" s="888"/>
      <c r="AX363" s="888"/>
      <c r="AY363" s="888"/>
      <c r="AZ363" s="567"/>
      <c r="BA363" s="567"/>
      <c r="BB363" s="567"/>
      <c r="BC363" s="567"/>
      <c r="BD363" s="567"/>
      <c r="BE363" s="567"/>
      <c r="BF363" s="567"/>
      <c r="BG363" s="567"/>
      <c r="BH363" s="567"/>
      <c r="BI363" s="567"/>
      <c r="BJ363" s="567"/>
      <c r="BK363" s="567"/>
      <c r="BL363" s="567"/>
      <c r="BM363" s="567"/>
      <c r="BN363" s="567"/>
      <c r="BO363" s="567"/>
      <c r="BP363" s="567"/>
      <c r="BQ363" s="567"/>
      <c r="BR363" s="567"/>
      <c r="BS363" s="567"/>
      <c r="BT363" s="567"/>
      <c r="BU363" s="567"/>
      <c r="BV363" s="567"/>
      <c r="BW363" s="567"/>
      <c r="BX363" s="567"/>
      <c r="BY363" s="567"/>
      <c r="BZ363" s="567"/>
      <c r="CA363" s="567"/>
      <c r="CB363" s="567"/>
      <c r="CC363" s="567"/>
      <c r="CD363" s="567"/>
      <c r="CE363" s="567"/>
      <c r="CF363" s="567"/>
      <c r="CG363" s="567"/>
      <c r="CH363" s="567"/>
      <c r="CI363" s="567"/>
      <c r="CJ363" s="567"/>
      <c r="CK363" s="567"/>
      <c r="CL363" s="567"/>
      <c r="CM363" s="567"/>
      <c r="CN363" s="567"/>
      <c r="CO363" s="567"/>
      <c r="CP363" s="567"/>
      <c r="CQ363" s="567"/>
      <c r="CR363" s="567"/>
      <c r="CS363" s="567"/>
      <c r="CT363" s="567"/>
      <c r="CU363" s="567"/>
      <c r="CV363" s="567"/>
      <c r="CW363" s="567"/>
      <c r="CX363" s="567"/>
      <c r="CY363" s="567"/>
      <c r="CZ363" s="567"/>
      <c r="DA363" s="567"/>
      <c r="DB363" s="567"/>
      <c r="DC363" s="567"/>
      <c r="DD363" s="567"/>
      <c r="DE363" s="567"/>
      <c r="DF363" s="567"/>
      <c r="DG363" s="567"/>
      <c r="DH363" s="567"/>
      <c r="DI363" s="567"/>
      <c r="DJ363" s="567"/>
      <c r="DK363" s="567"/>
      <c r="DL363" s="567"/>
      <c r="DM363" s="567"/>
      <c r="DN363" s="567"/>
      <c r="DO363" s="567"/>
      <c r="DP363" s="567"/>
      <c r="DQ363" s="567"/>
    </row>
    <row r="364" spans="1:121" s="487" customFormat="1">
      <c r="A364" s="588"/>
      <c r="B364" s="588"/>
      <c r="C364" s="588"/>
      <c r="D364" s="588"/>
      <c r="E364" s="588"/>
      <c r="F364" s="588"/>
      <c r="G364" s="588"/>
      <c r="H364" s="588"/>
      <c r="I364" s="588"/>
      <c r="J364" s="588"/>
      <c r="K364" s="588"/>
      <c r="L364" s="702"/>
      <c r="M364" s="888"/>
      <c r="N364" s="888"/>
      <c r="O364" s="888"/>
      <c r="P364" s="888"/>
      <c r="Q364" s="888"/>
      <c r="R364" s="888"/>
      <c r="S364" s="888"/>
      <c r="T364" s="888"/>
      <c r="U364" s="888"/>
      <c r="V364" s="888"/>
      <c r="W364" s="888"/>
      <c r="X364" s="888"/>
      <c r="Y364" s="888"/>
      <c r="Z364" s="888"/>
      <c r="AA364" s="888"/>
      <c r="AB364" s="888"/>
      <c r="AC364" s="888"/>
      <c r="AD364" s="888"/>
      <c r="AE364" s="888"/>
      <c r="AF364" s="888"/>
      <c r="AG364" s="888"/>
      <c r="AH364" s="888"/>
      <c r="AI364" s="888"/>
      <c r="AJ364" s="888"/>
      <c r="AK364" s="888"/>
      <c r="AL364" s="888"/>
      <c r="AM364" s="888"/>
      <c r="AN364" s="888"/>
      <c r="AO364" s="888"/>
      <c r="AP364" s="888"/>
      <c r="AQ364" s="888"/>
      <c r="AR364" s="888"/>
      <c r="AS364" s="888"/>
      <c r="AT364" s="888"/>
      <c r="AU364" s="888"/>
      <c r="AV364" s="888"/>
      <c r="AW364" s="888"/>
      <c r="AX364" s="888"/>
      <c r="AY364" s="888"/>
      <c r="AZ364" s="567"/>
      <c r="BA364" s="567"/>
      <c r="BB364" s="567"/>
      <c r="BC364" s="567"/>
      <c r="BD364" s="567"/>
      <c r="BE364" s="567"/>
      <c r="BF364" s="567"/>
      <c r="BG364" s="567"/>
      <c r="BH364" s="567"/>
      <c r="BI364" s="567"/>
      <c r="BJ364" s="567"/>
      <c r="BK364" s="567"/>
      <c r="BL364" s="567"/>
      <c r="BM364" s="567"/>
      <c r="BN364" s="567"/>
      <c r="BO364" s="567"/>
      <c r="BP364" s="567"/>
      <c r="BQ364" s="567"/>
      <c r="BR364" s="567"/>
      <c r="BS364" s="567"/>
      <c r="BT364" s="567"/>
      <c r="BU364" s="567"/>
      <c r="BV364" s="567"/>
      <c r="BW364" s="567"/>
      <c r="BX364" s="567"/>
      <c r="BY364" s="567"/>
      <c r="BZ364" s="567"/>
      <c r="CA364" s="567"/>
      <c r="CB364" s="567"/>
      <c r="CC364" s="567"/>
      <c r="CD364" s="567"/>
      <c r="CE364" s="567"/>
      <c r="CF364" s="567"/>
      <c r="CG364" s="567"/>
      <c r="CH364" s="567"/>
      <c r="CI364" s="567"/>
      <c r="CJ364" s="567"/>
      <c r="CK364" s="567"/>
      <c r="CL364" s="567"/>
      <c r="CM364" s="567"/>
      <c r="CN364" s="567"/>
      <c r="CO364" s="567"/>
      <c r="CP364" s="567"/>
      <c r="CQ364" s="567"/>
      <c r="CR364" s="567"/>
      <c r="CS364" s="567"/>
      <c r="CT364" s="567"/>
      <c r="CU364" s="567"/>
      <c r="CV364" s="567"/>
      <c r="CW364" s="567"/>
      <c r="CX364" s="567"/>
      <c r="CY364" s="567"/>
      <c r="CZ364" s="567"/>
      <c r="DA364" s="567"/>
      <c r="DB364" s="567"/>
      <c r="DC364" s="567"/>
      <c r="DD364" s="567"/>
      <c r="DE364" s="567"/>
      <c r="DF364" s="567"/>
      <c r="DG364" s="567"/>
      <c r="DH364" s="567"/>
      <c r="DI364" s="567"/>
      <c r="DJ364" s="567"/>
      <c r="DK364" s="567"/>
      <c r="DL364" s="567"/>
      <c r="DM364" s="567"/>
      <c r="DN364" s="567"/>
      <c r="DO364" s="567"/>
      <c r="DP364" s="567"/>
      <c r="DQ364" s="567"/>
    </row>
    <row r="365" spans="1:121" s="487" customFormat="1">
      <c r="A365" s="588"/>
      <c r="B365" s="588"/>
      <c r="C365" s="588"/>
      <c r="D365" s="588"/>
      <c r="E365" s="588"/>
      <c r="F365" s="588"/>
      <c r="G365" s="588"/>
      <c r="H365" s="588"/>
      <c r="I365" s="588"/>
      <c r="J365" s="588"/>
      <c r="K365" s="588"/>
      <c r="L365" s="702"/>
      <c r="M365" s="888"/>
      <c r="N365" s="888"/>
      <c r="O365" s="888"/>
      <c r="P365" s="888"/>
      <c r="Q365" s="888"/>
      <c r="R365" s="888"/>
      <c r="S365" s="888"/>
      <c r="T365" s="888"/>
      <c r="U365" s="888"/>
      <c r="V365" s="888"/>
      <c r="W365" s="888"/>
      <c r="X365" s="888"/>
      <c r="Y365" s="888"/>
      <c r="Z365" s="888"/>
      <c r="AA365" s="888"/>
      <c r="AB365" s="888"/>
      <c r="AC365" s="888"/>
      <c r="AD365" s="888"/>
      <c r="AE365" s="888"/>
      <c r="AF365" s="888"/>
      <c r="AG365" s="888"/>
      <c r="AH365" s="888"/>
      <c r="AI365" s="888"/>
      <c r="AJ365" s="888"/>
      <c r="AK365" s="888"/>
      <c r="AL365" s="888"/>
      <c r="AM365" s="888"/>
      <c r="AN365" s="888"/>
      <c r="AO365" s="888"/>
      <c r="AP365" s="888"/>
      <c r="AQ365" s="888"/>
      <c r="AR365" s="888"/>
      <c r="AS365" s="888"/>
      <c r="AT365" s="888"/>
      <c r="AU365" s="888"/>
      <c r="AV365" s="888"/>
      <c r="AW365" s="888"/>
      <c r="AX365" s="888"/>
      <c r="AY365" s="888"/>
      <c r="AZ365" s="567"/>
      <c r="BA365" s="567"/>
      <c r="BB365" s="567"/>
      <c r="BC365" s="567"/>
      <c r="BD365" s="567"/>
      <c r="BE365" s="567"/>
      <c r="BF365" s="567"/>
      <c r="BG365" s="567"/>
      <c r="BH365" s="567"/>
      <c r="BI365" s="567"/>
      <c r="BJ365" s="567"/>
      <c r="BK365" s="567"/>
      <c r="BL365" s="567"/>
      <c r="BM365" s="567"/>
      <c r="BN365" s="567"/>
      <c r="BO365" s="567"/>
      <c r="BP365" s="567"/>
      <c r="BQ365" s="567"/>
      <c r="BR365" s="567"/>
      <c r="BS365" s="567"/>
      <c r="BT365" s="567"/>
      <c r="BU365" s="567"/>
      <c r="BV365" s="567"/>
      <c r="BW365" s="567"/>
      <c r="BX365" s="567"/>
      <c r="BY365" s="567"/>
      <c r="BZ365" s="567"/>
      <c r="CA365" s="567"/>
      <c r="CB365" s="567"/>
      <c r="CC365" s="567"/>
      <c r="CD365" s="567"/>
      <c r="CE365" s="567"/>
      <c r="CF365" s="567"/>
      <c r="CG365" s="567"/>
      <c r="CH365" s="567"/>
      <c r="CI365" s="567"/>
      <c r="CJ365" s="567"/>
      <c r="CK365" s="567"/>
      <c r="CL365" s="567"/>
      <c r="CM365" s="567"/>
      <c r="CN365" s="567"/>
      <c r="CO365" s="567"/>
      <c r="CP365" s="567"/>
      <c r="CQ365" s="567"/>
      <c r="CR365" s="567"/>
      <c r="CS365" s="567"/>
      <c r="CT365" s="567"/>
      <c r="CU365" s="567"/>
      <c r="CV365" s="567"/>
      <c r="CW365" s="567"/>
      <c r="CX365" s="567"/>
      <c r="CY365" s="567"/>
      <c r="CZ365" s="567"/>
      <c r="DA365" s="567"/>
      <c r="DB365" s="567"/>
      <c r="DC365" s="567"/>
      <c r="DD365" s="567"/>
      <c r="DE365" s="567"/>
      <c r="DF365" s="567"/>
      <c r="DG365" s="567"/>
      <c r="DH365" s="567"/>
      <c r="DI365" s="567"/>
      <c r="DJ365" s="567"/>
      <c r="DK365" s="567"/>
      <c r="DL365" s="567"/>
      <c r="DM365" s="567"/>
      <c r="DN365" s="567"/>
      <c r="DO365" s="567"/>
      <c r="DP365" s="567"/>
      <c r="DQ365" s="567"/>
    </row>
    <row r="366" spans="1:121" s="487" customFormat="1">
      <c r="A366" s="588"/>
      <c r="B366" s="588"/>
      <c r="C366" s="588"/>
      <c r="D366" s="588"/>
      <c r="E366" s="588"/>
      <c r="F366" s="588"/>
      <c r="G366" s="588"/>
      <c r="H366" s="588"/>
      <c r="I366" s="588"/>
      <c r="J366" s="588"/>
      <c r="K366" s="588"/>
      <c r="L366" s="702"/>
      <c r="M366" s="888"/>
      <c r="N366" s="888"/>
      <c r="O366" s="888"/>
      <c r="P366" s="888"/>
      <c r="Q366" s="888"/>
      <c r="R366" s="888"/>
      <c r="S366" s="888"/>
      <c r="T366" s="888"/>
      <c r="U366" s="888"/>
      <c r="V366" s="888"/>
      <c r="W366" s="888"/>
      <c r="X366" s="888"/>
      <c r="Y366" s="888"/>
      <c r="Z366" s="888"/>
      <c r="AA366" s="888"/>
      <c r="AB366" s="888"/>
      <c r="AC366" s="888"/>
      <c r="AD366" s="888"/>
      <c r="AE366" s="888"/>
      <c r="AF366" s="888"/>
      <c r="AG366" s="888"/>
      <c r="AH366" s="888"/>
      <c r="AI366" s="888"/>
      <c r="AJ366" s="888"/>
      <c r="AK366" s="888"/>
      <c r="AL366" s="888"/>
      <c r="AM366" s="888"/>
      <c r="AN366" s="888"/>
      <c r="AO366" s="888"/>
      <c r="AP366" s="888"/>
      <c r="AQ366" s="888"/>
      <c r="AR366" s="888"/>
      <c r="AS366" s="888"/>
      <c r="AT366" s="888"/>
      <c r="AU366" s="888"/>
      <c r="AV366" s="888"/>
      <c r="AW366" s="888"/>
      <c r="AX366" s="888"/>
      <c r="AY366" s="888"/>
      <c r="AZ366" s="567"/>
      <c r="BA366" s="567"/>
      <c r="BB366" s="567"/>
      <c r="BC366" s="567"/>
      <c r="BD366" s="567"/>
      <c r="BE366" s="567"/>
      <c r="BF366" s="567"/>
      <c r="BG366" s="567"/>
      <c r="BH366" s="567"/>
      <c r="BI366" s="567"/>
      <c r="BJ366" s="567"/>
      <c r="BK366" s="567"/>
      <c r="BL366" s="567"/>
      <c r="BM366" s="567"/>
      <c r="BN366" s="567"/>
      <c r="BO366" s="567"/>
      <c r="BP366" s="567"/>
      <c r="BQ366" s="567"/>
      <c r="BR366" s="567"/>
      <c r="BS366" s="567"/>
      <c r="BT366" s="567"/>
      <c r="BU366" s="567"/>
      <c r="BV366" s="567"/>
      <c r="BW366" s="567"/>
      <c r="BX366" s="567"/>
      <c r="BY366" s="567"/>
      <c r="BZ366" s="567"/>
      <c r="CA366" s="567"/>
      <c r="CB366" s="567"/>
      <c r="CC366" s="567"/>
      <c r="CD366" s="567"/>
      <c r="CE366" s="567"/>
      <c r="CF366" s="567"/>
      <c r="CG366" s="567"/>
      <c r="CH366" s="567"/>
      <c r="CI366" s="567"/>
      <c r="CJ366" s="567"/>
      <c r="CK366" s="567"/>
      <c r="CL366" s="567"/>
      <c r="CM366" s="567"/>
      <c r="CN366" s="567"/>
      <c r="CO366" s="567"/>
      <c r="CP366" s="567"/>
      <c r="CQ366" s="567"/>
      <c r="CR366" s="567"/>
      <c r="CS366" s="567"/>
      <c r="CT366" s="567"/>
      <c r="CU366" s="567"/>
      <c r="CV366" s="567"/>
      <c r="CW366" s="567"/>
      <c r="CX366" s="567"/>
      <c r="CY366" s="567"/>
      <c r="CZ366" s="567"/>
      <c r="DA366" s="567"/>
      <c r="DB366" s="567"/>
      <c r="DC366" s="567"/>
      <c r="DD366" s="567"/>
      <c r="DE366" s="567"/>
      <c r="DF366" s="567"/>
      <c r="DG366" s="567"/>
      <c r="DH366" s="567"/>
      <c r="DI366" s="567"/>
      <c r="DJ366" s="567"/>
      <c r="DK366" s="567"/>
      <c r="DL366" s="567"/>
      <c r="DM366" s="567"/>
      <c r="DN366" s="567"/>
      <c r="DO366" s="567"/>
      <c r="DP366" s="567"/>
      <c r="DQ366" s="567"/>
    </row>
    <row r="367" spans="1:121" s="487" customFormat="1">
      <c r="A367" s="588"/>
      <c r="B367" s="588"/>
      <c r="C367" s="588"/>
      <c r="D367" s="588"/>
      <c r="E367" s="588"/>
      <c r="F367" s="588"/>
      <c r="G367" s="588"/>
      <c r="H367" s="588"/>
      <c r="I367" s="588"/>
      <c r="J367" s="588"/>
      <c r="K367" s="588"/>
      <c r="L367" s="702"/>
      <c r="M367" s="888"/>
      <c r="N367" s="888"/>
      <c r="O367" s="888"/>
      <c r="P367" s="888"/>
      <c r="Q367" s="888"/>
      <c r="R367" s="888"/>
      <c r="S367" s="888"/>
      <c r="T367" s="888"/>
      <c r="U367" s="888"/>
      <c r="V367" s="888"/>
      <c r="W367" s="888"/>
      <c r="X367" s="888"/>
      <c r="Y367" s="888"/>
      <c r="Z367" s="888"/>
      <c r="AA367" s="888"/>
      <c r="AB367" s="888"/>
      <c r="AC367" s="888"/>
      <c r="AD367" s="888"/>
      <c r="AE367" s="888"/>
      <c r="AF367" s="888"/>
      <c r="AG367" s="888"/>
      <c r="AH367" s="888"/>
      <c r="AI367" s="888"/>
      <c r="AJ367" s="888"/>
      <c r="AK367" s="888"/>
      <c r="AL367" s="888"/>
      <c r="AM367" s="888"/>
      <c r="AN367" s="888"/>
      <c r="AO367" s="888"/>
      <c r="AP367" s="888"/>
      <c r="AQ367" s="888"/>
      <c r="AR367" s="888"/>
      <c r="AS367" s="888"/>
      <c r="AT367" s="888"/>
      <c r="AU367" s="888"/>
      <c r="AV367" s="888"/>
      <c r="AW367" s="888"/>
      <c r="AX367" s="888"/>
      <c r="AY367" s="888"/>
      <c r="AZ367" s="567"/>
      <c r="BA367" s="567"/>
      <c r="BB367" s="567"/>
      <c r="BC367" s="567"/>
      <c r="BD367" s="567"/>
      <c r="BE367" s="567"/>
      <c r="BF367" s="567"/>
      <c r="BG367" s="567"/>
      <c r="BH367" s="567"/>
      <c r="BI367" s="567"/>
      <c r="BJ367" s="567"/>
      <c r="BK367" s="567"/>
      <c r="BL367" s="567"/>
      <c r="BM367" s="567"/>
      <c r="BN367" s="567"/>
      <c r="BO367" s="567"/>
      <c r="BP367" s="567"/>
      <c r="BQ367" s="567"/>
      <c r="BR367" s="567"/>
      <c r="BS367" s="567"/>
      <c r="BT367" s="567"/>
      <c r="BU367" s="567"/>
      <c r="BV367" s="567"/>
      <c r="BW367" s="567"/>
      <c r="BX367" s="567"/>
      <c r="BY367" s="567"/>
      <c r="BZ367" s="567"/>
      <c r="CA367" s="567"/>
      <c r="CB367" s="567"/>
      <c r="CC367" s="567"/>
      <c r="CD367" s="567"/>
      <c r="CE367" s="567"/>
      <c r="CF367" s="567"/>
      <c r="CG367" s="567"/>
      <c r="CH367" s="567"/>
      <c r="CI367" s="567"/>
      <c r="CJ367" s="567"/>
      <c r="CK367" s="567"/>
      <c r="CL367" s="567"/>
      <c r="CM367" s="567"/>
      <c r="CN367" s="567"/>
      <c r="CO367" s="567"/>
      <c r="CP367" s="567"/>
      <c r="CQ367" s="567"/>
      <c r="CR367" s="567"/>
      <c r="CS367" s="567"/>
      <c r="CT367" s="567"/>
      <c r="CU367" s="567"/>
      <c r="CV367" s="567"/>
      <c r="CW367" s="567"/>
      <c r="CX367" s="567"/>
      <c r="CY367" s="567"/>
      <c r="CZ367" s="567"/>
      <c r="DA367" s="567"/>
      <c r="DB367" s="567"/>
      <c r="DC367" s="567"/>
      <c r="DD367" s="567"/>
      <c r="DE367" s="567"/>
      <c r="DF367" s="567"/>
      <c r="DG367" s="567"/>
      <c r="DH367" s="567"/>
      <c r="DI367" s="567"/>
      <c r="DJ367" s="567"/>
      <c r="DK367" s="567"/>
      <c r="DL367" s="567"/>
      <c r="DM367" s="567"/>
      <c r="DN367" s="567"/>
      <c r="DO367" s="567"/>
      <c r="DP367" s="567"/>
      <c r="DQ367" s="567"/>
    </row>
    <row r="368" spans="1:121" s="487" customFormat="1">
      <c r="A368" s="588"/>
      <c r="B368" s="588"/>
      <c r="C368" s="588"/>
      <c r="D368" s="588"/>
      <c r="E368" s="588"/>
      <c r="F368" s="588"/>
      <c r="G368" s="588"/>
      <c r="H368" s="588"/>
      <c r="I368" s="588"/>
      <c r="J368" s="588"/>
      <c r="K368" s="588"/>
      <c r="L368" s="702"/>
      <c r="M368" s="888"/>
      <c r="N368" s="888"/>
      <c r="O368" s="888"/>
      <c r="P368" s="888"/>
      <c r="Q368" s="888"/>
      <c r="R368" s="888"/>
      <c r="S368" s="888"/>
      <c r="T368" s="888"/>
      <c r="U368" s="888"/>
      <c r="V368" s="888"/>
      <c r="W368" s="888"/>
      <c r="X368" s="888"/>
      <c r="Y368" s="888"/>
      <c r="Z368" s="888"/>
      <c r="AA368" s="888"/>
      <c r="AB368" s="888"/>
      <c r="AC368" s="888"/>
      <c r="AD368" s="888"/>
      <c r="AE368" s="888"/>
      <c r="AF368" s="888"/>
      <c r="AG368" s="888"/>
      <c r="AH368" s="888"/>
      <c r="AI368" s="888"/>
      <c r="AJ368" s="888"/>
      <c r="AK368" s="888"/>
      <c r="AL368" s="888"/>
      <c r="AM368" s="888"/>
      <c r="AN368" s="888"/>
      <c r="AO368" s="888"/>
      <c r="AP368" s="888"/>
      <c r="AQ368" s="888"/>
      <c r="AR368" s="888"/>
      <c r="AS368" s="888"/>
      <c r="AT368" s="888"/>
      <c r="AU368" s="888"/>
      <c r="AV368" s="888"/>
      <c r="AW368" s="888"/>
      <c r="AX368" s="888"/>
      <c r="AY368" s="888"/>
      <c r="AZ368" s="567"/>
      <c r="BA368" s="567"/>
      <c r="BB368" s="567"/>
      <c r="BC368" s="567"/>
      <c r="BD368" s="567"/>
      <c r="BE368" s="567"/>
      <c r="BF368" s="567"/>
      <c r="BG368" s="567"/>
      <c r="BH368" s="567"/>
      <c r="BI368" s="567"/>
      <c r="BJ368" s="567"/>
      <c r="BK368" s="567"/>
      <c r="BL368" s="567"/>
      <c r="BM368" s="567"/>
      <c r="BN368" s="567"/>
      <c r="BO368" s="567"/>
      <c r="BP368" s="567"/>
      <c r="BQ368" s="567"/>
      <c r="BR368" s="567"/>
      <c r="BS368" s="567"/>
      <c r="BT368" s="567"/>
      <c r="BU368" s="567"/>
      <c r="BV368" s="567"/>
      <c r="BW368" s="567"/>
      <c r="BX368" s="567"/>
      <c r="BY368" s="567"/>
      <c r="BZ368" s="567"/>
      <c r="CA368" s="567"/>
      <c r="CB368" s="567"/>
      <c r="CC368" s="567"/>
      <c r="CD368" s="567"/>
      <c r="CE368" s="567"/>
      <c r="CF368" s="567"/>
      <c r="CG368" s="567"/>
      <c r="CH368" s="567"/>
      <c r="CI368" s="567"/>
      <c r="CJ368" s="567"/>
      <c r="CK368" s="567"/>
      <c r="CL368" s="567"/>
      <c r="CM368" s="567"/>
      <c r="CN368" s="567"/>
      <c r="CO368" s="567"/>
      <c r="CP368" s="567"/>
      <c r="CQ368" s="567"/>
      <c r="CR368" s="567"/>
      <c r="CS368" s="567"/>
      <c r="CT368" s="567"/>
      <c r="CU368" s="567"/>
      <c r="CV368" s="567"/>
      <c r="CW368" s="567"/>
      <c r="CX368" s="567"/>
      <c r="CY368" s="567"/>
      <c r="CZ368" s="567"/>
      <c r="DA368" s="567"/>
      <c r="DB368" s="567"/>
      <c r="DC368" s="567"/>
      <c r="DD368" s="567"/>
      <c r="DE368" s="567"/>
      <c r="DF368" s="567"/>
      <c r="DG368" s="567"/>
      <c r="DH368" s="567"/>
      <c r="DI368" s="567"/>
      <c r="DJ368" s="567"/>
      <c r="DK368" s="567"/>
      <c r="DL368" s="567"/>
      <c r="DM368" s="567"/>
      <c r="DN368" s="567"/>
      <c r="DO368" s="567"/>
      <c r="DP368" s="567"/>
      <c r="DQ368" s="567"/>
    </row>
    <row r="369" spans="1:121" s="487" customFormat="1">
      <c r="A369" s="588"/>
      <c r="B369" s="588"/>
      <c r="C369" s="588"/>
      <c r="D369" s="588"/>
      <c r="E369" s="588"/>
      <c r="F369" s="588"/>
      <c r="G369" s="588"/>
      <c r="H369" s="588"/>
      <c r="I369" s="588"/>
      <c r="J369" s="588"/>
      <c r="K369" s="588"/>
      <c r="L369" s="702"/>
      <c r="M369" s="888"/>
      <c r="N369" s="888"/>
      <c r="O369" s="888"/>
      <c r="P369" s="888"/>
      <c r="Q369" s="888"/>
      <c r="R369" s="888"/>
      <c r="S369" s="888"/>
      <c r="T369" s="888"/>
      <c r="U369" s="888"/>
      <c r="V369" s="888"/>
      <c r="W369" s="888"/>
      <c r="X369" s="888"/>
      <c r="Y369" s="888"/>
      <c r="Z369" s="888"/>
      <c r="AA369" s="888"/>
      <c r="AB369" s="888"/>
      <c r="AC369" s="888"/>
      <c r="AD369" s="888"/>
      <c r="AE369" s="888"/>
      <c r="AF369" s="888"/>
      <c r="AG369" s="888"/>
      <c r="AH369" s="888"/>
      <c r="AI369" s="888"/>
      <c r="AJ369" s="888"/>
      <c r="AK369" s="888"/>
      <c r="AL369" s="888"/>
      <c r="AM369" s="888"/>
      <c r="AN369" s="888"/>
      <c r="AO369" s="888"/>
      <c r="AP369" s="888"/>
      <c r="AQ369" s="888"/>
      <c r="AR369" s="888"/>
      <c r="AS369" s="888"/>
      <c r="AT369" s="888"/>
      <c r="AU369" s="888"/>
      <c r="AV369" s="888"/>
      <c r="AW369" s="888"/>
      <c r="AX369" s="888"/>
      <c r="AY369" s="888"/>
      <c r="AZ369" s="567"/>
      <c r="BA369" s="567"/>
      <c r="BB369" s="567"/>
      <c r="BC369" s="567"/>
      <c r="BD369" s="567"/>
      <c r="BE369" s="567"/>
      <c r="BF369" s="567"/>
      <c r="BG369" s="567"/>
      <c r="BH369" s="567"/>
      <c r="BI369" s="567"/>
      <c r="BJ369" s="567"/>
      <c r="BK369" s="567"/>
      <c r="BL369" s="567"/>
      <c r="BM369" s="567"/>
      <c r="BN369" s="567"/>
      <c r="BO369" s="567"/>
      <c r="BP369" s="567"/>
      <c r="BQ369" s="567"/>
      <c r="BR369" s="567"/>
      <c r="BS369" s="567"/>
      <c r="BT369" s="567"/>
      <c r="BU369" s="567"/>
      <c r="BV369" s="567"/>
      <c r="BW369" s="567"/>
      <c r="BX369" s="567"/>
      <c r="BY369" s="567"/>
      <c r="BZ369" s="567"/>
      <c r="CA369" s="567"/>
      <c r="CB369" s="567"/>
      <c r="CC369" s="567"/>
      <c r="CD369" s="567"/>
      <c r="CE369" s="567"/>
      <c r="CF369" s="567"/>
      <c r="CG369" s="567"/>
      <c r="CH369" s="567"/>
      <c r="CI369" s="567"/>
      <c r="CJ369" s="567"/>
      <c r="CK369" s="567"/>
      <c r="CL369" s="567"/>
      <c r="CM369" s="567"/>
      <c r="CN369" s="567"/>
      <c r="CO369" s="567"/>
      <c r="CP369" s="567"/>
      <c r="CQ369" s="567"/>
      <c r="CR369" s="567"/>
      <c r="CS369" s="567"/>
      <c r="CT369" s="567"/>
      <c r="CU369" s="567"/>
      <c r="CV369" s="567"/>
      <c r="CW369" s="567"/>
      <c r="CX369" s="567"/>
      <c r="CY369" s="567"/>
      <c r="CZ369" s="567"/>
      <c r="DA369" s="567"/>
      <c r="DB369" s="567"/>
      <c r="DC369" s="567"/>
      <c r="DD369" s="567"/>
      <c r="DE369" s="567"/>
      <c r="DF369" s="567"/>
      <c r="DG369" s="567"/>
      <c r="DH369" s="567"/>
      <c r="DI369" s="567"/>
      <c r="DJ369" s="567"/>
      <c r="DK369" s="567"/>
      <c r="DL369" s="567"/>
      <c r="DM369" s="567"/>
      <c r="DN369" s="567"/>
      <c r="DO369" s="567"/>
      <c r="DP369" s="567"/>
      <c r="DQ369" s="567"/>
    </row>
    <row r="370" spans="1:121" s="487" customFormat="1">
      <c r="A370" s="588"/>
      <c r="B370" s="588"/>
      <c r="C370" s="588"/>
      <c r="D370" s="588"/>
      <c r="E370" s="588"/>
      <c r="F370" s="588"/>
      <c r="G370" s="588"/>
      <c r="H370" s="588"/>
      <c r="I370" s="588"/>
      <c r="J370" s="588"/>
      <c r="K370" s="588"/>
      <c r="L370" s="702"/>
      <c r="M370" s="888"/>
      <c r="N370" s="888"/>
      <c r="O370" s="888"/>
      <c r="P370" s="888"/>
      <c r="Q370" s="888"/>
      <c r="R370" s="888"/>
      <c r="S370" s="888"/>
      <c r="T370" s="888"/>
      <c r="U370" s="888"/>
      <c r="V370" s="888"/>
      <c r="W370" s="888"/>
      <c r="X370" s="888"/>
      <c r="Y370" s="888"/>
      <c r="Z370" s="888"/>
      <c r="AA370" s="888"/>
      <c r="AB370" s="888"/>
      <c r="AC370" s="888"/>
      <c r="AD370" s="888"/>
      <c r="AE370" s="888"/>
      <c r="AF370" s="888"/>
      <c r="AG370" s="888"/>
      <c r="AH370" s="888"/>
      <c r="AI370" s="888"/>
      <c r="AJ370" s="888"/>
      <c r="AK370" s="888"/>
      <c r="AL370" s="888"/>
      <c r="AM370" s="888"/>
      <c r="AN370" s="888"/>
      <c r="AO370" s="888"/>
      <c r="AP370" s="888"/>
      <c r="AQ370" s="888"/>
      <c r="AR370" s="888"/>
      <c r="AS370" s="888"/>
      <c r="AT370" s="888"/>
      <c r="AU370" s="888"/>
      <c r="AV370" s="888"/>
      <c r="AW370" s="888"/>
      <c r="AX370" s="888"/>
      <c r="AY370" s="888"/>
      <c r="AZ370" s="567"/>
      <c r="BA370" s="567"/>
      <c r="BB370" s="567"/>
      <c r="BC370" s="567"/>
      <c r="BD370" s="567"/>
      <c r="BE370" s="567"/>
      <c r="BF370" s="567"/>
      <c r="BG370" s="567"/>
      <c r="BH370" s="567"/>
      <c r="BI370" s="567"/>
      <c r="BJ370" s="567"/>
      <c r="BK370" s="567"/>
      <c r="BL370" s="567"/>
      <c r="BM370" s="567"/>
      <c r="BN370" s="567"/>
      <c r="BO370" s="567"/>
      <c r="BP370" s="567"/>
      <c r="BQ370" s="567"/>
      <c r="BR370" s="567"/>
      <c r="BS370" s="567"/>
      <c r="BT370" s="567"/>
      <c r="BU370" s="567"/>
      <c r="BV370" s="567"/>
      <c r="BW370" s="567"/>
      <c r="BX370" s="567"/>
      <c r="BY370" s="567"/>
      <c r="BZ370" s="567"/>
      <c r="CA370" s="567"/>
      <c r="CB370" s="567"/>
      <c r="CC370" s="567"/>
      <c r="CD370" s="567"/>
      <c r="CE370" s="567"/>
      <c r="CF370" s="567"/>
      <c r="CG370" s="567"/>
      <c r="CH370" s="567"/>
      <c r="CI370" s="567"/>
      <c r="CJ370" s="567"/>
      <c r="CK370" s="567"/>
      <c r="CL370" s="567"/>
      <c r="CM370" s="567"/>
      <c r="CN370" s="567"/>
      <c r="CO370" s="567"/>
      <c r="CP370" s="567"/>
      <c r="CQ370" s="567"/>
      <c r="CR370" s="567"/>
      <c r="CS370" s="567"/>
      <c r="CT370" s="567"/>
      <c r="CU370" s="567"/>
      <c r="CV370" s="567"/>
      <c r="CW370" s="567"/>
      <c r="CX370" s="567"/>
      <c r="CY370" s="567"/>
      <c r="CZ370" s="567"/>
      <c r="DA370" s="567"/>
      <c r="DB370" s="567"/>
      <c r="DC370" s="567"/>
      <c r="DD370" s="567"/>
      <c r="DE370" s="567"/>
      <c r="DF370" s="567"/>
      <c r="DG370" s="567"/>
      <c r="DH370" s="567"/>
      <c r="DI370" s="567"/>
      <c r="DJ370" s="567"/>
      <c r="DK370" s="567"/>
      <c r="DL370" s="567"/>
      <c r="DM370" s="567"/>
      <c r="DN370" s="567"/>
      <c r="DO370" s="567"/>
      <c r="DP370" s="567"/>
      <c r="DQ370" s="567"/>
    </row>
    <row r="371" spans="1:121" s="487" customFormat="1">
      <c r="A371" s="588"/>
      <c r="B371" s="588"/>
      <c r="C371" s="588"/>
      <c r="D371" s="588"/>
      <c r="E371" s="588"/>
      <c r="F371" s="588"/>
      <c r="G371" s="588"/>
      <c r="H371" s="588"/>
      <c r="I371" s="588"/>
      <c r="J371" s="588"/>
      <c r="K371" s="588"/>
      <c r="L371" s="702"/>
      <c r="M371" s="888"/>
      <c r="N371" s="888"/>
      <c r="O371" s="888"/>
      <c r="P371" s="888"/>
      <c r="Q371" s="888"/>
      <c r="R371" s="888"/>
      <c r="S371" s="888"/>
      <c r="T371" s="888"/>
      <c r="U371" s="888"/>
      <c r="V371" s="888"/>
      <c r="W371" s="888"/>
      <c r="X371" s="888"/>
      <c r="Y371" s="888"/>
      <c r="Z371" s="888"/>
      <c r="AA371" s="888"/>
      <c r="AB371" s="888"/>
      <c r="AC371" s="888"/>
      <c r="AD371" s="888"/>
      <c r="AE371" s="888"/>
      <c r="AF371" s="888"/>
      <c r="AG371" s="888"/>
      <c r="AH371" s="888"/>
      <c r="AI371" s="888"/>
      <c r="AJ371" s="888"/>
      <c r="AK371" s="888"/>
      <c r="AL371" s="888"/>
      <c r="AM371" s="888"/>
      <c r="AN371" s="888"/>
      <c r="AO371" s="888"/>
      <c r="AP371" s="888"/>
      <c r="AQ371" s="888"/>
      <c r="AR371" s="888"/>
      <c r="AS371" s="888"/>
      <c r="AT371" s="888"/>
      <c r="AU371" s="888"/>
      <c r="AV371" s="888"/>
      <c r="AW371" s="888"/>
      <c r="AX371" s="888"/>
      <c r="AY371" s="888"/>
      <c r="AZ371" s="567"/>
      <c r="BA371" s="567"/>
      <c r="BB371" s="567"/>
      <c r="BC371" s="567"/>
      <c r="BD371" s="567"/>
      <c r="BE371" s="567"/>
      <c r="BF371" s="567"/>
      <c r="BG371" s="567"/>
      <c r="BH371" s="567"/>
      <c r="BI371" s="567"/>
      <c r="BJ371" s="567"/>
      <c r="BK371" s="567"/>
      <c r="BL371" s="567"/>
      <c r="BM371" s="567"/>
      <c r="BN371" s="567"/>
      <c r="BO371" s="567"/>
      <c r="BP371" s="567"/>
      <c r="BQ371" s="567"/>
      <c r="BR371" s="567"/>
      <c r="BS371" s="567"/>
      <c r="BT371" s="567"/>
      <c r="BU371" s="567"/>
      <c r="BV371" s="567"/>
      <c r="BW371" s="567"/>
      <c r="BX371" s="567"/>
      <c r="BY371" s="567"/>
      <c r="BZ371" s="567"/>
      <c r="CA371" s="567"/>
      <c r="CB371" s="567"/>
      <c r="CC371" s="567"/>
      <c r="CD371" s="567"/>
      <c r="CE371" s="567"/>
      <c r="CF371" s="567"/>
      <c r="CG371" s="567"/>
      <c r="CH371" s="567"/>
      <c r="CI371" s="567"/>
      <c r="CJ371" s="567"/>
      <c r="CK371" s="567"/>
      <c r="CL371" s="567"/>
      <c r="CM371" s="567"/>
      <c r="CN371" s="567"/>
      <c r="CO371" s="567"/>
      <c r="CP371" s="567"/>
      <c r="CQ371" s="567"/>
      <c r="CR371" s="567"/>
      <c r="CS371" s="567"/>
      <c r="CT371" s="567"/>
      <c r="CU371" s="567"/>
      <c r="CV371" s="567"/>
      <c r="CW371" s="567"/>
      <c r="CX371" s="567"/>
      <c r="CY371" s="567"/>
      <c r="CZ371" s="567"/>
      <c r="DA371" s="567"/>
      <c r="DB371" s="567"/>
      <c r="DC371" s="567"/>
      <c r="DD371" s="567"/>
      <c r="DE371" s="567"/>
      <c r="DF371" s="567"/>
      <c r="DG371" s="567"/>
      <c r="DH371" s="567"/>
      <c r="DI371" s="567"/>
      <c r="DJ371" s="567"/>
      <c r="DK371" s="567"/>
      <c r="DL371" s="567"/>
      <c r="DM371" s="567"/>
      <c r="DN371" s="567"/>
      <c r="DO371" s="567"/>
      <c r="DP371" s="567"/>
      <c r="DQ371" s="567"/>
    </row>
    <row r="372" spans="1:121" s="487" customFormat="1">
      <c r="A372" s="588"/>
      <c r="B372" s="588"/>
      <c r="C372" s="588"/>
      <c r="D372" s="588"/>
      <c r="E372" s="588"/>
      <c r="F372" s="588"/>
      <c r="G372" s="588"/>
      <c r="H372" s="588"/>
      <c r="I372" s="588"/>
      <c r="J372" s="588"/>
      <c r="K372" s="588"/>
      <c r="L372" s="702"/>
      <c r="M372" s="888"/>
      <c r="N372" s="888"/>
      <c r="O372" s="888"/>
      <c r="P372" s="888"/>
      <c r="Q372" s="888"/>
      <c r="R372" s="888"/>
      <c r="S372" s="888"/>
      <c r="T372" s="888"/>
      <c r="U372" s="888"/>
      <c r="V372" s="888"/>
      <c r="W372" s="888"/>
      <c r="X372" s="888"/>
      <c r="Y372" s="888"/>
      <c r="Z372" s="888"/>
      <c r="AA372" s="888"/>
      <c r="AB372" s="888"/>
      <c r="AC372" s="888"/>
      <c r="AD372" s="888"/>
      <c r="AE372" s="888"/>
      <c r="AF372" s="888"/>
      <c r="AG372" s="888"/>
      <c r="AH372" s="888"/>
      <c r="AI372" s="888"/>
      <c r="AJ372" s="888"/>
      <c r="AK372" s="888"/>
      <c r="AL372" s="888"/>
      <c r="AM372" s="888"/>
      <c r="AN372" s="888"/>
      <c r="AO372" s="888"/>
      <c r="AP372" s="888"/>
      <c r="AQ372" s="888"/>
      <c r="AR372" s="888"/>
      <c r="AS372" s="888"/>
      <c r="AT372" s="888"/>
      <c r="AU372" s="888"/>
      <c r="AV372" s="888"/>
      <c r="AW372" s="888"/>
      <c r="AX372" s="888"/>
      <c r="AY372" s="888"/>
      <c r="AZ372" s="567"/>
      <c r="BA372" s="567"/>
      <c r="BB372" s="567"/>
      <c r="BC372" s="567"/>
      <c r="BD372" s="567"/>
      <c r="BE372" s="567"/>
      <c r="BF372" s="567"/>
      <c r="BG372" s="567"/>
      <c r="BH372" s="567"/>
      <c r="BI372" s="567"/>
      <c r="BJ372" s="567"/>
      <c r="BK372" s="567"/>
      <c r="BL372" s="567"/>
      <c r="BM372" s="567"/>
      <c r="BN372" s="567"/>
      <c r="BO372" s="567"/>
      <c r="BP372" s="567"/>
      <c r="BQ372" s="567"/>
      <c r="BR372" s="567"/>
      <c r="BS372" s="567"/>
      <c r="BT372" s="567"/>
      <c r="BU372" s="567"/>
      <c r="BV372" s="567"/>
      <c r="BW372" s="567"/>
      <c r="BX372" s="567"/>
      <c r="BY372" s="567"/>
      <c r="BZ372" s="567"/>
      <c r="CA372" s="567"/>
      <c r="CB372" s="567"/>
      <c r="CC372" s="567"/>
      <c r="CD372" s="567"/>
      <c r="CE372" s="567"/>
      <c r="CF372" s="567"/>
      <c r="CG372" s="567"/>
      <c r="CH372" s="567"/>
      <c r="CI372" s="567"/>
      <c r="CJ372" s="567"/>
      <c r="CK372" s="567"/>
      <c r="CL372" s="567"/>
      <c r="CM372" s="567"/>
      <c r="CN372" s="567"/>
      <c r="CO372" s="567"/>
      <c r="CP372" s="567"/>
      <c r="CQ372" s="567"/>
      <c r="CR372" s="567"/>
      <c r="CS372" s="567"/>
      <c r="CT372" s="567"/>
      <c r="CU372" s="567"/>
      <c r="CV372" s="567"/>
      <c r="CW372" s="567"/>
      <c r="CX372" s="567"/>
      <c r="CY372" s="567"/>
      <c r="CZ372" s="567"/>
      <c r="DA372" s="567"/>
      <c r="DB372" s="567"/>
      <c r="DC372" s="567"/>
      <c r="DD372" s="567"/>
      <c r="DE372" s="567"/>
      <c r="DF372" s="567"/>
      <c r="DG372" s="567"/>
      <c r="DH372" s="567"/>
      <c r="DI372" s="567"/>
      <c r="DJ372" s="567"/>
      <c r="DK372" s="567"/>
      <c r="DL372" s="567"/>
      <c r="DM372" s="567"/>
      <c r="DN372" s="567"/>
      <c r="DO372" s="567"/>
      <c r="DP372" s="567"/>
      <c r="DQ372" s="567"/>
    </row>
    <row r="373" spans="1:121" s="487" customFormat="1">
      <c r="A373" s="588"/>
      <c r="B373" s="588"/>
      <c r="C373" s="588"/>
      <c r="D373" s="588"/>
      <c r="E373" s="588"/>
      <c r="F373" s="588"/>
      <c r="G373" s="588"/>
      <c r="H373" s="588"/>
      <c r="I373" s="588"/>
      <c r="J373" s="588"/>
      <c r="K373" s="588"/>
      <c r="L373" s="702"/>
      <c r="M373" s="888"/>
      <c r="N373" s="888"/>
      <c r="O373" s="888"/>
      <c r="P373" s="888"/>
      <c r="Q373" s="888"/>
      <c r="R373" s="888"/>
      <c r="S373" s="888"/>
      <c r="T373" s="888"/>
      <c r="U373" s="888"/>
      <c r="V373" s="888"/>
      <c r="W373" s="888"/>
      <c r="X373" s="888"/>
      <c r="Y373" s="888"/>
      <c r="Z373" s="888"/>
      <c r="AA373" s="888"/>
      <c r="AB373" s="888"/>
      <c r="AC373" s="888"/>
      <c r="AD373" s="888"/>
      <c r="AE373" s="888"/>
      <c r="AF373" s="888"/>
      <c r="AG373" s="888"/>
      <c r="AH373" s="888"/>
      <c r="AI373" s="888"/>
      <c r="AJ373" s="888"/>
      <c r="AK373" s="888"/>
      <c r="AL373" s="888"/>
      <c r="AM373" s="888"/>
      <c r="AN373" s="888"/>
      <c r="AO373" s="888"/>
      <c r="AP373" s="888"/>
      <c r="AQ373" s="888"/>
      <c r="AR373" s="888"/>
      <c r="AS373" s="888"/>
      <c r="AT373" s="888"/>
      <c r="AU373" s="888"/>
      <c r="AV373" s="888"/>
      <c r="AW373" s="888"/>
      <c r="AX373" s="888"/>
      <c r="AY373" s="888"/>
      <c r="AZ373" s="567"/>
      <c r="BA373" s="567"/>
      <c r="BB373" s="567"/>
      <c r="BC373" s="567"/>
      <c r="BD373" s="567"/>
      <c r="BE373" s="567"/>
      <c r="BF373" s="567"/>
      <c r="BG373" s="567"/>
      <c r="BH373" s="567"/>
      <c r="BI373" s="567"/>
      <c r="BJ373" s="567"/>
      <c r="BK373" s="567"/>
      <c r="BL373" s="567"/>
      <c r="BM373" s="567"/>
      <c r="BN373" s="567"/>
      <c r="BO373" s="567"/>
      <c r="BP373" s="567"/>
      <c r="BQ373" s="567"/>
      <c r="BR373" s="567"/>
      <c r="BS373" s="567"/>
      <c r="BT373" s="567"/>
      <c r="BU373" s="567"/>
      <c r="BV373" s="567"/>
      <c r="BW373" s="567"/>
      <c r="BX373" s="567"/>
      <c r="BY373" s="567"/>
      <c r="BZ373" s="567"/>
      <c r="CA373" s="567"/>
      <c r="CB373" s="567"/>
      <c r="CC373" s="567"/>
      <c r="CD373" s="567"/>
      <c r="CE373" s="567"/>
      <c r="CF373" s="567"/>
      <c r="CG373" s="567"/>
      <c r="CH373" s="567"/>
      <c r="CI373" s="567"/>
      <c r="CJ373" s="567"/>
      <c r="CK373" s="567"/>
      <c r="CL373" s="567"/>
      <c r="CM373" s="567"/>
      <c r="CN373" s="567"/>
      <c r="CO373" s="567"/>
      <c r="CP373" s="567"/>
      <c r="CQ373" s="567"/>
      <c r="CR373" s="567"/>
      <c r="CS373" s="567"/>
      <c r="CT373" s="567"/>
      <c r="CU373" s="567"/>
      <c r="CV373" s="567"/>
      <c r="CW373" s="567"/>
      <c r="CX373" s="567"/>
      <c r="CY373" s="567"/>
      <c r="CZ373" s="567"/>
      <c r="DA373" s="567"/>
      <c r="DB373" s="567"/>
      <c r="DC373" s="567"/>
      <c r="DD373" s="567"/>
      <c r="DE373" s="567"/>
      <c r="DF373" s="567"/>
      <c r="DG373" s="567"/>
      <c r="DH373" s="567"/>
      <c r="DI373" s="567"/>
      <c r="DJ373" s="567"/>
      <c r="DK373" s="567"/>
      <c r="DL373" s="567"/>
      <c r="DM373" s="567"/>
      <c r="DN373" s="567"/>
      <c r="DO373" s="567"/>
      <c r="DP373" s="567"/>
      <c r="DQ373" s="567"/>
    </row>
    <row r="374" spans="1:121" s="487" customFormat="1">
      <c r="A374" s="588"/>
      <c r="B374" s="588"/>
      <c r="C374" s="588"/>
      <c r="D374" s="588"/>
      <c r="E374" s="588"/>
      <c r="F374" s="588"/>
      <c r="G374" s="588"/>
      <c r="H374" s="588"/>
      <c r="I374" s="588"/>
      <c r="J374" s="588"/>
      <c r="K374" s="588"/>
      <c r="L374" s="702"/>
      <c r="M374" s="888"/>
      <c r="N374" s="888"/>
      <c r="O374" s="888"/>
      <c r="P374" s="888"/>
      <c r="Q374" s="888"/>
      <c r="R374" s="888"/>
      <c r="S374" s="888"/>
      <c r="T374" s="888"/>
      <c r="U374" s="888"/>
      <c r="V374" s="888"/>
      <c r="W374" s="888"/>
      <c r="X374" s="888"/>
      <c r="Y374" s="888"/>
      <c r="Z374" s="888"/>
      <c r="AA374" s="888"/>
      <c r="AB374" s="888"/>
      <c r="AC374" s="888"/>
      <c r="AD374" s="888"/>
      <c r="AE374" s="888"/>
      <c r="AF374" s="888"/>
      <c r="AG374" s="888"/>
      <c r="AH374" s="888"/>
      <c r="AI374" s="888"/>
      <c r="AJ374" s="888"/>
      <c r="AK374" s="888"/>
      <c r="AL374" s="888"/>
      <c r="AM374" s="888"/>
      <c r="AN374" s="888"/>
      <c r="AO374" s="888"/>
      <c r="AP374" s="888"/>
      <c r="AQ374" s="888"/>
      <c r="AR374" s="888"/>
      <c r="AS374" s="888"/>
      <c r="AT374" s="888"/>
      <c r="AU374" s="888"/>
      <c r="AV374" s="888"/>
      <c r="AW374" s="888"/>
      <c r="AX374" s="888"/>
      <c r="AY374" s="888"/>
      <c r="AZ374" s="567"/>
      <c r="BA374" s="567"/>
      <c r="BB374" s="567"/>
      <c r="BC374" s="567"/>
      <c r="BD374" s="567"/>
      <c r="BE374" s="567"/>
      <c r="BF374" s="567"/>
      <c r="BG374" s="567"/>
      <c r="BH374" s="567"/>
      <c r="BI374" s="567"/>
      <c r="BJ374" s="567"/>
      <c r="BK374" s="567"/>
      <c r="BL374" s="567"/>
      <c r="BM374" s="567"/>
      <c r="BN374" s="567"/>
      <c r="BO374" s="567"/>
      <c r="BP374" s="567"/>
      <c r="BQ374" s="567"/>
      <c r="BR374" s="567"/>
      <c r="BS374" s="567"/>
      <c r="BT374" s="567"/>
      <c r="BU374" s="567"/>
      <c r="BV374" s="567"/>
      <c r="BW374" s="567"/>
      <c r="BX374" s="567"/>
      <c r="BY374" s="567"/>
      <c r="BZ374" s="567"/>
      <c r="CA374" s="567"/>
      <c r="CB374" s="567"/>
      <c r="CC374" s="567"/>
      <c r="CD374" s="567"/>
      <c r="CE374" s="567"/>
      <c r="CF374" s="567"/>
      <c r="CG374" s="567"/>
      <c r="CH374" s="567"/>
      <c r="CI374" s="567"/>
      <c r="CJ374" s="567"/>
      <c r="CK374" s="567"/>
      <c r="CL374" s="567"/>
      <c r="CM374" s="567"/>
      <c r="CN374" s="567"/>
      <c r="CO374" s="567"/>
      <c r="CP374" s="567"/>
      <c r="CQ374" s="567"/>
      <c r="CR374" s="567"/>
      <c r="CS374" s="567"/>
      <c r="CT374" s="567"/>
      <c r="CU374" s="567"/>
      <c r="CV374" s="567"/>
      <c r="CW374" s="567"/>
      <c r="CX374" s="567"/>
      <c r="CY374" s="567"/>
      <c r="CZ374" s="567"/>
      <c r="DA374" s="567"/>
      <c r="DB374" s="567"/>
      <c r="DC374" s="567"/>
      <c r="DD374" s="567"/>
      <c r="DE374" s="567"/>
      <c r="DF374" s="567"/>
      <c r="DG374" s="567"/>
      <c r="DH374" s="567"/>
      <c r="DI374" s="567"/>
      <c r="DJ374" s="567"/>
      <c r="DK374" s="567"/>
      <c r="DL374" s="567"/>
      <c r="DM374" s="567"/>
      <c r="DN374" s="567"/>
      <c r="DO374" s="567"/>
      <c r="DP374" s="567"/>
      <c r="DQ374" s="567"/>
    </row>
    <row r="375" spans="1:121" s="487" customFormat="1">
      <c r="A375" s="588"/>
      <c r="B375" s="588"/>
      <c r="C375" s="588"/>
      <c r="D375" s="588"/>
      <c r="E375" s="588"/>
      <c r="F375" s="588"/>
      <c r="G375" s="588"/>
      <c r="H375" s="588"/>
      <c r="I375" s="588"/>
      <c r="J375" s="588"/>
      <c r="K375" s="588"/>
      <c r="L375" s="702"/>
      <c r="M375" s="888"/>
      <c r="N375" s="888"/>
      <c r="O375" s="888"/>
      <c r="P375" s="888"/>
      <c r="Q375" s="888"/>
      <c r="R375" s="888"/>
      <c r="S375" s="888"/>
      <c r="T375" s="888"/>
      <c r="U375" s="888"/>
      <c r="V375" s="888"/>
      <c r="W375" s="888"/>
      <c r="X375" s="888"/>
      <c r="Y375" s="888"/>
      <c r="Z375" s="888"/>
      <c r="AA375" s="888"/>
      <c r="AB375" s="888"/>
      <c r="AC375" s="888"/>
      <c r="AD375" s="888"/>
      <c r="AE375" s="888"/>
      <c r="AF375" s="888"/>
      <c r="AG375" s="888"/>
      <c r="AH375" s="888"/>
      <c r="AI375" s="888"/>
      <c r="AJ375" s="888"/>
      <c r="AK375" s="888"/>
      <c r="AL375" s="888"/>
      <c r="AM375" s="888"/>
      <c r="AN375" s="888"/>
      <c r="AO375" s="888"/>
      <c r="AP375" s="888"/>
      <c r="AQ375" s="888"/>
      <c r="AR375" s="888"/>
      <c r="AS375" s="888"/>
      <c r="AT375" s="888"/>
      <c r="AU375" s="888"/>
      <c r="AV375" s="888"/>
      <c r="AW375" s="888"/>
      <c r="AX375" s="888"/>
      <c r="AY375" s="888"/>
      <c r="AZ375" s="567"/>
      <c r="BA375" s="567"/>
      <c r="BB375" s="567"/>
      <c r="BC375" s="567"/>
      <c r="BD375" s="567"/>
      <c r="BE375" s="567"/>
      <c r="BF375" s="567"/>
      <c r="BG375" s="567"/>
      <c r="BH375" s="567"/>
      <c r="BI375" s="567"/>
      <c r="BJ375" s="567"/>
      <c r="BK375" s="567"/>
      <c r="BL375" s="567"/>
      <c r="BM375" s="567"/>
      <c r="BN375" s="567"/>
      <c r="BO375" s="567"/>
      <c r="BP375" s="567"/>
      <c r="BQ375" s="567"/>
      <c r="BR375" s="567"/>
      <c r="BS375" s="567"/>
      <c r="BT375" s="567"/>
      <c r="BU375" s="567"/>
      <c r="BV375" s="567"/>
      <c r="BW375" s="567"/>
      <c r="BX375" s="567"/>
      <c r="BY375" s="567"/>
      <c r="BZ375" s="567"/>
      <c r="CA375" s="567"/>
      <c r="CB375" s="567"/>
      <c r="CC375" s="567"/>
      <c r="CD375" s="567"/>
      <c r="CE375" s="567"/>
      <c r="CF375" s="567"/>
      <c r="CG375" s="567"/>
      <c r="CH375" s="567"/>
      <c r="CI375" s="567"/>
      <c r="CJ375" s="567"/>
      <c r="CK375" s="567"/>
      <c r="CL375" s="567"/>
      <c r="CM375" s="567"/>
      <c r="CN375" s="567"/>
      <c r="CO375" s="567"/>
      <c r="CP375" s="567"/>
      <c r="CQ375" s="567"/>
      <c r="CR375" s="567"/>
      <c r="CS375" s="567"/>
      <c r="CT375" s="567"/>
      <c r="CU375" s="567"/>
      <c r="CV375" s="567"/>
      <c r="CW375" s="567"/>
      <c r="CX375" s="567"/>
      <c r="CY375" s="567"/>
      <c r="CZ375" s="567"/>
      <c r="DA375" s="567"/>
      <c r="DB375" s="567"/>
      <c r="DC375" s="567"/>
      <c r="DD375" s="567"/>
      <c r="DE375" s="567"/>
      <c r="DF375" s="567"/>
      <c r="DG375" s="567"/>
      <c r="DH375" s="567"/>
      <c r="DI375" s="567"/>
      <c r="DJ375" s="567"/>
      <c r="DK375" s="567"/>
      <c r="DL375" s="567"/>
      <c r="DM375" s="567"/>
      <c r="DN375" s="567"/>
      <c r="DO375" s="567"/>
      <c r="DP375" s="567"/>
      <c r="DQ375" s="567"/>
    </row>
    <row r="376" spans="1:121" s="487" customFormat="1">
      <c r="A376" s="588"/>
      <c r="B376" s="588"/>
      <c r="C376" s="588"/>
      <c r="D376" s="588"/>
      <c r="E376" s="588"/>
      <c r="F376" s="588"/>
      <c r="G376" s="588"/>
      <c r="H376" s="588"/>
      <c r="I376" s="588"/>
      <c r="J376" s="588"/>
      <c r="K376" s="588"/>
      <c r="L376" s="702"/>
      <c r="M376" s="888"/>
      <c r="N376" s="888"/>
      <c r="O376" s="888"/>
      <c r="P376" s="888"/>
      <c r="Q376" s="888"/>
      <c r="R376" s="888"/>
      <c r="S376" s="888"/>
      <c r="T376" s="888"/>
      <c r="U376" s="888"/>
      <c r="V376" s="888"/>
      <c r="W376" s="888"/>
      <c r="X376" s="888"/>
      <c r="Y376" s="888"/>
      <c r="Z376" s="888"/>
      <c r="AA376" s="888"/>
      <c r="AB376" s="888"/>
      <c r="AC376" s="888"/>
      <c r="AD376" s="888"/>
      <c r="AE376" s="888"/>
      <c r="AF376" s="888"/>
      <c r="AG376" s="888"/>
      <c r="AH376" s="888"/>
      <c r="AI376" s="888"/>
      <c r="AJ376" s="888"/>
      <c r="AK376" s="888"/>
      <c r="AL376" s="888"/>
      <c r="AM376" s="888"/>
      <c r="AN376" s="888"/>
      <c r="AO376" s="888"/>
      <c r="AP376" s="888"/>
      <c r="AQ376" s="888"/>
      <c r="AR376" s="888"/>
      <c r="AS376" s="888"/>
      <c r="AT376" s="888"/>
      <c r="AU376" s="888"/>
      <c r="AV376" s="888"/>
      <c r="AW376" s="888"/>
      <c r="AX376" s="888"/>
      <c r="AY376" s="888"/>
      <c r="AZ376" s="567"/>
      <c r="BA376" s="567"/>
      <c r="BB376" s="567"/>
      <c r="BC376" s="567"/>
      <c r="BD376" s="567"/>
      <c r="BE376" s="567"/>
      <c r="BF376" s="567"/>
      <c r="BG376" s="567"/>
      <c r="BH376" s="567"/>
      <c r="BI376" s="567"/>
      <c r="BJ376" s="567"/>
      <c r="BK376" s="567"/>
      <c r="BL376" s="567"/>
      <c r="BM376" s="567"/>
      <c r="BN376" s="567"/>
      <c r="BO376" s="567"/>
      <c r="BP376" s="567"/>
      <c r="BQ376" s="567"/>
      <c r="BR376" s="567"/>
      <c r="BS376" s="567"/>
      <c r="BT376" s="567"/>
      <c r="BU376" s="567"/>
      <c r="BV376" s="567"/>
      <c r="BW376" s="567"/>
      <c r="BX376" s="567"/>
      <c r="BY376" s="567"/>
      <c r="BZ376" s="567"/>
      <c r="CA376" s="567"/>
      <c r="CB376" s="567"/>
      <c r="CC376" s="567"/>
      <c r="CD376" s="567"/>
      <c r="CE376" s="567"/>
      <c r="CF376" s="567"/>
      <c r="CG376" s="567"/>
      <c r="CH376" s="567"/>
      <c r="CI376" s="567"/>
      <c r="CJ376" s="567"/>
      <c r="CK376" s="567"/>
      <c r="CL376" s="567"/>
      <c r="CM376" s="567"/>
      <c r="CN376" s="567"/>
      <c r="CO376" s="567"/>
      <c r="CP376" s="567"/>
      <c r="CQ376" s="567"/>
      <c r="CR376" s="567"/>
      <c r="CS376" s="567"/>
      <c r="CT376" s="567"/>
      <c r="CU376" s="567"/>
      <c r="CV376" s="567"/>
      <c r="CW376" s="567"/>
      <c r="CX376" s="567"/>
      <c r="CY376" s="567"/>
      <c r="CZ376" s="567"/>
      <c r="DA376" s="567"/>
      <c r="DB376" s="567"/>
      <c r="DC376" s="567"/>
      <c r="DD376" s="567"/>
      <c r="DE376" s="567"/>
      <c r="DF376" s="567"/>
      <c r="DG376" s="567"/>
      <c r="DH376" s="567"/>
      <c r="DI376" s="567"/>
      <c r="DJ376" s="567"/>
      <c r="DK376" s="567"/>
      <c r="DL376" s="567"/>
      <c r="DM376" s="567"/>
      <c r="DN376" s="567"/>
      <c r="DO376" s="567"/>
      <c r="DP376" s="567"/>
      <c r="DQ376" s="567"/>
    </row>
    <row r="377" spans="1:121" s="487" customFormat="1">
      <c r="A377" s="588"/>
      <c r="B377" s="588"/>
      <c r="C377" s="588"/>
      <c r="D377" s="588"/>
      <c r="E377" s="588"/>
      <c r="F377" s="588"/>
      <c r="G377" s="588"/>
      <c r="H377" s="588"/>
      <c r="I377" s="588"/>
      <c r="J377" s="588"/>
      <c r="K377" s="588"/>
      <c r="L377" s="702"/>
      <c r="M377" s="888"/>
      <c r="N377" s="888"/>
      <c r="O377" s="888"/>
      <c r="P377" s="888"/>
      <c r="Q377" s="888"/>
      <c r="R377" s="888"/>
      <c r="S377" s="888"/>
      <c r="T377" s="888"/>
      <c r="U377" s="888"/>
      <c r="V377" s="888"/>
      <c r="W377" s="888"/>
      <c r="X377" s="888"/>
      <c r="Y377" s="888"/>
      <c r="Z377" s="888"/>
      <c r="AA377" s="888"/>
      <c r="AB377" s="888"/>
      <c r="AC377" s="888"/>
      <c r="AD377" s="888"/>
      <c r="AE377" s="888"/>
      <c r="AF377" s="888"/>
      <c r="AG377" s="888"/>
      <c r="AH377" s="888"/>
      <c r="AI377" s="888"/>
      <c r="AJ377" s="888"/>
      <c r="AK377" s="888"/>
      <c r="AL377" s="888"/>
      <c r="AM377" s="888"/>
      <c r="AN377" s="888"/>
      <c r="AO377" s="888"/>
      <c r="AP377" s="888"/>
      <c r="AQ377" s="888"/>
      <c r="AR377" s="888"/>
      <c r="AS377" s="888"/>
      <c r="AT377" s="888"/>
      <c r="AU377" s="888"/>
      <c r="AV377" s="888"/>
      <c r="AW377" s="888"/>
      <c r="AX377" s="888"/>
      <c r="AY377" s="888"/>
      <c r="AZ377" s="567"/>
      <c r="BA377" s="567"/>
      <c r="BB377" s="567"/>
      <c r="BC377" s="567"/>
      <c r="BD377" s="567"/>
      <c r="BE377" s="567"/>
      <c r="BF377" s="567"/>
      <c r="BG377" s="567"/>
      <c r="BH377" s="567"/>
      <c r="BI377" s="567"/>
      <c r="BJ377" s="567"/>
      <c r="BK377" s="567"/>
      <c r="BL377" s="567"/>
      <c r="BM377" s="567"/>
      <c r="BN377" s="567"/>
      <c r="BO377" s="567"/>
      <c r="BP377" s="567"/>
      <c r="BQ377" s="567"/>
      <c r="BR377" s="567"/>
      <c r="BS377" s="567"/>
      <c r="BT377" s="567"/>
      <c r="BU377" s="567"/>
      <c r="BV377" s="567"/>
      <c r="BW377" s="567"/>
      <c r="BX377" s="567"/>
      <c r="BY377" s="567"/>
      <c r="BZ377" s="567"/>
      <c r="CA377" s="567"/>
      <c r="CB377" s="567"/>
      <c r="CC377" s="567"/>
      <c r="CD377" s="567"/>
      <c r="CE377" s="567"/>
      <c r="CF377" s="567"/>
      <c r="CG377" s="567"/>
      <c r="CH377" s="567"/>
      <c r="CI377" s="567"/>
      <c r="CJ377" s="567"/>
      <c r="CK377" s="567"/>
      <c r="CL377" s="567"/>
      <c r="CM377" s="567"/>
      <c r="CN377" s="567"/>
      <c r="CO377" s="567"/>
      <c r="CP377" s="567"/>
      <c r="CQ377" s="567"/>
      <c r="CR377" s="567"/>
      <c r="CS377" s="567"/>
      <c r="CT377" s="567"/>
      <c r="CU377" s="567"/>
      <c r="CV377" s="567"/>
      <c r="CW377" s="567"/>
      <c r="CX377" s="567"/>
      <c r="CY377" s="567"/>
      <c r="CZ377" s="567"/>
      <c r="DA377" s="567"/>
      <c r="DB377" s="567"/>
      <c r="DC377" s="567"/>
      <c r="DD377" s="567"/>
      <c r="DE377" s="567"/>
      <c r="DF377" s="567"/>
      <c r="DG377" s="567"/>
      <c r="DH377" s="567"/>
      <c r="DI377" s="567"/>
      <c r="DJ377" s="567"/>
      <c r="DK377" s="567"/>
      <c r="DL377" s="567"/>
      <c r="DM377" s="567"/>
      <c r="DN377" s="567"/>
      <c r="DO377" s="567"/>
      <c r="DP377" s="567"/>
      <c r="DQ377" s="567"/>
    </row>
    <row r="378" spans="1:121" s="487" customFormat="1">
      <c r="A378" s="588"/>
      <c r="B378" s="588"/>
      <c r="C378" s="588"/>
      <c r="D378" s="588"/>
      <c r="E378" s="588"/>
      <c r="F378" s="588"/>
      <c r="G378" s="588"/>
      <c r="H378" s="588"/>
      <c r="I378" s="588"/>
      <c r="J378" s="588"/>
      <c r="K378" s="588"/>
      <c r="L378" s="702"/>
      <c r="M378" s="888"/>
      <c r="N378" s="888"/>
      <c r="O378" s="888"/>
      <c r="P378" s="888"/>
      <c r="Q378" s="888"/>
      <c r="R378" s="888"/>
      <c r="S378" s="888"/>
      <c r="T378" s="888"/>
      <c r="U378" s="888"/>
      <c r="V378" s="888"/>
      <c r="W378" s="888"/>
      <c r="X378" s="888"/>
      <c r="Y378" s="888"/>
      <c r="Z378" s="888"/>
      <c r="AA378" s="888"/>
      <c r="AB378" s="888"/>
      <c r="AC378" s="888"/>
      <c r="AD378" s="888"/>
      <c r="AE378" s="888"/>
      <c r="AF378" s="888"/>
      <c r="AG378" s="888"/>
      <c r="AH378" s="888"/>
      <c r="AI378" s="888"/>
      <c r="AJ378" s="888"/>
      <c r="AK378" s="888"/>
      <c r="AL378" s="888"/>
      <c r="AM378" s="888"/>
      <c r="AN378" s="888"/>
      <c r="AO378" s="888"/>
      <c r="AP378" s="888"/>
      <c r="AQ378" s="888"/>
      <c r="AR378" s="888"/>
      <c r="AS378" s="888"/>
      <c r="AT378" s="888"/>
      <c r="AU378" s="888"/>
      <c r="AV378" s="888"/>
      <c r="AW378" s="888"/>
      <c r="AX378" s="888"/>
      <c r="AY378" s="888"/>
      <c r="AZ378" s="567"/>
      <c r="BA378" s="567"/>
      <c r="BB378" s="567"/>
      <c r="BC378" s="567"/>
      <c r="BD378" s="567"/>
      <c r="BE378" s="567"/>
      <c r="BF378" s="567"/>
      <c r="BG378" s="567"/>
      <c r="BH378" s="567"/>
      <c r="BI378" s="567"/>
      <c r="BJ378" s="567"/>
      <c r="BK378" s="567"/>
      <c r="BL378" s="567"/>
      <c r="BM378" s="567"/>
      <c r="BN378" s="567"/>
      <c r="BO378" s="567"/>
      <c r="BP378" s="567"/>
      <c r="BQ378" s="567"/>
      <c r="BR378" s="567"/>
      <c r="BS378" s="567"/>
      <c r="BT378" s="567"/>
      <c r="BU378" s="567"/>
      <c r="BV378" s="567"/>
      <c r="BW378" s="567"/>
      <c r="BX378" s="567"/>
      <c r="BY378" s="567"/>
      <c r="BZ378" s="567"/>
      <c r="CA378" s="567"/>
      <c r="CB378" s="567"/>
      <c r="CC378" s="567"/>
      <c r="CD378" s="567"/>
      <c r="CE378" s="567"/>
      <c r="CF378" s="567"/>
      <c r="CG378" s="567"/>
      <c r="CH378" s="567"/>
      <c r="CI378" s="567"/>
      <c r="CJ378" s="567"/>
      <c r="CK378" s="567"/>
      <c r="CL378" s="567"/>
      <c r="CM378" s="567"/>
      <c r="CN378" s="567"/>
      <c r="CO378" s="567"/>
      <c r="CP378" s="567"/>
      <c r="CQ378" s="567"/>
      <c r="CR378" s="567"/>
      <c r="CS378" s="567"/>
      <c r="CT378" s="567"/>
      <c r="CU378" s="567"/>
      <c r="CV378" s="567"/>
      <c r="CW378" s="567"/>
      <c r="CX378" s="567"/>
      <c r="CY378" s="567"/>
      <c r="CZ378" s="567"/>
      <c r="DA378" s="567"/>
      <c r="DB378" s="567"/>
      <c r="DC378" s="567"/>
      <c r="DD378" s="567"/>
      <c r="DE378" s="567"/>
      <c r="DF378" s="567"/>
      <c r="DG378" s="567"/>
      <c r="DH378" s="567"/>
      <c r="DI378" s="567"/>
      <c r="DJ378" s="567"/>
      <c r="DK378" s="567"/>
      <c r="DL378" s="567"/>
      <c r="DM378" s="567"/>
      <c r="DN378" s="567"/>
      <c r="DO378" s="567"/>
      <c r="DP378" s="567"/>
      <c r="DQ378" s="567"/>
    </row>
    <row r="379" spans="1:121" s="487" customFormat="1">
      <c r="A379" s="588"/>
      <c r="B379" s="588"/>
      <c r="C379" s="588"/>
      <c r="D379" s="588"/>
      <c r="E379" s="588"/>
      <c r="F379" s="588"/>
      <c r="G379" s="588"/>
      <c r="H379" s="588"/>
      <c r="I379" s="588"/>
      <c r="J379" s="588"/>
      <c r="K379" s="588"/>
      <c r="L379" s="702"/>
      <c r="M379" s="888"/>
      <c r="N379" s="888"/>
      <c r="O379" s="888"/>
      <c r="P379" s="888"/>
      <c r="Q379" s="888"/>
      <c r="R379" s="888"/>
      <c r="S379" s="888"/>
      <c r="T379" s="888"/>
      <c r="U379" s="888"/>
      <c r="V379" s="888"/>
      <c r="W379" s="888"/>
      <c r="X379" s="888"/>
      <c r="Y379" s="888"/>
      <c r="Z379" s="888"/>
      <c r="AA379" s="888"/>
      <c r="AB379" s="888"/>
      <c r="AC379" s="888"/>
      <c r="AD379" s="888"/>
      <c r="AE379" s="888"/>
      <c r="AF379" s="888"/>
      <c r="AG379" s="888"/>
      <c r="AH379" s="888"/>
      <c r="AI379" s="888"/>
      <c r="AJ379" s="888"/>
      <c r="AK379" s="888"/>
      <c r="AL379" s="888"/>
      <c r="AM379" s="888"/>
      <c r="AN379" s="888"/>
      <c r="AO379" s="888"/>
      <c r="AP379" s="888"/>
      <c r="AQ379" s="888"/>
      <c r="AR379" s="888"/>
      <c r="AS379" s="888"/>
      <c r="AT379" s="888"/>
      <c r="AU379" s="888"/>
      <c r="AV379" s="888"/>
      <c r="AW379" s="888"/>
      <c r="AX379" s="888"/>
      <c r="AY379" s="888"/>
      <c r="AZ379" s="567"/>
      <c r="BA379" s="567"/>
      <c r="BB379" s="567"/>
      <c r="BC379" s="567"/>
      <c r="BD379" s="567"/>
      <c r="BE379" s="567"/>
      <c r="BF379" s="567"/>
      <c r="BG379" s="567"/>
      <c r="BH379" s="567"/>
      <c r="BI379" s="567"/>
      <c r="BJ379" s="567"/>
      <c r="BK379" s="567"/>
      <c r="BL379" s="567"/>
      <c r="BM379" s="567"/>
      <c r="BN379" s="567"/>
      <c r="BO379" s="567"/>
      <c r="BP379" s="567"/>
      <c r="BQ379" s="567"/>
      <c r="BR379" s="567"/>
      <c r="BS379" s="567"/>
      <c r="BT379" s="567"/>
      <c r="BU379" s="567"/>
      <c r="BV379" s="567"/>
      <c r="BW379" s="567"/>
      <c r="BX379" s="567"/>
      <c r="BY379" s="567"/>
      <c r="BZ379" s="567"/>
      <c r="CA379" s="567"/>
      <c r="CB379" s="567"/>
      <c r="CC379" s="567"/>
      <c r="CD379" s="567"/>
      <c r="CE379" s="567"/>
      <c r="CF379" s="567"/>
      <c r="CG379" s="567"/>
      <c r="CH379" s="567"/>
      <c r="CI379" s="567"/>
      <c r="CJ379" s="567"/>
      <c r="CK379" s="567"/>
      <c r="CL379" s="567"/>
      <c r="CM379" s="567"/>
      <c r="CN379" s="567"/>
      <c r="CO379" s="567"/>
      <c r="CP379" s="567"/>
      <c r="CQ379" s="567"/>
      <c r="CR379" s="567"/>
      <c r="CS379" s="567"/>
      <c r="CT379" s="567"/>
      <c r="CU379" s="567"/>
      <c r="CV379" s="567"/>
      <c r="CW379" s="567"/>
      <c r="CX379" s="567"/>
      <c r="CY379" s="567"/>
      <c r="CZ379" s="567"/>
      <c r="DA379" s="567"/>
      <c r="DB379" s="567"/>
      <c r="DC379" s="567"/>
      <c r="DD379" s="567"/>
      <c r="DE379" s="567"/>
      <c r="DF379" s="567"/>
      <c r="DG379" s="567"/>
      <c r="DH379" s="567"/>
      <c r="DI379" s="567"/>
      <c r="DJ379" s="567"/>
      <c r="DK379" s="567"/>
      <c r="DL379" s="567"/>
      <c r="DM379" s="567"/>
      <c r="DN379" s="567"/>
      <c r="DO379" s="567"/>
      <c r="DP379" s="567"/>
      <c r="DQ379" s="567"/>
    </row>
    <row r="380" spans="1:121" s="487" customFormat="1">
      <c r="A380" s="588"/>
      <c r="B380" s="588"/>
      <c r="C380" s="588"/>
      <c r="D380" s="588"/>
      <c r="E380" s="588"/>
      <c r="F380" s="588"/>
      <c r="G380" s="588"/>
      <c r="H380" s="588"/>
      <c r="I380" s="588"/>
      <c r="J380" s="588"/>
      <c r="K380" s="588"/>
      <c r="L380" s="702"/>
      <c r="M380" s="888"/>
      <c r="N380" s="888"/>
      <c r="O380" s="888"/>
      <c r="P380" s="888"/>
      <c r="Q380" s="888"/>
      <c r="R380" s="888"/>
      <c r="S380" s="888"/>
      <c r="T380" s="888"/>
      <c r="U380" s="888"/>
      <c r="V380" s="888"/>
      <c r="W380" s="888"/>
      <c r="X380" s="888"/>
      <c r="Y380" s="888"/>
      <c r="Z380" s="888"/>
      <c r="AA380" s="888"/>
      <c r="AB380" s="888"/>
      <c r="AC380" s="888"/>
      <c r="AD380" s="888"/>
      <c r="AE380" s="888"/>
      <c r="AF380" s="888"/>
      <c r="AG380" s="888"/>
      <c r="AH380" s="888"/>
      <c r="AI380" s="888"/>
      <c r="AJ380" s="888"/>
      <c r="AK380" s="888"/>
      <c r="AL380" s="888"/>
      <c r="AM380" s="888"/>
      <c r="AN380" s="888"/>
      <c r="AO380" s="888"/>
      <c r="AP380" s="888"/>
      <c r="AQ380" s="888"/>
      <c r="AR380" s="888"/>
      <c r="AS380" s="888"/>
      <c r="AT380" s="888"/>
      <c r="AU380" s="888"/>
      <c r="AV380" s="888"/>
      <c r="AW380" s="888"/>
      <c r="AX380" s="888"/>
      <c r="AY380" s="888"/>
      <c r="AZ380" s="567"/>
      <c r="BA380" s="567"/>
      <c r="BB380" s="567"/>
      <c r="BC380" s="567"/>
      <c r="BD380" s="567"/>
      <c r="BE380" s="567"/>
      <c r="BF380" s="567"/>
      <c r="BG380" s="567"/>
      <c r="BH380" s="567"/>
      <c r="BI380" s="567"/>
      <c r="BJ380" s="567"/>
      <c r="BK380" s="567"/>
      <c r="BL380" s="567"/>
      <c r="BM380" s="567"/>
      <c r="BN380" s="567"/>
      <c r="BO380" s="567"/>
      <c r="BP380" s="567"/>
      <c r="BQ380" s="567"/>
      <c r="BR380" s="567"/>
      <c r="BS380" s="567"/>
      <c r="BT380" s="567"/>
      <c r="BU380" s="567"/>
      <c r="BV380" s="567"/>
      <c r="BW380" s="567"/>
      <c r="BX380" s="567"/>
      <c r="BY380" s="567"/>
      <c r="BZ380" s="567"/>
      <c r="CA380" s="567"/>
      <c r="CB380" s="567"/>
      <c r="CC380" s="567"/>
      <c r="CD380" s="567"/>
      <c r="CE380" s="567"/>
      <c r="CF380" s="567"/>
      <c r="CG380" s="567"/>
      <c r="CH380" s="567"/>
      <c r="CI380" s="567"/>
      <c r="CJ380" s="567"/>
      <c r="CK380" s="567"/>
      <c r="CL380" s="567"/>
      <c r="CM380" s="567"/>
      <c r="CN380" s="567"/>
      <c r="CO380" s="567"/>
      <c r="CP380" s="567"/>
      <c r="CQ380" s="567"/>
      <c r="CR380" s="567"/>
      <c r="CS380" s="567"/>
      <c r="CT380" s="567"/>
      <c r="CU380" s="567"/>
      <c r="CV380" s="567"/>
      <c r="CW380" s="567"/>
      <c r="CX380" s="567"/>
      <c r="CY380" s="567"/>
      <c r="CZ380" s="567"/>
      <c r="DA380" s="567"/>
      <c r="DB380" s="567"/>
      <c r="DC380" s="567"/>
      <c r="DD380" s="567"/>
      <c r="DE380" s="567"/>
      <c r="DF380" s="567"/>
      <c r="DG380" s="567"/>
      <c r="DH380" s="567"/>
      <c r="DI380" s="567"/>
      <c r="DJ380" s="567"/>
      <c r="DK380" s="567"/>
      <c r="DL380" s="567"/>
      <c r="DM380" s="567"/>
      <c r="DN380" s="567"/>
      <c r="DO380" s="567"/>
      <c r="DP380" s="567"/>
      <c r="DQ380" s="567"/>
    </row>
    <row r="381" spans="1:121" s="487" customFormat="1">
      <c r="A381" s="588"/>
      <c r="B381" s="588"/>
      <c r="C381" s="588"/>
      <c r="D381" s="588"/>
      <c r="E381" s="588"/>
      <c r="F381" s="588"/>
      <c r="G381" s="588"/>
      <c r="H381" s="588"/>
      <c r="I381" s="588"/>
      <c r="J381" s="588"/>
      <c r="K381" s="588"/>
      <c r="L381" s="702"/>
      <c r="M381" s="888"/>
      <c r="N381" s="888"/>
      <c r="O381" s="888"/>
      <c r="P381" s="888"/>
      <c r="Q381" s="888"/>
      <c r="R381" s="888"/>
      <c r="S381" s="888"/>
      <c r="T381" s="888"/>
      <c r="U381" s="888"/>
      <c r="V381" s="888"/>
      <c r="W381" s="888"/>
      <c r="X381" s="888"/>
      <c r="Y381" s="888"/>
      <c r="Z381" s="888"/>
      <c r="AA381" s="888"/>
      <c r="AB381" s="888"/>
      <c r="AC381" s="888"/>
      <c r="AD381" s="888"/>
      <c r="AE381" s="888"/>
      <c r="AF381" s="888"/>
      <c r="AG381" s="888"/>
      <c r="AH381" s="888"/>
      <c r="AI381" s="888"/>
      <c r="AJ381" s="888"/>
      <c r="AK381" s="888"/>
      <c r="AL381" s="888"/>
      <c r="AM381" s="888"/>
      <c r="AN381" s="888"/>
      <c r="AO381" s="888"/>
      <c r="AP381" s="888"/>
      <c r="AQ381" s="888"/>
      <c r="AR381" s="888"/>
      <c r="AS381" s="888"/>
      <c r="AT381" s="888"/>
      <c r="AU381" s="888"/>
      <c r="AV381" s="888"/>
      <c r="AW381" s="888"/>
      <c r="AX381" s="888"/>
      <c r="AY381" s="888"/>
      <c r="AZ381" s="567"/>
      <c r="BA381" s="567"/>
      <c r="BB381" s="567"/>
      <c r="BC381" s="567"/>
      <c r="BD381" s="567"/>
      <c r="BE381" s="567"/>
      <c r="BF381" s="567"/>
      <c r="BG381" s="567"/>
      <c r="BH381" s="567"/>
      <c r="BI381" s="567"/>
      <c r="BJ381" s="567"/>
      <c r="BK381" s="567"/>
      <c r="BL381" s="567"/>
      <c r="BM381" s="567"/>
      <c r="BN381" s="567"/>
      <c r="BO381" s="567"/>
      <c r="BP381" s="567"/>
      <c r="BQ381" s="567"/>
      <c r="BR381" s="567"/>
      <c r="BS381" s="567"/>
      <c r="BT381" s="567"/>
      <c r="BU381" s="567"/>
      <c r="BV381" s="567"/>
      <c r="BW381" s="567"/>
      <c r="BX381" s="567"/>
      <c r="BY381" s="567"/>
      <c r="BZ381" s="567"/>
      <c r="CA381" s="567"/>
      <c r="CB381" s="567"/>
      <c r="CC381" s="567"/>
      <c r="CD381" s="567"/>
      <c r="CE381" s="567"/>
      <c r="CF381" s="567"/>
      <c r="CG381" s="567"/>
      <c r="CH381" s="567"/>
      <c r="CI381" s="567"/>
      <c r="CJ381" s="567"/>
      <c r="CK381" s="567"/>
      <c r="CL381" s="567"/>
      <c r="CM381" s="567"/>
      <c r="CN381" s="567"/>
      <c r="CO381" s="567"/>
      <c r="CP381" s="567"/>
      <c r="CQ381" s="567"/>
      <c r="CR381" s="567"/>
      <c r="CS381" s="567"/>
      <c r="CT381" s="567"/>
      <c r="CU381" s="567"/>
      <c r="CV381" s="567"/>
      <c r="CW381" s="567"/>
      <c r="CX381" s="567"/>
      <c r="CY381" s="567"/>
      <c r="CZ381" s="567"/>
      <c r="DA381" s="567"/>
      <c r="DB381" s="567"/>
      <c r="DC381" s="567"/>
      <c r="DD381" s="567"/>
      <c r="DE381" s="567"/>
      <c r="DF381" s="567"/>
      <c r="DG381" s="567"/>
      <c r="DH381" s="567"/>
      <c r="DI381" s="567"/>
      <c r="DJ381" s="567"/>
      <c r="DK381" s="567"/>
      <c r="DL381" s="567"/>
      <c r="DM381" s="567"/>
      <c r="DN381" s="567"/>
      <c r="DO381" s="567"/>
      <c r="DP381" s="567"/>
      <c r="DQ381" s="567"/>
    </row>
    <row r="382" spans="1:121" s="487" customFormat="1">
      <c r="A382" s="588"/>
      <c r="B382" s="588"/>
      <c r="C382" s="588"/>
      <c r="D382" s="588"/>
      <c r="E382" s="588"/>
      <c r="F382" s="588"/>
      <c r="G382" s="588"/>
      <c r="H382" s="588"/>
      <c r="I382" s="588"/>
      <c r="J382" s="588"/>
      <c r="K382" s="588"/>
      <c r="L382" s="702"/>
      <c r="M382" s="888"/>
      <c r="N382" s="888"/>
      <c r="O382" s="888"/>
      <c r="P382" s="888"/>
      <c r="Q382" s="888"/>
      <c r="R382" s="888"/>
      <c r="S382" s="888"/>
      <c r="T382" s="888"/>
      <c r="U382" s="888"/>
      <c r="V382" s="888"/>
      <c r="W382" s="888"/>
      <c r="X382" s="888"/>
      <c r="Y382" s="888"/>
      <c r="Z382" s="888"/>
      <c r="AA382" s="888"/>
      <c r="AB382" s="888"/>
      <c r="AC382" s="888"/>
      <c r="AD382" s="888"/>
      <c r="AE382" s="888"/>
      <c r="AF382" s="888"/>
      <c r="AG382" s="888"/>
      <c r="AH382" s="888"/>
      <c r="AI382" s="888"/>
      <c r="AJ382" s="888"/>
      <c r="AK382" s="888"/>
      <c r="AL382" s="888"/>
      <c r="AM382" s="888"/>
      <c r="AN382" s="888"/>
      <c r="AO382" s="888"/>
      <c r="AP382" s="888"/>
      <c r="AQ382" s="888"/>
      <c r="AR382" s="888"/>
      <c r="AS382" s="888"/>
      <c r="AT382" s="888"/>
      <c r="AU382" s="888"/>
      <c r="AV382" s="888"/>
      <c r="AW382" s="888"/>
      <c r="AX382" s="888"/>
      <c r="AY382" s="888"/>
      <c r="AZ382" s="567"/>
      <c r="BA382" s="567"/>
      <c r="BB382" s="567"/>
      <c r="BC382" s="567"/>
      <c r="BD382" s="567"/>
      <c r="BE382" s="567"/>
      <c r="BF382" s="567"/>
      <c r="BG382" s="567"/>
      <c r="BH382" s="567"/>
      <c r="BI382" s="567"/>
      <c r="BJ382" s="567"/>
      <c r="BK382" s="567"/>
      <c r="BL382" s="567"/>
      <c r="BM382" s="567"/>
      <c r="BN382" s="567"/>
      <c r="BO382" s="567"/>
      <c r="BP382" s="567"/>
      <c r="BQ382" s="567"/>
      <c r="BR382" s="567"/>
      <c r="BS382" s="567"/>
      <c r="BT382" s="567"/>
      <c r="BU382" s="567"/>
      <c r="BV382" s="567"/>
      <c r="BW382" s="567"/>
      <c r="BX382" s="567"/>
      <c r="BY382" s="567"/>
      <c r="BZ382" s="567"/>
      <c r="CA382" s="567"/>
      <c r="CB382" s="567"/>
      <c r="CC382" s="567"/>
      <c r="CD382" s="567"/>
      <c r="CE382" s="567"/>
      <c r="CF382" s="567"/>
      <c r="CG382" s="567"/>
      <c r="CH382" s="567"/>
      <c r="CI382" s="567"/>
      <c r="CJ382" s="567"/>
      <c r="CK382" s="567"/>
      <c r="CL382" s="567"/>
      <c r="CM382" s="567"/>
      <c r="CN382" s="567"/>
      <c r="CO382" s="567"/>
      <c r="CP382" s="567"/>
      <c r="CQ382" s="567"/>
      <c r="CR382" s="567"/>
      <c r="CS382" s="567"/>
      <c r="CT382" s="567"/>
      <c r="CU382" s="567"/>
      <c r="CV382" s="567"/>
      <c r="CW382" s="567"/>
      <c r="CX382" s="567"/>
      <c r="CY382" s="567"/>
      <c r="CZ382" s="567"/>
      <c r="DA382" s="567"/>
      <c r="DB382" s="567"/>
      <c r="DC382" s="567"/>
      <c r="DD382" s="567"/>
      <c r="DE382" s="567"/>
      <c r="DF382" s="567"/>
      <c r="DG382" s="567"/>
      <c r="DH382" s="567"/>
      <c r="DI382" s="567"/>
      <c r="DJ382" s="567"/>
      <c r="DK382" s="567"/>
      <c r="DL382" s="567"/>
      <c r="DM382" s="567"/>
      <c r="DN382" s="567"/>
      <c r="DO382" s="567"/>
      <c r="DP382" s="567"/>
      <c r="DQ382" s="567"/>
    </row>
    <row r="383" spans="1:121" s="487" customFormat="1">
      <c r="A383" s="588"/>
      <c r="B383" s="588"/>
      <c r="C383" s="588"/>
      <c r="D383" s="588"/>
      <c r="E383" s="588"/>
      <c r="F383" s="588"/>
      <c r="G383" s="588"/>
      <c r="H383" s="588"/>
      <c r="I383" s="588"/>
      <c r="J383" s="588"/>
      <c r="K383" s="588"/>
      <c r="L383" s="702"/>
      <c r="M383" s="888"/>
      <c r="N383" s="888"/>
      <c r="O383" s="888"/>
      <c r="P383" s="888"/>
      <c r="Q383" s="888"/>
      <c r="R383" s="888"/>
      <c r="S383" s="888"/>
      <c r="T383" s="888"/>
      <c r="U383" s="888"/>
      <c r="V383" s="888"/>
      <c r="W383" s="888"/>
      <c r="X383" s="888"/>
      <c r="Y383" s="888"/>
      <c r="Z383" s="888"/>
      <c r="AA383" s="888"/>
      <c r="AB383" s="888"/>
      <c r="AC383" s="888"/>
      <c r="AD383" s="888"/>
      <c r="AE383" s="888"/>
      <c r="AF383" s="888"/>
      <c r="AG383" s="888"/>
      <c r="AH383" s="888"/>
      <c r="AI383" s="888"/>
      <c r="AJ383" s="888"/>
      <c r="AK383" s="888"/>
      <c r="AL383" s="888"/>
      <c r="AM383" s="888"/>
      <c r="AN383" s="888"/>
      <c r="AO383" s="888"/>
      <c r="AP383" s="888"/>
      <c r="AQ383" s="888"/>
      <c r="AR383" s="888"/>
      <c r="AS383" s="888"/>
      <c r="AT383" s="888"/>
      <c r="AU383" s="888"/>
      <c r="AV383" s="888"/>
      <c r="AW383" s="888"/>
      <c r="AX383" s="888"/>
      <c r="AY383" s="888"/>
      <c r="AZ383" s="567"/>
      <c r="BA383" s="567"/>
      <c r="BB383" s="567"/>
      <c r="BC383" s="567"/>
      <c r="BD383" s="567"/>
      <c r="BE383" s="567"/>
      <c r="BF383" s="567"/>
      <c r="BG383" s="567"/>
      <c r="BH383" s="567"/>
      <c r="BI383" s="567"/>
      <c r="BJ383" s="567"/>
      <c r="BK383" s="567"/>
      <c r="BL383" s="567"/>
      <c r="BM383" s="567"/>
      <c r="BN383" s="567"/>
      <c r="BO383" s="567"/>
      <c r="BP383" s="567"/>
      <c r="BQ383" s="567"/>
      <c r="BR383" s="567"/>
      <c r="BS383" s="567"/>
      <c r="BT383" s="567"/>
      <c r="BU383" s="567"/>
      <c r="BV383" s="567"/>
      <c r="BW383" s="567"/>
      <c r="BX383" s="567"/>
      <c r="BY383" s="567"/>
      <c r="BZ383" s="567"/>
      <c r="CA383" s="567"/>
      <c r="CB383" s="567"/>
      <c r="CC383" s="567"/>
      <c r="CD383" s="567"/>
      <c r="CE383" s="567"/>
      <c r="CF383" s="567"/>
      <c r="CG383" s="567"/>
      <c r="CH383" s="567"/>
      <c r="CI383" s="567"/>
      <c r="CJ383" s="567"/>
      <c r="CK383" s="567"/>
      <c r="CL383" s="567"/>
      <c r="CM383" s="567"/>
      <c r="CN383" s="567"/>
      <c r="CO383" s="567"/>
      <c r="CP383" s="567"/>
      <c r="CQ383" s="567"/>
      <c r="CR383" s="567"/>
      <c r="CS383" s="567"/>
      <c r="CT383" s="567"/>
      <c r="CU383" s="567"/>
      <c r="CV383" s="567"/>
      <c r="CW383" s="567"/>
      <c r="CX383" s="567"/>
      <c r="CY383" s="567"/>
      <c r="CZ383" s="567"/>
      <c r="DA383" s="567"/>
      <c r="DB383" s="567"/>
      <c r="DC383" s="567"/>
      <c r="DD383" s="567"/>
      <c r="DE383" s="567"/>
      <c r="DF383" s="567"/>
      <c r="DG383" s="567"/>
      <c r="DH383" s="567"/>
      <c r="DI383" s="567"/>
      <c r="DJ383" s="567"/>
      <c r="DK383" s="567"/>
      <c r="DL383" s="567"/>
      <c r="DM383" s="567"/>
      <c r="DN383" s="567"/>
      <c r="DO383" s="567"/>
      <c r="DP383" s="567"/>
      <c r="DQ383" s="567"/>
    </row>
    <row r="384" spans="1:121" s="487" customFormat="1">
      <c r="A384" s="588"/>
      <c r="B384" s="588"/>
      <c r="C384" s="588"/>
      <c r="D384" s="588"/>
      <c r="E384" s="588"/>
      <c r="F384" s="588"/>
      <c r="G384" s="588"/>
      <c r="H384" s="588"/>
      <c r="I384" s="588"/>
      <c r="J384" s="588"/>
      <c r="K384" s="588"/>
      <c r="L384" s="702"/>
      <c r="M384" s="888"/>
      <c r="N384" s="888"/>
      <c r="O384" s="888"/>
      <c r="P384" s="888"/>
      <c r="Q384" s="888"/>
      <c r="R384" s="888"/>
      <c r="S384" s="888"/>
      <c r="T384" s="888"/>
      <c r="U384" s="888"/>
      <c r="V384" s="888"/>
      <c r="W384" s="888"/>
      <c r="X384" s="888"/>
      <c r="Y384" s="888"/>
      <c r="Z384" s="888"/>
      <c r="AA384" s="888"/>
      <c r="AB384" s="888"/>
      <c r="AC384" s="888"/>
      <c r="AD384" s="888"/>
      <c r="AE384" s="888"/>
      <c r="AF384" s="888"/>
      <c r="AG384" s="888"/>
      <c r="AH384" s="888"/>
      <c r="AI384" s="888"/>
      <c r="AJ384" s="888"/>
      <c r="AK384" s="888"/>
      <c r="AL384" s="888"/>
      <c r="AM384" s="888"/>
      <c r="AN384" s="888"/>
      <c r="AO384" s="888"/>
      <c r="AP384" s="888"/>
      <c r="AQ384" s="888"/>
      <c r="AR384" s="888"/>
      <c r="AS384" s="888"/>
      <c r="AT384" s="888"/>
      <c r="AU384" s="888"/>
      <c r="AV384" s="888"/>
      <c r="AW384" s="888"/>
      <c r="AX384" s="888"/>
      <c r="AY384" s="888"/>
      <c r="AZ384" s="567"/>
      <c r="BA384" s="567"/>
      <c r="BB384" s="567"/>
      <c r="BC384" s="567"/>
      <c r="BD384" s="567"/>
      <c r="BE384" s="567"/>
      <c r="BF384" s="567"/>
      <c r="BG384" s="567"/>
      <c r="BH384" s="567"/>
      <c r="BI384" s="567"/>
      <c r="BJ384" s="567"/>
      <c r="BK384" s="567"/>
      <c r="BL384" s="567"/>
      <c r="BM384" s="567"/>
      <c r="BN384" s="567"/>
      <c r="BO384" s="567"/>
      <c r="BP384" s="567"/>
      <c r="BQ384" s="567"/>
      <c r="BR384" s="567"/>
      <c r="BS384" s="567"/>
      <c r="BT384" s="567"/>
      <c r="BU384" s="567"/>
      <c r="BV384" s="567"/>
      <c r="BW384" s="567"/>
      <c r="BX384" s="567"/>
      <c r="BY384" s="567"/>
      <c r="BZ384" s="567"/>
      <c r="CA384" s="567"/>
      <c r="CB384" s="567"/>
      <c r="CC384" s="567"/>
      <c r="CD384" s="567"/>
      <c r="CE384" s="567"/>
      <c r="CF384" s="567"/>
      <c r="CG384" s="567"/>
      <c r="CH384" s="567"/>
      <c r="CI384" s="567"/>
      <c r="CJ384" s="567"/>
      <c r="CK384" s="567"/>
      <c r="CL384" s="567"/>
      <c r="CM384" s="567"/>
      <c r="CN384" s="567"/>
      <c r="CO384" s="567"/>
      <c r="CP384" s="567"/>
      <c r="CQ384" s="567"/>
      <c r="CR384" s="567"/>
      <c r="CS384" s="567"/>
      <c r="CT384" s="567"/>
      <c r="CU384" s="567"/>
      <c r="CV384" s="567"/>
      <c r="CW384" s="567"/>
      <c r="CX384" s="567"/>
      <c r="CY384" s="567"/>
      <c r="CZ384" s="567"/>
      <c r="DA384" s="567"/>
      <c r="DB384" s="567"/>
      <c r="DC384" s="567"/>
      <c r="DD384" s="567"/>
      <c r="DE384" s="567"/>
      <c r="DF384" s="567"/>
      <c r="DG384" s="567"/>
      <c r="DH384" s="567"/>
      <c r="DI384" s="567"/>
      <c r="DJ384" s="567"/>
      <c r="DK384" s="567"/>
      <c r="DL384" s="567"/>
      <c r="DM384" s="567"/>
      <c r="DN384" s="567"/>
      <c r="DO384" s="567"/>
      <c r="DP384" s="567"/>
      <c r="DQ384" s="567"/>
    </row>
    <row r="385" spans="1:121" s="487" customFormat="1">
      <c r="A385" s="588"/>
      <c r="B385" s="588"/>
      <c r="C385" s="588"/>
      <c r="D385" s="588"/>
      <c r="E385" s="588"/>
      <c r="F385" s="588"/>
      <c r="G385" s="588"/>
      <c r="H385" s="588"/>
      <c r="I385" s="588"/>
      <c r="J385" s="588"/>
      <c r="K385" s="588"/>
      <c r="L385" s="702"/>
      <c r="M385" s="888"/>
      <c r="N385" s="888"/>
      <c r="O385" s="888"/>
      <c r="P385" s="888"/>
      <c r="Q385" s="888"/>
      <c r="R385" s="888"/>
      <c r="S385" s="888"/>
      <c r="T385" s="888"/>
      <c r="U385" s="888"/>
      <c r="V385" s="888"/>
      <c r="W385" s="888"/>
      <c r="X385" s="888"/>
      <c r="Y385" s="888"/>
      <c r="Z385" s="888"/>
      <c r="AA385" s="888"/>
      <c r="AB385" s="888"/>
      <c r="AC385" s="888"/>
      <c r="AD385" s="888"/>
      <c r="AE385" s="888"/>
      <c r="AF385" s="888"/>
      <c r="AG385" s="888"/>
      <c r="AH385" s="888"/>
      <c r="AI385" s="888"/>
      <c r="AJ385" s="888"/>
      <c r="AK385" s="888"/>
      <c r="AL385" s="888"/>
      <c r="AM385" s="888"/>
      <c r="AN385" s="888"/>
      <c r="AO385" s="888"/>
      <c r="AP385" s="888"/>
      <c r="AQ385" s="888"/>
      <c r="AR385" s="888"/>
      <c r="AS385" s="888"/>
      <c r="AT385" s="888"/>
      <c r="AU385" s="888"/>
      <c r="AV385" s="888"/>
      <c r="AW385" s="888"/>
      <c r="AX385" s="888"/>
      <c r="AY385" s="888"/>
      <c r="AZ385" s="567"/>
      <c r="BA385" s="567"/>
      <c r="BB385" s="567"/>
      <c r="BC385" s="567"/>
      <c r="BD385" s="567"/>
      <c r="BE385" s="567"/>
      <c r="BF385" s="567"/>
      <c r="BG385" s="567"/>
      <c r="BH385" s="567"/>
      <c r="BI385" s="567"/>
      <c r="BJ385" s="567"/>
      <c r="BK385" s="567"/>
      <c r="BL385" s="567"/>
      <c r="BM385" s="567"/>
      <c r="BN385" s="567"/>
      <c r="BO385" s="567"/>
      <c r="BP385" s="567"/>
      <c r="BQ385" s="567"/>
      <c r="BR385" s="567"/>
      <c r="BS385" s="567"/>
      <c r="BT385" s="567"/>
      <c r="BU385" s="567"/>
      <c r="BV385" s="567"/>
      <c r="BW385" s="567"/>
      <c r="BX385" s="567"/>
      <c r="BY385" s="567"/>
      <c r="BZ385" s="567"/>
      <c r="CA385" s="567"/>
      <c r="CB385" s="567"/>
      <c r="CC385" s="567"/>
      <c r="CD385" s="567"/>
      <c r="CE385" s="567"/>
      <c r="CF385" s="567"/>
      <c r="CG385" s="567"/>
      <c r="CH385" s="567"/>
      <c r="CI385" s="567"/>
      <c r="CJ385" s="567"/>
      <c r="CK385" s="567"/>
      <c r="CL385" s="567"/>
      <c r="CM385" s="567"/>
      <c r="CN385" s="567"/>
      <c r="CO385" s="567"/>
      <c r="CP385" s="567"/>
      <c r="CQ385" s="567"/>
      <c r="CR385" s="567"/>
      <c r="CS385" s="567"/>
      <c r="CT385" s="567"/>
      <c r="CU385" s="567"/>
      <c r="CV385" s="567"/>
      <c r="CW385" s="567"/>
      <c r="CX385" s="567"/>
      <c r="CY385" s="567"/>
      <c r="CZ385" s="567"/>
      <c r="DA385" s="567"/>
      <c r="DB385" s="567"/>
      <c r="DC385" s="567"/>
      <c r="DD385" s="567"/>
      <c r="DE385" s="567"/>
      <c r="DF385" s="567"/>
      <c r="DG385" s="567"/>
      <c r="DH385" s="567"/>
      <c r="DI385" s="567"/>
      <c r="DJ385" s="567"/>
      <c r="DK385" s="567"/>
      <c r="DL385" s="567"/>
      <c r="DM385" s="567"/>
      <c r="DN385" s="567"/>
      <c r="DO385" s="567"/>
      <c r="DP385" s="567"/>
      <c r="DQ385" s="567"/>
    </row>
    <row r="386" spans="1:121" s="487" customFormat="1">
      <c r="A386" s="588"/>
      <c r="B386" s="588"/>
      <c r="C386" s="588"/>
      <c r="D386" s="588"/>
      <c r="E386" s="588"/>
      <c r="F386" s="588"/>
      <c r="G386" s="588"/>
      <c r="H386" s="588"/>
      <c r="I386" s="588"/>
      <c r="J386" s="588"/>
      <c r="K386" s="588"/>
      <c r="L386" s="702"/>
      <c r="M386" s="888"/>
      <c r="N386" s="888"/>
      <c r="O386" s="888"/>
      <c r="P386" s="888"/>
      <c r="Q386" s="888"/>
      <c r="R386" s="888"/>
      <c r="S386" s="888"/>
      <c r="T386" s="888"/>
      <c r="U386" s="888"/>
      <c r="V386" s="888"/>
      <c r="W386" s="888"/>
      <c r="X386" s="888"/>
      <c r="Y386" s="888"/>
      <c r="Z386" s="888"/>
      <c r="AA386" s="888"/>
      <c r="AB386" s="888"/>
      <c r="AC386" s="888"/>
      <c r="AD386" s="888"/>
      <c r="AE386" s="888"/>
      <c r="AF386" s="888"/>
      <c r="AG386" s="888"/>
      <c r="AH386" s="888"/>
      <c r="AI386" s="888"/>
      <c r="AJ386" s="888"/>
      <c r="AK386" s="888"/>
      <c r="AL386" s="888"/>
      <c r="AM386" s="888"/>
      <c r="AN386" s="888"/>
      <c r="AO386" s="888"/>
      <c r="AP386" s="888"/>
      <c r="AQ386" s="888"/>
      <c r="AR386" s="888"/>
      <c r="AS386" s="888"/>
      <c r="AT386" s="888"/>
      <c r="AU386" s="888"/>
      <c r="AV386" s="888"/>
      <c r="AW386" s="888"/>
      <c r="AX386" s="888"/>
      <c r="AY386" s="888"/>
      <c r="AZ386" s="567"/>
      <c r="BA386" s="567"/>
      <c r="BB386" s="567"/>
      <c r="BC386" s="567"/>
      <c r="BD386" s="567"/>
      <c r="BE386" s="567"/>
      <c r="BF386" s="567"/>
      <c r="BG386" s="567"/>
      <c r="BH386" s="567"/>
      <c r="BI386" s="567"/>
      <c r="BJ386" s="567"/>
      <c r="BK386" s="567"/>
      <c r="BL386" s="567"/>
      <c r="BM386" s="567"/>
      <c r="BN386" s="567"/>
      <c r="BO386" s="567"/>
      <c r="BP386" s="567"/>
      <c r="BQ386" s="567"/>
      <c r="BR386" s="567"/>
      <c r="BS386" s="567"/>
      <c r="BT386" s="567"/>
      <c r="BU386" s="567"/>
      <c r="BV386" s="567"/>
      <c r="BW386" s="567"/>
      <c r="BX386" s="567"/>
      <c r="BY386" s="567"/>
      <c r="BZ386" s="567"/>
      <c r="CA386" s="567"/>
      <c r="CB386" s="567"/>
      <c r="CC386" s="567"/>
      <c r="CD386" s="567"/>
      <c r="CE386" s="567"/>
      <c r="CF386" s="567"/>
      <c r="CG386" s="567"/>
      <c r="CH386" s="567"/>
      <c r="CI386" s="567"/>
      <c r="CJ386" s="567"/>
      <c r="CK386" s="567"/>
      <c r="CL386" s="567"/>
      <c r="CM386" s="567"/>
      <c r="CN386" s="567"/>
      <c r="CO386" s="567"/>
      <c r="CP386" s="567"/>
      <c r="CQ386" s="567"/>
      <c r="CR386" s="567"/>
      <c r="CS386" s="567"/>
      <c r="CT386" s="567"/>
      <c r="CU386" s="567"/>
      <c r="CV386" s="567"/>
      <c r="CW386" s="567"/>
      <c r="CX386" s="567"/>
      <c r="CY386" s="567"/>
      <c r="CZ386" s="567"/>
      <c r="DA386" s="567"/>
      <c r="DB386" s="567"/>
      <c r="DC386" s="567"/>
      <c r="DD386" s="567"/>
      <c r="DE386" s="567"/>
      <c r="DF386" s="567"/>
      <c r="DG386" s="567"/>
      <c r="DH386" s="567"/>
      <c r="DI386" s="567"/>
      <c r="DJ386" s="567"/>
      <c r="DK386" s="567"/>
      <c r="DL386" s="567"/>
      <c r="DM386" s="567"/>
      <c r="DN386" s="567"/>
      <c r="DO386" s="567"/>
      <c r="DP386" s="567"/>
      <c r="DQ386" s="567"/>
    </row>
    <row r="387" spans="1:121" s="487" customFormat="1">
      <c r="A387" s="588"/>
      <c r="B387" s="588"/>
      <c r="C387" s="588"/>
      <c r="D387" s="588"/>
      <c r="E387" s="588"/>
      <c r="F387" s="588"/>
      <c r="G387" s="588"/>
      <c r="H387" s="588"/>
      <c r="I387" s="588"/>
      <c r="J387" s="588"/>
      <c r="K387" s="588"/>
      <c r="L387" s="702"/>
      <c r="M387" s="888"/>
      <c r="N387" s="888"/>
      <c r="O387" s="888"/>
      <c r="P387" s="888"/>
      <c r="Q387" s="888"/>
      <c r="R387" s="888"/>
      <c r="S387" s="888"/>
      <c r="T387" s="888"/>
      <c r="U387" s="888"/>
      <c r="V387" s="888"/>
      <c r="W387" s="888"/>
      <c r="X387" s="888"/>
      <c r="Y387" s="888"/>
      <c r="Z387" s="888"/>
      <c r="AA387" s="888"/>
      <c r="AB387" s="888"/>
      <c r="AC387" s="888"/>
      <c r="AD387" s="888"/>
      <c r="AE387" s="888"/>
      <c r="AF387" s="888"/>
      <c r="AG387" s="888"/>
      <c r="AH387" s="888"/>
      <c r="AI387" s="888"/>
      <c r="AJ387" s="888"/>
      <c r="AK387" s="888"/>
      <c r="AL387" s="888"/>
      <c r="AM387" s="888"/>
      <c r="AN387" s="888"/>
      <c r="AO387" s="888"/>
      <c r="AP387" s="888"/>
      <c r="AQ387" s="888"/>
      <c r="AR387" s="888"/>
      <c r="AS387" s="888"/>
      <c r="AT387" s="888"/>
      <c r="AU387" s="888"/>
      <c r="AV387" s="888"/>
      <c r="AW387" s="888"/>
      <c r="AX387" s="888"/>
      <c r="AY387" s="888"/>
      <c r="AZ387" s="567"/>
      <c r="BA387" s="567"/>
      <c r="BB387" s="567"/>
      <c r="BC387" s="567"/>
      <c r="BD387" s="567"/>
      <c r="BE387" s="567"/>
      <c r="BF387" s="567"/>
      <c r="BG387" s="567"/>
      <c r="BH387" s="567"/>
      <c r="BI387" s="567"/>
      <c r="BJ387" s="567"/>
      <c r="BK387" s="567"/>
      <c r="BL387" s="567"/>
      <c r="BM387" s="567"/>
      <c r="BN387" s="567"/>
      <c r="BO387" s="567"/>
      <c r="BP387" s="567"/>
      <c r="BQ387" s="567"/>
      <c r="BR387" s="567"/>
      <c r="BS387" s="567"/>
      <c r="BT387" s="567"/>
      <c r="BU387" s="567"/>
      <c r="BV387" s="567"/>
      <c r="BW387" s="567"/>
      <c r="BX387" s="567"/>
      <c r="BY387" s="567"/>
      <c r="BZ387" s="567"/>
      <c r="CA387" s="567"/>
      <c r="CB387" s="567"/>
      <c r="CC387" s="567"/>
      <c r="CD387" s="567"/>
      <c r="CE387" s="567"/>
      <c r="CF387" s="567"/>
      <c r="CG387" s="567"/>
      <c r="CH387" s="567"/>
      <c r="CI387" s="567"/>
      <c r="CJ387" s="567"/>
      <c r="CK387" s="567"/>
      <c r="CL387" s="567"/>
      <c r="CM387" s="567"/>
      <c r="CN387" s="567"/>
      <c r="CO387" s="567"/>
      <c r="CP387" s="567"/>
      <c r="CQ387" s="567"/>
      <c r="CR387" s="567"/>
      <c r="CS387" s="567"/>
      <c r="CT387" s="567"/>
      <c r="CU387" s="567"/>
      <c r="CV387" s="567"/>
      <c r="CW387" s="567"/>
      <c r="CX387" s="567"/>
      <c r="CY387" s="567"/>
      <c r="CZ387" s="567"/>
      <c r="DA387" s="567"/>
      <c r="DB387" s="567"/>
      <c r="DC387" s="567"/>
      <c r="DD387" s="567"/>
      <c r="DE387" s="567"/>
      <c r="DF387" s="567"/>
      <c r="DG387" s="567"/>
      <c r="DH387" s="567"/>
      <c r="DI387" s="567"/>
      <c r="DJ387" s="567"/>
      <c r="DK387" s="567"/>
      <c r="DL387" s="567"/>
      <c r="DM387" s="567"/>
      <c r="DN387" s="567"/>
      <c r="DO387" s="567"/>
      <c r="DP387" s="567"/>
      <c r="DQ387" s="567"/>
    </row>
    <row r="388" spans="1:121" s="487" customFormat="1">
      <c r="A388" s="588"/>
      <c r="B388" s="588"/>
      <c r="C388" s="588"/>
      <c r="D388" s="588"/>
      <c r="E388" s="588"/>
      <c r="F388" s="588"/>
      <c r="G388" s="588"/>
      <c r="H388" s="588"/>
      <c r="I388" s="588"/>
      <c r="J388" s="588"/>
      <c r="K388" s="588"/>
      <c r="L388" s="702"/>
      <c r="M388" s="888"/>
      <c r="N388" s="888"/>
      <c r="O388" s="888"/>
      <c r="P388" s="888"/>
      <c r="Q388" s="888"/>
      <c r="R388" s="888"/>
      <c r="S388" s="888"/>
      <c r="T388" s="888"/>
      <c r="U388" s="888"/>
      <c r="V388" s="888"/>
      <c r="W388" s="888"/>
      <c r="X388" s="888"/>
      <c r="Y388" s="888"/>
      <c r="Z388" s="888"/>
      <c r="AA388" s="888"/>
      <c r="AB388" s="888"/>
      <c r="AC388" s="888"/>
      <c r="AD388" s="888"/>
      <c r="AE388" s="888"/>
      <c r="AF388" s="888"/>
      <c r="AG388" s="888"/>
      <c r="AH388" s="888"/>
      <c r="AI388" s="888"/>
      <c r="AJ388" s="888"/>
      <c r="AK388" s="888"/>
      <c r="AL388" s="888"/>
      <c r="AM388" s="888"/>
      <c r="AN388" s="888"/>
      <c r="AO388" s="888"/>
      <c r="AP388" s="888"/>
      <c r="AQ388" s="888"/>
      <c r="AR388" s="888"/>
      <c r="AS388" s="888"/>
      <c r="AT388" s="888"/>
      <c r="AU388" s="888"/>
      <c r="AV388" s="888"/>
      <c r="AW388" s="888"/>
      <c r="AX388" s="888"/>
      <c r="AY388" s="888"/>
      <c r="AZ388" s="567"/>
      <c r="BA388" s="567"/>
      <c r="BB388" s="567"/>
      <c r="BC388" s="567"/>
      <c r="BD388" s="567"/>
      <c r="BE388" s="567"/>
      <c r="BF388" s="567"/>
      <c r="BG388" s="567"/>
      <c r="BH388" s="567"/>
      <c r="BI388" s="567"/>
      <c r="BJ388" s="567"/>
      <c r="BK388" s="567"/>
      <c r="BL388" s="567"/>
      <c r="BM388" s="567"/>
      <c r="BN388" s="567"/>
      <c r="BO388" s="567"/>
      <c r="BP388" s="567"/>
      <c r="BQ388" s="567"/>
      <c r="BR388" s="567"/>
      <c r="BS388" s="567"/>
      <c r="BT388" s="567"/>
      <c r="BU388" s="567"/>
      <c r="BV388" s="567"/>
      <c r="BW388" s="567"/>
      <c r="BX388" s="567"/>
      <c r="BY388" s="567"/>
      <c r="BZ388" s="567"/>
      <c r="CA388" s="567"/>
      <c r="CB388" s="567"/>
      <c r="CC388" s="567"/>
      <c r="CD388" s="567"/>
      <c r="CE388" s="567"/>
      <c r="CF388" s="567"/>
      <c r="CG388" s="567"/>
      <c r="CH388" s="567"/>
      <c r="CI388" s="567"/>
      <c r="CJ388" s="567"/>
      <c r="CK388" s="567"/>
      <c r="CL388" s="567"/>
      <c r="CM388" s="567"/>
      <c r="CN388" s="567"/>
      <c r="CO388" s="567"/>
      <c r="CP388" s="567"/>
      <c r="CQ388" s="567"/>
      <c r="CR388" s="567"/>
      <c r="CS388" s="567"/>
      <c r="CT388" s="567"/>
      <c r="CU388" s="567"/>
      <c r="CV388" s="567"/>
      <c r="CW388" s="567"/>
      <c r="CX388" s="567"/>
      <c r="CY388" s="567"/>
      <c r="CZ388" s="567"/>
      <c r="DA388" s="567"/>
      <c r="DB388" s="567"/>
      <c r="DC388" s="567"/>
      <c r="DD388" s="567"/>
      <c r="DE388" s="567"/>
      <c r="DF388" s="567"/>
      <c r="DG388" s="567"/>
      <c r="DH388" s="567"/>
      <c r="DI388" s="567"/>
      <c r="DJ388" s="567"/>
      <c r="DK388" s="567"/>
      <c r="DL388" s="567"/>
      <c r="DM388" s="567"/>
      <c r="DN388" s="567"/>
      <c r="DO388" s="567"/>
      <c r="DP388" s="567"/>
      <c r="DQ388" s="567"/>
    </row>
    <row r="389" spans="1:121" s="487" customFormat="1">
      <c r="A389" s="588"/>
      <c r="B389" s="588"/>
      <c r="C389" s="588"/>
      <c r="D389" s="588"/>
      <c r="E389" s="588"/>
      <c r="F389" s="588"/>
      <c r="G389" s="588"/>
      <c r="H389" s="588"/>
      <c r="I389" s="588"/>
      <c r="J389" s="588"/>
      <c r="K389" s="588"/>
      <c r="L389" s="702"/>
      <c r="M389" s="888"/>
      <c r="N389" s="888"/>
      <c r="O389" s="888"/>
      <c r="P389" s="888"/>
      <c r="Q389" s="888"/>
      <c r="R389" s="888"/>
      <c r="S389" s="888"/>
      <c r="T389" s="888"/>
      <c r="U389" s="888"/>
      <c r="V389" s="888"/>
      <c r="W389" s="888"/>
      <c r="X389" s="888"/>
      <c r="Y389" s="888"/>
      <c r="Z389" s="888"/>
      <c r="AA389" s="888"/>
      <c r="AB389" s="888"/>
      <c r="AC389" s="888"/>
      <c r="AD389" s="888"/>
      <c r="AE389" s="888"/>
      <c r="AF389" s="888"/>
      <c r="AG389" s="888"/>
      <c r="AH389" s="888"/>
      <c r="AI389" s="888"/>
      <c r="AJ389" s="888"/>
      <c r="AK389" s="888"/>
      <c r="AL389" s="888"/>
      <c r="AM389" s="888"/>
      <c r="AN389" s="888"/>
      <c r="AO389" s="888"/>
      <c r="AP389" s="888"/>
      <c r="AQ389" s="888"/>
      <c r="AR389" s="888"/>
      <c r="AS389" s="888"/>
      <c r="AT389" s="888"/>
      <c r="AU389" s="888"/>
      <c r="AV389" s="888"/>
      <c r="AW389" s="888"/>
      <c r="AX389" s="888"/>
      <c r="AY389" s="888"/>
      <c r="AZ389" s="567"/>
      <c r="BA389" s="567"/>
      <c r="BB389" s="567"/>
      <c r="BC389" s="567"/>
      <c r="BD389" s="567"/>
      <c r="BE389" s="567"/>
      <c r="BF389" s="567"/>
      <c r="BG389" s="567"/>
      <c r="BH389" s="567"/>
      <c r="BI389" s="567"/>
      <c r="BJ389" s="567"/>
      <c r="BK389" s="567"/>
      <c r="BL389" s="567"/>
      <c r="BM389" s="567"/>
      <c r="BN389" s="567"/>
      <c r="BO389" s="567"/>
      <c r="BP389" s="567"/>
      <c r="BQ389" s="567"/>
      <c r="BR389" s="567"/>
      <c r="BS389" s="567"/>
      <c r="BT389" s="567"/>
      <c r="BU389" s="567"/>
      <c r="BV389" s="567"/>
      <c r="BW389" s="567"/>
      <c r="BX389" s="567"/>
      <c r="BY389" s="567"/>
      <c r="BZ389" s="567"/>
      <c r="CA389" s="567"/>
      <c r="CB389" s="567"/>
      <c r="CC389" s="567"/>
      <c r="CD389" s="567"/>
      <c r="CE389" s="567"/>
      <c r="CF389" s="567"/>
      <c r="CG389" s="567"/>
      <c r="CH389" s="567"/>
      <c r="CI389" s="567"/>
      <c r="CJ389" s="567"/>
      <c r="CK389" s="567"/>
      <c r="CL389" s="567"/>
      <c r="CM389" s="567"/>
      <c r="CN389" s="567"/>
      <c r="CO389" s="567"/>
      <c r="CP389" s="567"/>
      <c r="CQ389" s="567"/>
      <c r="CR389" s="567"/>
      <c r="CS389" s="567"/>
      <c r="CT389" s="567"/>
      <c r="CU389" s="567"/>
      <c r="CV389" s="567"/>
      <c r="CW389" s="567"/>
      <c r="CX389" s="567"/>
      <c r="CY389" s="567"/>
      <c r="CZ389" s="567"/>
      <c r="DA389" s="567"/>
      <c r="DB389" s="567"/>
      <c r="DC389" s="567"/>
      <c r="DD389" s="567"/>
      <c r="DE389" s="567"/>
      <c r="DF389" s="567"/>
      <c r="DG389" s="567"/>
      <c r="DH389" s="567"/>
      <c r="DI389" s="567"/>
      <c r="DJ389" s="567"/>
      <c r="DK389" s="567"/>
      <c r="DL389" s="567"/>
      <c r="DM389" s="567"/>
      <c r="DN389" s="567"/>
      <c r="DO389" s="567"/>
      <c r="DP389" s="567"/>
      <c r="DQ389" s="567"/>
    </row>
    <row r="390" spans="1:121" s="487" customFormat="1">
      <c r="A390" s="588"/>
      <c r="B390" s="588"/>
      <c r="C390" s="588"/>
      <c r="D390" s="588"/>
      <c r="E390" s="588"/>
      <c r="F390" s="588"/>
      <c r="G390" s="588"/>
      <c r="H390" s="588"/>
      <c r="I390" s="588"/>
      <c r="J390" s="588"/>
      <c r="K390" s="588"/>
      <c r="L390" s="702"/>
      <c r="M390" s="888"/>
      <c r="N390" s="888"/>
      <c r="O390" s="888"/>
      <c r="P390" s="888"/>
      <c r="Q390" s="888"/>
      <c r="R390" s="888"/>
      <c r="S390" s="888"/>
      <c r="T390" s="888"/>
      <c r="U390" s="888"/>
      <c r="V390" s="888"/>
      <c r="W390" s="888"/>
      <c r="X390" s="888"/>
      <c r="Y390" s="888"/>
      <c r="Z390" s="888"/>
      <c r="AA390" s="888"/>
      <c r="AB390" s="888"/>
      <c r="AC390" s="888"/>
      <c r="AD390" s="888"/>
      <c r="AE390" s="888"/>
      <c r="AF390" s="888"/>
      <c r="AG390" s="888"/>
      <c r="AH390" s="888"/>
      <c r="AI390" s="888"/>
      <c r="AJ390" s="888"/>
      <c r="AK390" s="888"/>
      <c r="AL390" s="888"/>
      <c r="AM390" s="888"/>
      <c r="AN390" s="888"/>
      <c r="AO390" s="888"/>
      <c r="AP390" s="888"/>
      <c r="AQ390" s="888"/>
      <c r="AR390" s="888"/>
      <c r="AS390" s="888"/>
      <c r="AT390" s="888"/>
      <c r="AU390" s="888"/>
      <c r="AV390" s="888"/>
      <c r="AW390" s="888"/>
      <c r="AX390" s="888"/>
      <c r="AY390" s="888"/>
      <c r="AZ390" s="567"/>
      <c r="BA390" s="567"/>
      <c r="BB390" s="567"/>
      <c r="BC390" s="567"/>
      <c r="BD390" s="567"/>
      <c r="BE390" s="567"/>
      <c r="BF390" s="567"/>
      <c r="BG390" s="567"/>
      <c r="BH390" s="567"/>
      <c r="BI390" s="567"/>
      <c r="BJ390" s="567"/>
      <c r="BK390" s="567"/>
      <c r="BL390" s="567"/>
      <c r="BM390" s="567"/>
      <c r="BN390" s="567"/>
      <c r="BO390" s="567"/>
      <c r="BP390" s="567"/>
      <c r="BQ390" s="567"/>
      <c r="BR390" s="567"/>
      <c r="BS390" s="567"/>
      <c r="BT390" s="567"/>
      <c r="BU390" s="567"/>
      <c r="BV390" s="567"/>
      <c r="BW390" s="567"/>
      <c r="BX390" s="567"/>
      <c r="BY390" s="567"/>
      <c r="BZ390" s="567"/>
      <c r="CA390" s="567"/>
      <c r="CB390" s="567"/>
      <c r="CC390" s="567"/>
      <c r="CD390" s="567"/>
      <c r="CE390" s="567"/>
      <c r="CF390" s="567"/>
      <c r="CG390" s="567"/>
      <c r="CH390" s="567"/>
      <c r="CI390" s="567"/>
      <c r="CJ390" s="567"/>
      <c r="CK390" s="567"/>
      <c r="CL390" s="567"/>
      <c r="CM390" s="567"/>
      <c r="CN390" s="567"/>
      <c r="CO390" s="567"/>
      <c r="CP390" s="567"/>
      <c r="CQ390" s="567"/>
      <c r="CR390" s="567"/>
      <c r="CS390" s="567"/>
      <c r="CT390" s="567"/>
      <c r="CU390" s="567"/>
      <c r="CV390" s="567"/>
      <c r="CW390" s="567"/>
      <c r="CX390" s="567"/>
      <c r="CY390" s="567"/>
      <c r="CZ390" s="567"/>
      <c r="DA390" s="567"/>
      <c r="DB390" s="567"/>
      <c r="DC390" s="567"/>
      <c r="DD390" s="567"/>
      <c r="DE390" s="567"/>
      <c r="DF390" s="567"/>
      <c r="DG390" s="567"/>
      <c r="DH390" s="567"/>
      <c r="DI390" s="567"/>
      <c r="DJ390" s="567"/>
      <c r="DK390" s="567"/>
      <c r="DL390" s="567"/>
      <c r="DM390" s="567"/>
      <c r="DN390" s="567"/>
      <c r="DO390" s="567"/>
      <c r="DP390" s="567"/>
      <c r="DQ390" s="567"/>
    </row>
    <row r="391" spans="1:121" s="487" customFormat="1">
      <c r="A391" s="588"/>
      <c r="B391" s="588"/>
      <c r="C391" s="588"/>
      <c r="D391" s="588"/>
      <c r="E391" s="588"/>
      <c r="F391" s="588"/>
      <c r="G391" s="588"/>
      <c r="H391" s="588"/>
      <c r="I391" s="588"/>
      <c r="J391" s="588"/>
      <c r="K391" s="588"/>
      <c r="L391" s="702"/>
      <c r="M391" s="888"/>
      <c r="N391" s="888"/>
      <c r="O391" s="888"/>
      <c r="P391" s="888"/>
      <c r="Q391" s="888"/>
      <c r="R391" s="888"/>
      <c r="S391" s="888"/>
      <c r="T391" s="888"/>
      <c r="U391" s="888"/>
      <c r="V391" s="888"/>
      <c r="W391" s="888"/>
      <c r="X391" s="888"/>
      <c r="Y391" s="888"/>
      <c r="Z391" s="888"/>
      <c r="AA391" s="888"/>
      <c r="AB391" s="888"/>
      <c r="AC391" s="888"/>
      <c r="AD391" s="888"/>
      <c r="AE391" s="888"/>
      <c r="AF391" s="888"/>
      <c r="AG391" s="888"/>
      <c r="AH391" s="888"/>
      <c r="AI391" s="888"/>
      <c r="AJ391" s="888"/>
      <c r="AK391" s="888"/>
      <c r="AL391" s="888"/>
      <c r="AM391" s="888"/>
      <c r="AN391" s="888"/>
      <c r="AO391" s="888"/>
      <c r="AP391" s="888"/>
      <c r="AQ391" s="888"/>
      <c r="AR391" s="888"/>
      <c r="AS391" s="888"/>
      <c r="AT391" s="888"/>
      <c r="AU391" s="888"/>
      <c r="AV391" s="888"/>
      <c r="AW391" s="888"/>
      <c r="AX391" s="888"/>
      <c r="AY391" s="888"/>
      <c r="AZ391" s="567"/>
      <c r="BA391" s="567"/>
      <c r="BB391" s="567"/>
      <c r="BC391" s="567"/>
      <c r="BD391" s="567"/>
      <c r="BE391" s="567"/>
      <c r="BF391" s="567"/>
      <c r="BG391" s="567"/>
      <c r="BH391" s="567"/>
      <c r="BI391" s="567"/>
      <c r="BJ391" s="567"/>
      <c r="BK391" s="567"/>
      <c r="BL391" s="567"/>
      <c r="BM391" s="567"/>
      <c r="BN391" s="567"/>
      <c r="BO391" s="567"/>
      <c r="BP391" s="567"/>
      <c r="BQ391" s="567"/>
      <c r="BR391" s="567"/>
      <c r="BS391" s="567"/>
      <c r="BT391" s="567"/>
      <c r="BU391" s="567"/>
      <c r="BV391" s="567"/>
      <c r="BW391" s="567"/>
      <c r="BX391" s="567"/>
      <c r="BY391" s="567"/>
      <c r="BZ391" s="567"/>
      <c r="CA391" s="567"/>
      <c r="CB391" s="567"/>
      <c r="CC391" s="567"/>
      <c r="CD391" s="567"/>
      <c r="CE391" s="567"/>
      <c r="CF391" s="567"/>
      <c r="CG391" s="567"/>
      <c r="CH391" s="567"/>
      <c r="CI391" s="567"/>
      <c r="CJ391" s="567"/>
      <c r="CK391" s="567"/>
      <c r="CL391" s="567"/>
      <c r="CM391" s="567"/>
      <c r="CN391" s="567"/>
      <c r="CO391" s="567"/>
      <c r="CP391" s="567"/>
      <c r="CQ391" s="567"/>
      <c r="CR391" s="567"/>
      <c r="CS391" s="567"/>
      <c r="CT391" s="567"/>
      <c r="CU391" s="567"/>
      <c r="CV391" s="567"/>
      <c r="CW391" s="567"/>
      <c r="CX391" s="567"/>
      <c r="CY391" s="567"/>
      <c r="CZ391" s="567"/>
      <c r="DA391" s="567"/>
      <c r="DB391" s="567"/>
      <c r="DC391" s="567"/>
      <c r="DD391" s="567"/>
      <c r="DE391" s="567"/>
      <c r="DF391" s="567"/>
      <c r="DG391" s="567"/>
      <c r="DH391" s="567"/>
      <c r="DI391" s="567"/>
      <c r="DJ391" s="567"/>
      <c r="DK391" s="567"/>
      <c r="DL391" s="567"/>
      <c r="DM391" s="567"/>
      <c r="DN391" s="567"/>
      <c r="DO391" s="567"/>
      <c r="DP391" s="567"/>
      <c r="DQ391" s="567"/>
    </row>
    <row r="392" spans="1:121" s="487" customFormat="1">
      <c r="A392" s="588"/>
      <c r="B392" s="588"/>
      <c r="C392" s="588"/>
      <c r="D392" s="588"/>
      <c r="E392" s="588"/>
      <c r="F392" s="588"/>
      <c r="G392" s="588"/>
      <c r="H392" s="588"/>
      <c r="I392" s="588"/>
      <c r="J392" s="588"/>
      <c r="K392" s="588"/>
      <c r="L392" s="702"/>
      <c r="M392" s="888"/>
      <c r="N392" s="888"/>
      <c r="O392" s="888"/>
      <c r="P392" s="888"/>
      <c r="Q392" s="888"/>
      <c r="R392" s="888"/>
      <c r="S392" s="888"/>
      <c r="T392" s="888"/>
      <c r="U392" s="888"/>
      <c r="V392" s="888"/>
      <c r="W392" s="888"/>
      <c r="X392" s="888"/>
      <c r="Y392" s="888"/>
      <c r="Z392" s="888"/>
      <c r="AA392" s="888"/>
      <c r="AB392" s="888"/>
      <c r="AC392" s="888"/>
      <c r="AD392" s="888"/>
      <c r="AE392" s="888"/>
      <c r="AF392" s="888"/>
      <c r="AG392" s="888"/>
      <c r="AH392" s="888"/>
      <c r="AI392" s="888"/>
      <c r="AJ392" s="888"/>
      <c r="AK392" s="888"/>
      <c r="AL392" s="888"/>
      <c r="AM392" s="888"/>
      <c r="AN392" s="888"/>
      <c r="AO392" s="888"/>
      <c r="AP392" s="888"/>
      <c r="AQ392" s="888"/>
      <c r="AR392" s="888"/>
      <c r="AS392" s="888"/>
      <c r="AT392" s="888"/>
      <c r="AU392" s="888"/>
      <c r="AV392" s="888"/>
      <c r="AW392" s="888"/>
      <c r="AX392" s="888"/>
      <c r="AY392" s="888"/>
      <c r="AZ392" s="567"/>
      <c r="BA392" s="567"/>
      <c r="BB392" s="567"/>
      <c r="BC392" s="567"/>
      <c r="BD392" s="567"/>
      <c r="BE392" s="567"/>
      <c r="BF392" s="567"/>
      <c r="BG392" s="567"/>
      <c r="BH392" s="567"/>
      <c r="BI392" s="567"/>
      <c r="BJ392" s="567"/>
      <c r="BK392" s="567"/>
      <c r="BL392" s="567"/>
      <c r="BM392" s="567"/>
      <c r="BN392" s="567"/>
      <c r="BO392" s="567"/>
      <c r="BP392" s="567"/>
      <c r="BQ392" s="567"/>
      <c r="BR392" s="567"/>
      <c r="BS392" s="567"/>
      <c r="BT392" s="567"/>
      <c r="BU392" s="567"/>
      <c r="BV392" s="567"/>
      <c r="BW392" s="567"/>
      <c r="BX392" s="567"/>
      <c r="BY392" s="567"/>
      <c r="BZ392" s="567"/>
      <c r="CA392" s="567"/>
      <c r="CB392" s="567"/>
      <c r="CC392" s="567"/>
      <c r="CD392" s="567"/>
      <c r="CE392" s="567"/>
      <c r="CF392" s="567"/>
      <c r="CG392" s="567"/>
      <c r="CH392" s="567"/>
      <c r="CI392" s="567"/>
      <c r="CJ392" s="567"/>
      <c r="CK392" s="567"/>
      <c r="CL392" s="567"/>
      <c r="CM392" s="567"/>
      <c r="CN392" s="567"/>
      <c r="CO392" s="567"/>
      <c r="CP392" s="567"/>
      <c r="CQ392" s="567"/>
      <c r="CR392" s="567"/>
      <c r="CS392" s="567"/>
      <c r="CT392" s="567"/>
      <c r="CU392" s="567"/>
      <c r="CV392" s="567"/>
      <c r="CW392" s="567"/>
      <c r="CX392" s="567"/>
      <c r="CY392" s="567"/>
      <c r="CZ392" s="567"/>
      <c r="DA392" s="567"/>
      <c r="DB392" s="567"/>
      <c r="DC392" s="567"/>
      <c r="DD392" s="567"/>
      <c r="DE392" s="567"/>
      <c r="DF392" s="567"/>
      <c r="DG392" s="567"/>
      <c r="DH392" s="567"/>
      <c r="DI392" s="567"/>
      <c r="DJ392" s="567"/>
      <c r="DK392" s="567"/>
      <c r="DL392" s="567"/>
      <c r="DM392" s="567"/>
      <c r="DN392" s="567"/>
      <c r="DO392" s="567"/>
      <c r="DP392" s="567"/>
      <c r="DQ392" s="567"/>
    </row>
    <row r="393" spans="1:121" s="487" customFormat="1">
      <c r="A393" s="588"/>
      <c r="B393" s="588"/>
      <c r="C393" s="588"/>
      <c r="D393" s="588"/>
      <c r="E393" s="588"/>
      <c r="F393" s="588"/>
      <c r="G393" s="588"/>
      <c r="H393" s="588"/>
      <c r="I393" s="588"/>
      <c r="J393" s="588"/>
      <c r="K393" s="588"/>
      <c r="L393" s="702"/>
      <c r="M393" s="888"/>
      <c r="N393" s="888"/>
      <c r="O393" s="888"/>
      <c r="P393" s="888"/>
      <c r="Q393" s="888"/>
      <c r="R393" s="888"/>
      <c r="S393" s="888"/>
      <c r="T393" s="888"/>
      <c r="U393" s="888"/>
      <c r="V393" s="888"/>
      <c r="W393" s="888"/>
      <c r="X393" s="888"/>
      <c r="Y393" s="888"/>
      <c r="Z393" s="888"/>
      <c r="AA393" s="888"/>
      <c r="AB393" s="888"/>
      <c r="AC393" s="888"/>
      <c r="AD393" s="888"/>
      <c r="AE393" s="888"/>
      <c r="AF393" s="888"/>
      <c r="AG393" s="888"/>
      <c r="AH393" s="888"/>
      <c r="AI393" s="888"/>
      <c r="AJ393" s="888"/>
      <c r="AK393" s="888"/>
      <c r="AL393" s="888"/>
      <c r="AM393" s="888"/>
      <c r="AN393" s="888"/>
      <c r="AO393" s="888"/>
      <c r="AP393" s="888"/>
      <c r="AQ393" s="888"/>
      <c r="AR393" s="888"/>
      <c r="AS393" s="888"/>
      <c r="AT393" s="888"/>
      <c r="AU393" s="888"/>
      <c r="AV393" s="888"/>
      <c r="AW393" s="888"/>
      <c r="AX393" s="888"/>
      <c r="AY393" s="888"/>
      <c r="AZ393" s="567"/>
      <c r="BA393" s="567"/>
      <c r="BB393" s="567"/>
      <c r="BC393" s="567"/>
      <c r="BD393" s="567"/>
      <c r="BE393" s="567"/>
      <c r="BF393" s="567"/>
      <c r="BG393" s="567"/>
      <c r="BH393" s="567"/>
      <c r="BI393" s="567"/>
      <c r="BJ393" s="567"/>
      <c r="BK393" s="567"/>
      <c r="BL393" s="567"/>
      <c r="BM393" s="567"/>
      <c r="BN393" s="567"/>
      <c r="BO393" s="567"/>
      <c r="BP393" s="567"/>
      <c r="BQ393" s="567"/>
      <c r="BR393" s="567"/>
      <c r="BS393" s="567"/>
      <c r="BT393" s="567"/>
      <c r="BU393" s="567"/>
      <c r="BV393" s="567"/>
      <c r="BW393" s="567"/>
      <c r="BX393" s="567"/>
      <c r="BY393" s="567"/>
      <c r="BZ393" s="567"/>
      <c r="CA393" s="567"/>
      <c r="CB393" s="567"/>
      <c r="CC393" s="567"/>
      <c r="CD393" s="567"/>
      <c r="CE393" s="567"/>
      <c r="CF393" s="567"/>
      <c r="CG393" s="567"/>
      <c r="CH393" s="567"/>
      <c r="CI393" s="567"/>
      <c r="CJ393" s="567"/>
      <c r="CK393" s="567"/>
      <c r="CL393" s="567"/>
      <c r="CM393" s="567"/>
      <c r="CN393" s="567"/>
      <c r="CO393" s="567"/>
      <c r="CP393" s="567"/>
      <c r="CQ393" s="567"/>
      <c r="CR393" s="567"/>
      <c r="CS393" s="567"/>
      <c r="CT393" s="567"/>
      <c r="CU393" s="567"/>
      <c r="CV393" s="567"/>
      <c r="CW393" s="567"/>
      <c r="CX393" s="567"/>
      <c r="CY393" s="567"/>
      <c r="CZ393" s="567"/>
      <c r="DA393" s="567"/>
      <c r="DB393" s="567"/>
      <c r="DC393" s="567"/>
      <c r="DD393" s="567"/>
      <c r="DE393" s="567"/>
      <c r="DF393" s="567"/>
      <c r="DG393" s="567"/>
      <c r="DH393" s="567"/>
      <c r="DI393" s="567"/>
      <c r="DJ393" s="567"/>
      <c r="DK393" s="567"/>
      <c r="DL393" s="567"/>
      <c r="DM393" s="567"/>
      <c r="DN393" s="567"/>
      <c r="DO393" s="567"/>
      <c r="DP393" s="567"/>
      <c r="DQ393" s="567"/>
    </row>
    <row r="394" spans="1:121" s="487" customFormat="1">
      <c r="A394" s="588"/>
      <c r="B394" s="588"/>
      <c r="C394" s="588"/>
      <c r="D394" s="588"/>
      <c r="E394" s="588"/>
      <c r="F394" s="588"/>
      <c r="G394" s="588"/>
      <c r="H394" s="588"/>
      <c r="I394" s="588"/>
      <c r="J394" s="588"/>
      <c r="K394" s="588"/>
      <c r="L394" s="702"/>
      <c r="M394" s="888"/>
      <c r="N394" s="888"/>
      <c r="O394" s="888"/>
      <c r="P394" s="888"/>
      <c r="Q394" s="888"/>
      <c r="R394" s="888"/>
      <c r="S394" s="888"/>
      <c r="T394" s="888"/>
      <c r="U394" s="888"/>
      <c r="V394" s="888"/>
      <c r="W394" s="888"/>
      <c r="X394" s="888"/>
      <c r="Y394" s="888"/>
      <c r="Z394" s="888"/>
      <c r="AA394" s="888"/>
      <c r="AB394" s="888"/>
      <c r="AC394" s="888"/>
      <c r="AD394" s="888"/>
      <c r="AE394" s="888"/>
      <c r="AF394" s="888"/>
      <c r="AG394" s="888"/>
      <c r="AH394" s="888"/>
      <c r="AI394" s="888"/>
      <c r="AJ394" s="888"/>
      <c r="AK394" s="888"/>
      <c r="AL394" s="888"/>
      <c r="AM394" s="888"/>
      <c r="AN394" s="888"/>
      <c r="AO394" s="888"/>
      <c r="AP394" s="888"/>
      <c r="AQ394" s="888"/>
      <c r="AR394" s="888"/>
      <c r="AS394" s="888"/>
      <c r="AT394" s="888"/>
      <c r="AU394" s="888"/>
      <c r="AV394" s="888"/>
      <c r="AW394" s="888"/>
      <c r="AX394" s="888"/>
      <c r="AY394" s="888"/>
      <c r="AZ394" s="567"/>
      <c r="BA394" s="567"/>
      <c r="BB394" s="567"/>
      <c r="BC394" s="567"/>
      <c r="BD394" s="567"/>
      <c r="BE394" s="567"/>
      <c r="BF394" s="567"/>
      <c r="BG394" s="567"/>
      <c r="BH394" s="567"/>
      <c r="BI394" s="567"/>
      <c r="BJ394" s="567"/>
      <c r="BK394" s="567"/>
      <c r="BL394" s="567"/>
      <c r="BM394" s="567"/>
      <c r="BN394" s="567"/>
      <c r="BO394" s="567"/>
      <c r="BP394" s="567"/>
      <c r="BQ394" s="567"/>
      <c r="BR394" s="567"/>
      <c r="BS394" s="567"/>
      <c r="BT394" s="567"/>
      <c r="BU394" s="567"/>
      <c r="BV394" s="567"/>
      <c r="BW394" s="567"/>
      <c r="BX394" s="567"/>
      <c r="BY394" s="567"/>
      <c r="BZ394" s="567"/>
      <c r="CA394" s="567"/>
      <c r="CB394" s="567"/>
      <c r="CC394" s="567"/>
      <c r="CD394" s="567"/>
      <c r="CE394" s="567"/>
      <c r="CF394" s="567"/>
      <c r="CG394" s="567"/>
      <c r="CH394" s="567"/>
      <c r="CI394" s="567"/>
      <c r="CJ394" s="567"/>
      <c r="CK394" s="567"/>
      <c r="CL394" s="567"/>
      <c r="CM394" s="567"/>
      <c r="CN394" s="567"/>
      <c r="CO394" s="567"/>
      <c r="CP394" s="567"/>
      <c r="CQ394" s="567"/>
      <c r="CR394" s="567"/>
      <c r="CS394" s="567"/>
      <c r="CT394" s="567"/>
      <c r="CU394" s="567"/>
      <c r="CV394" s="567"/>
      <c r="CW394" s="567"/>
      <c r="CX394" s="567"/>
      <c r="CY394" s="567"/>
      <c r="CZ394" s="567"/>
      <c r="DA394" s="567"/>
      <c r="DB394" s="567"/>
      <c r="DC394" s="567"/>
      <c r="DD394" s="567"/>
      <c r="DE394" s="567"/>
      <c r="DF394" s="567"/>
      <c r="DG394" s="567"/>
      <c r="DH394" s="567"/>
      <c r="DI394" s="567"/>
      <c r="DJ394" s="567"/>
      <c r="DK394" s="567"/>
      <c r="DL394" s="567"/>
      <c r="DM394" s="567"/>
      <c r="DN394" s="567"/>
      <c r="DO394" s="567"/>
      <c r="DP394" s="567"/>
      <c r="DQ394" s="567"/>
    </row>
    <row r="395" spans="1:121" s="487" customFormat="1">
      <c r="A395" s="588"/>
      <c r="B395" s="588"/>
      <c r="C395" s="588"/>
      <c r="D395" s="588"/>
      <c r="E395" s="588"/>
      <c r="F395" s="588"/>
      <c r="G395" s="588"/>
      <c r="H395" s="588"/>
      <c r="I395" s="588"/>
      <c r="J395" s="588"/>
      <c r="K395" s="588"/>
      <c r="L395" s="702"/>
      <c r="M395" s="888"/>
      <c r="N395" s="888"/>
      <c r="O395" s="888"/>
      <c r="P395" s="888"/>
      <c r="Q395" s="888"/>
      <c r="R395" s="888"/>
      <c r="S395" s="888"/>
      <c r="T395" s="888"/>
      <c r="U395" s="888"/>
      <c r="V395" s="888"/>
      <c r="W395" s="888"/>
      <c r="X395" s="888"/>
      <c r="Y395" s="888"/>
      <c r="Z395" s="888"/>
      <c r="AA395" s="888"/>
      <c r="AB395" s="888"/>
      <c r="AC395" s="888"/>
      <c r="AD395" s="888"/>
      <c r="AE395" s="888"/>
      <c r="AF395" s="888"/>
      <c r="AG395" s="888"/>
      <c r="AH395" s="888"/>
      <c r="AI395" s="888"/>
      <c r="AJ395" s="888"/>
      <c r="AK395" s="888"/>
      <c r="AL395" s="888"/>
      <c r="AM395" s="888"/>
      <c r="AN395" s="888"/>
      <c r="AO395" s="888"/>
      <c r="AP395" s="888"/>
      <c r="AQ395" s="888"/>
      <c r="AR395" s="888"/>
      <c r="AS395" s="888"/>
      <c r="AT395" s="888"/>
      <c r="AU395" s="888"/>
      <c r="AV395" s="888"/>
      <c r="AW395" s="888"/>
      <c r="AX395" s="888"/>
      <c r="AY395" s="888"/>
      <c r="AZ395" s="567"/>
      <c r="BA395" s="567"/>
      <c r="BB395" s="567"/>
      <c r="BC395" s="567"/>
      <c r="BD395" s="567"/>
      <c r="BE395" s="567"/>
      <c r="BF395" s="567"/>
      <c r="BG395" s="567"/>
      <c r="BH395" s="567"/>
      <c r="BI395" s="567"/>
      <c r="BJ395" s="567"/>
      <c r="BK395" s="567"/>
      <c r="BL395" s="567"/>
      <c r="BM395" s="567"/>
      <c r="BN395" s="567"/>
      <c r="BO395" s="567"/>
      <c r="BP395" s="567"/>
      <c r="BQ395" s="567"/>
      <c r="BR395" s="567"/>
      <c r="BS395" s="567"/>
      <c r="BT395" s="567"/>
      <c r="BU395" s="567"/>
      <c r="BV395" s="567"/>
      <c r="BW395" s="567"/>
      <c r="BX395" s="567"/>
      <c r="BY395" s="567"/>
      <c r="BZ395" s="567"/>
      <c r="CA395" s="567"/>
      <c r="CB395" s="567"/>
      <c r="CC395" s="567"/>
      <c r="CD395" s="567"/>
      <c r="CE395" s="567"/>
      <c r="CF395" s="567"/>
      <c r="CG395" s="567"/>
      <c r="CH395" s="567"/>
      <c r="CI395" s="567"/>
      <c r="CJ395" s="567"/>
      <c r="CK395" s="567"/>
      <c r="CL395" s="567"/>
      <c r="CM395" s="567"/>
      <c r="CN395" s="567"/>
      <c r="CO395" s="567"/>
      <c r="CP395" s="567"/>
      <c r="CQ395" s="567"/>
      <c r="CR395" s="567"/>
      <c r="CS395" s="567"/>
      <c r="CT395" s="567"/>
      <c r="CU395" s="567"/>
      <c r="CV395" s="567"/>
      <c r="CW395" s="567"/>
      <c r="CX395" s="567"/>
      <c r="CY395" s="567"/>
      <c r="CZ395" s="567"/>
      <c r="DA395" s="567"/>
      <c r="DB395" s="567"/>
      <c r="DC395" s="567"/>
      <c r="DD395" s="567"/>
      <c r="DE395" s="567"/>
      <c r="DF395" s="567"/>
      <c r="DG395" s="567"/>
      <c r="DH395" s="567"/>
      <c r="DI395" s="567"/>
      <c r="DJ395" s="567"/>
      <c r="DK395" s="567"/>
      <c r="DL395" s="567"/>
      <c r="DM395" s="567"/>
      <c r="DN395" s="567"/>
      <c r="DO395" s="567"/>
      <c r="DP395" s="567"/>
      <c r="DQ395" s="567"/>
    </row>
    <row r="396" spans="1:121" s="487" customFormat="1">
      <c r="A396" s="588"/>
      <c r="B396" s="588"/>
      <c r="C396" s="588"/>
      <c r="D396" s="588"/>
      <c r="E396" s="588"/>
      <c r="F396" s="588"/>
      <c r="G396" s="588"/>
      <c r="H396" s="588"/>
      <c r="I396" s="588"/>
      <c r="J396" s="588"/>
      <c r="K396" s="588"/>
      <c r="L396" s="702"/>
      <c r="M396" s="888"/>
      <c r="N396" s="888"/>
      <c r="O396" s="888"/>
      <c r="P396" s="888"/>
      <c r="Q396" s="888"/>
      <c r="R396" s="888"/>
      <c r="S396" s="888"/>
      <c r="T396" s="888"/>
      <c r="U396" s="888"/>
      <c r="V396" s="888"/>
      <c r="W396" s="888"/>
      <c r="X396" s="888"/>
      <c r="Y396" s="888"/>
      <c r="Z396" s="888"/>
      <c r="AA396" s="888"/>
      <c r="AB396" s="888"/>
      <c r="AC396" s="888"/>
      <c r="AD396" s="888"/>
      <c r="AE396" s="888"/>
      <c r="AF396" s="888"/>
      <c r="AG396" s="888"/>
      <c r="AH396" s="888"/>
      <c r="AI396" s="888"/>
      <c r="AJ396" s="888"/>
      <c r="AK396" s="888"/>
      <c r="AL396" s="888"/>
      <c r="AM396" s="888"/>
      <c r="AN396" s="888"/>
      <c r="AO396" s="888"/>
      <c r="AP396" s="888"/>
      <c r="AQ396" s="888"/>
      <c r="AR396" s="888"/>
      <c r="AS396" s="888"/>
      <c r="AT396" s="888"/>
      <c r="AU396" s="888"/>
      <c r="AV396" s="888"/>
      <c r="AW396" s="888"/>
      <c r="AX396" s="888"/>
      <c r="AY396" s="888"/>
      <c r="AZ396" s="567"/>
      <c r="BA396" s="567"/>
      <c r="BB396" s="567"/>
      <c r="BC396" s="567"/>
      <c r="BD396" s="567"/>
      <c r="BE396" s="567"/>
      <c r="BF396" s="567"/>
      <c r="BG396" s="567"/>
      <c r="BH396" s="567"/>
      <c r="BI396" s="567"/>
      <c r="BJ396" s="567"/>
      <c r="BK396" s="567"/>
      <c r="BL396" s="567"/>
      <c r="BM396" s="567"/>
      <c r="BN396" s="567"/>
      <c r="BO396" s="567"/>
      <c r="BP396" s="567"/>
      <c r="BQ396" s="567"/>
      <c r="BR396" s="567"/>
      <c r="BS396" s="567"/>
      <c r="BT396" s="567"/>
      <c r="BU396" s="567"/>
      <c r="BV396" s="567"/>
      <c r="BW396" s="567"/>
      <c r="BX396" s="567"/>
      <c r="BY396" s="567"/>
      <c r="BZ396" s="567"/>
      <c r="CA396" s="567"/>
      <c r="CB396" s="567"/>
      <c r="CC396" s="567"/>
      <c r="CD396" s="567"/>
      <c r="CE396" s="567"/>
      <c r="CF396" s="567"/>
      <c r="CG396" s="567"/>
      <c r="CH396" s="567"/>
      <c r="CI396" s="567"/>
      <c r="CJ396" s="567"/>
      <c r="CK396" s="567"/>
      <c r="CL396" s="567"/>
      <c r="CM396" s="567"/>
      <c r="CN396" s="567"/>
      <c r="CO396" s="567"/>
      <c r="CP396" s="567"/>
      <c r="CQ396" s="567"/>
      <c r="CR396" s="567"/>
      <c r="CS396" s="567"/>
      <c r="CT396" s="567"/>
      <c r="CU396" s="567"/>
      <c r="CV396" s="567"/>
      <c r="CW396" s="567"/>
      <c r="CX396" s="567"/>
      <c r="CY396" s="567"/>
      <c r="CZ396" s="567"/>
      <c r="DA396" s="567"/>
      <c r="DB396" s="567"/>
      <c r="DC396" s="567"/>
      <c r="DD396" s="567"/>
      <c r="DE396" s="567"/>
      <c r="DF396" s="567"/>
      <c r="DG396" s="567"/>
      <c r="DH396" s="567"/>
      <c r="DI396" s="567"/>
      <c r="DJ396" s="567"/>
      <c r="DK396" s="567"/>
      <c r="DL396" s="567"/>
      <c r="DM396" s="567"/>
      <c r="DN396" s="567"/>
      <c r="DO396" s="567"/>
      <c r="DP396" s="567"/>
      <c r="DQ396" s="567"/>
    </row>
    <row r="397" spans="1:121" s="487" customFormat="1">
      <c r="A397" s="588"/>
      <c r="B397" s="588"/>
      <c r="C397" s="588"/>
      <c r="D397" s="588"/>
      <c r="E397" s="588"/>
      <c r="F397" s="588"/>
      <c r="G397" s="588"/>
      <c r="H397" s="588"/>
      <c r="I397" s="588"/>
      <c r="J397" s="588"/>
      <c r="K397" s="588"/>
      <c r="L397" s="702"/>
      <c r="M397" s="888"/>
      <c r="N397" s="888"/>
      <c r="O397" s="888"/>
      <c r="P397" s="888"/>
      <c r="Q397" s="888"/>
      <c r="R397" s="888"/>
      <c r="S397" s="888"/>
      <c r="T397" s="888"/>
      <c r="U397" s="888"/>
      <c r="V397" s="888"/>
      <c r="W397" s="888"/>
      <c r="X397" s="888"/>
      <c r="Y397" s="888"/>
      <c r="Z397" s="888"/>
      <c r="AA397" s="888"/>
      <c r="AB397" s="888"/>
      <c r="AC397" s="888"/>
      <c r="AD397" s="888"/>
      <c r="AE397" s="888"/>
      <c r="AF397" s="888"/>
      <c r="AG397" s="888"/>
      <c r="AH397" s="888"/>
      <c r="AI397" s="888"/>
      <c r="AJ397" s="888"/>
      <c r="AK397" s="888"/>
      <c r="AL397" s="888"/>
      <c r="AM397" s="888"/>
      <c r="AN397" s="888"/>
      <c r="AO397" s="888"/>
      <c r="AP397" s="888"/>
      <c r="AQ397" s="888"/>
      <c r="AR397" s="888"/>
      <c r="AS397" s="888"/>
      <c r="AT397" s="888"/>
      <c r="AU397" s="888"/>
      <c r="AV397" s="888"/>
      <c r="AW397" s="888"/>
      <c r="AX397" s="888"/>
      <c r="AY397" s="888"/>
      <c r="AZ397" s="567"/>
      <c r="BA397" s="567"/>
      <c r="BB397" s="567"/>
      <c r="BC397" s="567"/>
      <c r="BD397" s="567"/>
      <c r="BE397" s="567"/>
      <c r="BF397" s="567"/>
      <c r="BG397" s="567"/>
      <c r="BH397" s="567"/>
      <c r="BI397" s="567"/>
      <c r="BJ397" s="567"/>
      <c r="BK397" s="567"/>
      <c r="BL397" s="567"/>
      <c r="BM397" s="567"/>
      <c r="BN397" s="567"/>
      <c r="BO397" s="567"/>
      <c r="BP397" s="567"/>
      <c r="BQ397" s="567"/>
      <c r="BR397" s="567"/>
      <c r="BS397" s="567"/>
      <c r="BT397" s="567"/>
      <c r="BU397" s="567"/>
      <c r="BV397" s="567"/>
      <c r="BW397" s="567"/>
      <c r="BX397" s="567"/>
      <c r="BY397" s="567"/>
      <c r="BZ397" s="567"/>
      <c r="CA397" s="567"/>
      <c r="CB397" s="567"/>
      <c r="CC397" s="567"/>
      <c r="CD397" s="567"/>
      <c r="CE397" s="567"/>
      <c r="CF397" s="567"/>
      <c r="CG397" s="567"/>
      <c r="CH397" s="567"/>
      <c r="CI397" s="567"/>
      <c r="CJ397" s="567"/>
      <c r="CK397" s="567"/>
      <c r="CL397" s="567"/>
      <c r="CM397" s="567"/>
      <c r="CN397" s="567"/>
      <c r="CO397" s="567"/>
      <c r="CP397" s="567"/>
      <c r="CQ397" s="567"/>
      <c r="CR397" s="567"/>
      <c r="CS397" s="567"/>
      <c r="CT397" s="567"/>
      <c r="CU397" s="567"/>
      <c r="CV397" s="567"/>
      <c r="CW397" s="567"/>
      <c r="CX397" s="567"/>
      <c r="CY397" s="567"/>
      <c r="CZ397" s="567"/>
      <c r="DA397" s="567"/>
      <c r="DB397" s="567"/>
      <c r="DC397" s="567"/>
      <c r="DD397" s="567"/>
      <c r="DE397" s="567"/>
      <c r="DF397" s="567"/>
      <c r="DG397" s="567"/>
      <c r="DH397" s="567"/>
      <c r="DI397" s="567"/>
      <c r="DJ397" s="567"/>
      <c r="DK397" s="567"/>
      <c r="DL397" s="567"/>
      <c r="DM397" s="567"/>
      <c r="DN397" s="567"/>
      <c r="DO397" s="567"/>
      <c r="DP397" s="567"/>
      <c r="DQ397" s="567"/>
    </row>
    <row r="398" spans="1:121" s="487" customFormat="1">
      <c r="A398" s="588"/>
      <c r="B398" s="588"/>
      <c r="C398" s="588"/>
      <c r="D398" s="588"/>
      <c r="E398" s="588"/>
      <c r="F398" s="588"/>
      <c r="G398" s="588"/>
      <c r="H398" s="588"/>
      <c r="I398" s="588"/>
      <c r="J398" s="588"/>
      <c r="K398" s="588"/>
      <c r="L398" s="702"/>
      <c r="M398" s="888"/>
      <c r="N398" s="888"/>
      <c r="O398" s="888"/>
      <c r="P398" s="888"/>
      <c r="Q398" s="888"/>
      <c r="R398" s="888"/>
      <c r="S398" s="888"/>
      <c r="T398" s="888"/>
      <c r="U398" s="888"/>
      <c r="V398" s="888"/>
      <c r="W398" s="888"/>
      <c r="X398" s="888"/>
      <c r="Y398" s="888"/>
      <c r="Z398" s="888"/>
      <c r="AA398" s="888"/>
      <c r="AB398" s="888"/>
      <c r="AC398" s="888"/>
      <c r="AD398" s="888"/>
      <c r="AE398" s="888"/>
      <c r="AF398" s="888"/>
      <c r="AG398" s="888"/>
      <c r="AH398" s="888"/>
      <c r="AI398" s="888"/>
      <c r="AJ398" s="888"/>
      <c r="AK398" s="888"/>
      <c r="AL398" s="888"/>
      <c r="AM398" s="888"/>
      <c r="AN398" s="888"/>
      <c r="AO398" s="888"/>
      <c r="AP398" s="888"/>
      <c r="AQ398" s="888"/>
      <c r="AR398" s="888"/>
      <c r="AS398" s="888"/>
      <c r="AT398" s="888"/>
      <c r="AU398" s="888"/>
      <c r="AV398" s="888"/>
      <c r="AW398" s="888"/>
      <c r="AX398" s="888"/>
      <c r="AY398" s="888"/>
      <c r="AZ398" s="567"/>
      <c r="BA398" s="567"/>
      <c r="BB398" s="567"/>
      <c r="BC398" s="567"/>
      <c r="BD398" s="567"/>
      <c r="BE398" s="567"/>
      <c r="BF398" s="567"/>
      <c r="BG398" s="567"/>
      <c r="BH398" s="567"/>
      <c r="BI398" s="567"/>
      <c r="BJ398" s="567"/>
      <c r="BK398" s="567"/>
      <c r="BL398" s="567"/>
      <c r="BM398" s="567"/>
      <c r="BN398" s="567"/>
      <c r="BO398" s="567"/>
      <c r="BP398" s="567"/>
      <c r="BQ398" s="567"/>
      <c r="BR398" s="567"/>
      <c r="BS398" s="567"/>
      <c r="BT398" s="567"/>
      <c r="BU398" s="567"/>
      <c r="BV398" s="567"/>
      <c r="BW398" s="567"/>
      <c r="BX398" s="567"/>
      <c r="BY398" s="567"/>
      <c r="BZ398" s="567"/>
      <c r="CA398" s="567"/>
      <c r="CB398" s="567"/>
      <c r="CC398" s="567"/>
      <c r="CD398" s="567"/>
      <c r="CE398" s="567"/>
      <c r="CF398" s="567"/>
      <c r="CG398" s="567"/>
      <c r="CH398" s="567"/>
      <c r="CI398" s="567"/>
      <c r="CJ398" s="567"/>
      <c r="CK398" s="567"/>
      <c r="CL398" s="567"/>
      <c r="CM398" s="567"/>
      <c r="CN398" s="567"/>
      <c r="CO398" s="567"/>
      <c r="CP398" s="567"/>
      <c r="CQ398" s="567"/>
      <c r="CR398" s="567"/>
      <c r="CS398" s="567"/>
      <c r="CT398" s="567"/>
      <c r="CU398" s="567"/>
      <c r="CV398" s="567"/>
      <c r="CW398" s="567"/>
      <c r="CX398" s="567"/>
      <c r="CY398" s="567"/>
      <c r="CZ398" s="567"/>
      <c r="DA398" s="567"/>
      <c r="DB398" s="567"/>
      <c r="DC398" s="567"/>
      <c r="DD398" s="567"/>
      <c r="DE398" s="567"/>
      <c r="DF398" s="567"/>
      <c r="DG398" s="567"/>
      <c r="DH398" s="567"/>
      <c r="DI398" s="567"/>
      <c r="DJ398" s="567"/>
      <c r="DK398" s="567"/>
      <c r="DL398" s="567"/>
      <c r="DM398" s="567"/>
      <c r="DN398" s="567"/>
      <c r="DO398" s="567"/>
      <c r="DP398" s="567"/>
      <c r="DQ398" s="567"/>
    </row>
    <row r="399" spans="1:121" s="487" customFormat="1">
      <c r="A399" s="588"/>
      <c r="B399" s="588"/>
      <c r="C399" s="588"/>
      <c r="D399" s="588"/>
      <c r="E399" s="588"/>
      <c r="F399" s="588"/>
      <c r="G399" s="588"/>
      <c r="H399" s="588"/>
      <c r="I399" s="588"/>
      <c r="J399" s="588"/>
      <c r="K399" s="588"/>
      <c r="L399" s="702"/>
      <c r="M399" s="888"/>
      <c r="N399" s="888"/>
      <c r="O399" s="888"/>
      <c r="P399" s="888"/>
      <c r="Q399" s="888"/>
      <c r="R399" s="888"/>
      <c r="S399" s="888"/>
      <c r="T399" s="888"/>
      <c r="U399" s="888"/>
      <c r="V399" s="888"/>
      <c r="W399" s="888"/>
      <c r="X399" s="888"/>
      <c r="Y399" s="888"/>
      <c r="Z399" s="888"/>
      <c r="AA399" s="888"/>
      <c r="AB399" s="888"/>
      <c r="AC399" s="888"/>
      <c r="AD399" s="888"/>
      <c r="AE399" s="888"/>
      <c r="AF399" s="888"/>
      <c r="AG399" s="888"/>
      <c r="AH399" s="888"/>
      <c r="AI399" s="888"/>
      <c r="AJ399" s="888"/>
      <c r="AK399" s="888"/>
      <c r="AL399" s="888"/>
      <c r="AM399" s="888"/>
      <c r="AN399" s="888"/>
      <c r="AO399" s="888"/>
      <c r="AP399" s="888"/>
      <c r="AQ399" s="888"/>
      <c r="AR399" s="888"/>
      <c r="AS399" s="888"/>
      <c r="AT399" s="888"/>
      <c r="AU399" s="888"/>
      <c r="AV399" s="888"/>
      <c r="AW399" s="888"/>
      <c r="AX399" s="888"/>
      <c r="AY399" s="888"/>
      <c r="AZ399" s="567"/>
      <c r="BA399" s="567"/>
      <c r="BB399" s="567"/>
      <c r="BC399" s="567"/>
      <c r="BD399" s="567"/>
      <c r="BE399" s="567"/>
      <c r="BF399" s="567"/>
      <c r="BG399" s="567"/>
      <c r="BH399" s="567"/>
      <c r="BI399" s="567"/>
      <c r="BJ399" s="567"/>
      <c r="BK399" s="567"/>
      <c r="BL399" s="567"/>
      <c r="BM399" s="567"/>
      <c r="BN399" s="567"/>
      <c r="BO399" s="567"/>
      <c r="BP399" s="567"/>
      <c r="BQ399" s="567"/>
      <c r="BR399" s="567"/>
      <c r="BS399" s="567"/>
      <c r="BT399" s="567"/>
      <c r="BU399" s="567"/>
      <c r="BV399" s="567"/>
      <c r="BW399" s="567"/>
      <c r="BX399" s="567"/>
      <c r="BY399" s="567"/>
      <c r="BZ399" s="567"/>
      <c r="CA399" s="567"/>
      <c r="CB399" s="567"/>
      <c r="CC399" s="567"/>
      <c r="CD399" s="567"/>
      <c r="CE399" s="567"/>
      <c r="CF399" s="567"/>
      <c r="CG399" s="567"/>
      <c r="CH399" s="567"/>
      <c r="CI399" s="567"/>
      <c r="CJ399" s="567"/>
      <c r="CK399" s="567"/>
      <c r="CL399" s="567"/>
      <c r="CM399" s="567"/>
      <c r="CN399" s="567"/>
      <c r="CO399" s="567"/>
      <c r="CP399" s="567"/>
      <c r="CQ399" s="567"/>
      <c r="CR399" s="567"/>
      <c r="CS399" s="567"/>
      <c r="CT399" s="567"/>
      <c r="CU399" s="567"/>
      <c r="CV399" s="567"/>
      <c r="CW399" s="567"/>
      <c r="CX399" s="567"/>
      <c r="CY399" s="567"/>
      <c r="CZ399" s="567"/>
      <c r="DA399" s="567"/>
      <c r="DB399" s="567"/>
      <c r="DC399" s="567"/>
      <c r="DD399" s="567"/>
      <c r="DE399" s="567"/>
      <c r="DF399" s="567"/>
      <c r="DG399" s="567"/>
      <c r="DH399" s="567"/>
      <c r="DI399" s="567"/>
      <c r="DJ399" s="567"/>
      <c r="DK399" s="567"/>
      <c r="DL399" s="567"/>
      <c r="DM399" s="567"/>
      <c r="DN399" s="567"/>
      <c r="DO399" s="567"/>
      <c r="DP399" s="567"/>
      <c r="DQ399" s="567"/>
    </row>
    <row r="400" spans="1:121" s="487" customFormat="1">
      <c r="A400" s="588"/>
      <c r="B400" s="588"/>
      <c r="C400" s="588"/>
      <c r="D400" s="588"/>
      <c r="E400" s="588"/>
      <c r="F400" s="588"/>
      <c r="G400" s="588"/>
      <c r="H400" s="588"/>
      <c r="I400" s="588"/>
      <c r="J400" s="588"/>
      <c r="K400" s="588"/>
      <c r="L400" s="702"/>
      <c r="M400" s="888"/>
      <c r="N400" s="888"/>
      <c r="O400" s="888"/>
      <c r="P400" s="888"/>
      <c r="Q400" s="888"/>
      <c r="R400" s="888"/>
      <c r="S400" s="888"/>
      <c r="T400" s="888"/>
      <c r="U400" s="888"/>
      <c r="V400" s="888"/>
      <c r="W400" s="888"/>
      <c r="X400" s="888"/>
      <c r="Y400" s="888"/>
      <c r="Z400" s="888"/>
      <c r="AA400" s="888"/>
      <c r="AB400" s="888"/>
      <c r="AC400" s="888"/>
      <c r="AD400" s="888"/>
      <c r="AE400" s="888"/>
      <c r="AF400" s="888"/>
      <c r="AG400" s="888"/>
      <c r="AH400" s="888"/>
      <c r="AI400" s="888"/>
      <c r="AJ400" s="888"/>
      <c r="AK400" s="888"/>
      <c r="AL400" s="888"/>
      <c r="AM400" s="888"/>
      <c r="AN400" s="888"/>
      <c r="AO400" s="888"/>
      <c r="AP400" s="888"/>
      <c r="AQ400" s="888"/>
      <c r="AR400" s="888"/>
      <c r="AS400" s="888"/>
      <c r="AT400" s="888"/>
      <c r="AU400" s="888"/>
      <c r="AV400" s="888"/>
      <c r="AW400" s="888"/>
      <c r="AX400" s="888"/>
      <c r="AY400" s="888"/>
      <c r="AZ400" s="567"/>
      <c r="BA400" s="567"/>
      <c r="BB400" s="567"/>
      <c r="BC400" s="567"/>
      <c r="BD400" s="567"/>
      <c r="BE400" s="567"/>
      <c r="BF400" s="567"/>
      <c r="BG400" s="567"/>
      <c r="BH400" s="567"/>
      <c r="BI400" s="567"/>
      <c r="BJ400" s="567"/>
      <c r="BK400" s="567"/>
      <c r="BL400" s="567"/>
      <c r="BM400" s="567"/>
      <c r="BN400" s="567"/>
      <c r="BO400" s="567"/>
      <c r="BP400" s="567"/>
      <c r="BQ400" s="567"/>
      <c r="BR400" s="567"/>
      <c r="BS400" s="567"/>
      <c r="BT400" s="567"/>
      <c r="BU400" s="567"/>
      <c r="BV400" s="567"/>
      <c r="BW400" s="567"/>
      <c r="BX400" s="567"/>
      <c r="BY400" s="567"/>
      <c r="BZ400" s="567"/>
      <c r="CA400" s="567"/>
      <c r="CB400" s="567"/>
      <c r="CC400" s="567"/>
      <c r="CD400" s="567"/>
      <c r="CE400" s="567"/>
      <c r="CF400" s="567"/>
      <c r="CG400" s="567"/>
      <c r="CH400" s="567"/>
      <c r="CI400" s="567"/>
      <c r="CJ400" s="567"/>
      <c r="CK400" s="567"/>
      <c r="CL400" s="567"/>
      <c r="CM400" s="567"/>
      <c r="CN400" s="567"/>
      <c r="CO400" s="567"/>
      <c r="CP400" s="567"/>
      <c r="CQ400" s="567"/>
      <c r="CR400" s="567"/>
      <c r="CS400" s="567"/>
      <c r="CT400" s="567"/>
      <c r="CU400" s="567"/>
      <c r="CV400" s="567"/>
      <c r="CW400" s="567"/>
      <c r="CX400" s="567"/>
      <c r="CY400" s="567"/>
      <c r="CZ400" s="567"/>
      <c r="DA400" s="567"/>
      <c r="DB400" s="567"/>
      <c r="DC400" s="567"/>
      <c r="DD400" s="567"/>
      <c r="DE400" s="567"/>
      <c r="DF400" s="567"/>
      <c r="DG400" s="567"/>
      <c r="DH400" s="567"/>
      <c r="DI400" s="567"/>
      <c r="DJ400" s="567"/>
      <c r="DK400" s="567"/>
      <c r="DL400" s="567"/>
      <c r="DM400" s="567"/>
      <c r="DN400" s="567"/>
      <c r="DO400" s="567"/>
      <c r="DP400" s="567"/>
      <c r="DQ400" s="567"/>
    </row>
    <row r="401" spans="1:121" s="487" customFormat="1">
      <c r="A401" s="588"/>
      <c r="B401" s="588"/>
      <c r="C401" s="588"/>
      <c r="D401" s="588"/>
      <c r="E401" s="588"/>
      <c r="F401" s="588"/>
      <c r="G401" s="588"/>
      <c r="H401" s="588"/>
      <c r="I401" s="588"/>
      <c r="J401" s="588"/>
      <c r="K401" s="588"/>
      <c r="L401" s="702"/>
      <c r="M401" s="888"/>
      <c r="N401" s="888"/>
      <c r="O401" s="888"/>
      <c r="P401" s="888"/>
      <c r="Q401" s="888"/>
      <c r="R401" s="888"/>
      <c r="S401" s="888"/>
      <c r="T401" s="888"/>
      <c r="U401" s="888"/>
      <c r="V401" s="888"/>
      <c r="W401" s="888"/>
      <c r="X401" s="888"/>
      <c r="Y401" s="888"/>
      <c r="Z401" s="888"/>
      <c r="AA401" s="888"/>
      <c r="AB401" s="888"/>
      <c r="AC401" s="888"/>
      <c r="AD401" s="888"/>
      <c r="AE401" s="888"/>
      <c r="AF401" s="888"/>
      <c r="AG401" s="888"/>
      <c r="AH401" s="888"/>
      <c r="AI401" s="888"/>
      <c r="AJ401" s="888"/>
      <c r="AK401" s="888"/>
      <c r="AL401" s="888"/>
      <c r="AM401" s="888"/>
      <c r="AN401" s="888"/>
      <c r="AO401" s="888"/>
      <c r="AP401" s="888"/>
      <c r="AQ401" s="888"/>
      <c r="AR401" s="888"/>
      <c r="AS401" s="888"/>
      <c r="AT401" s="888"/>
      <c r="AU401" s="888"/>
      <c r="AV401" s="888"/>
      <c r="AW401" s="888"/>
      <c r="AX401" s="888"/>
      <c r="AY401" s="888"/>
      <c r="AZ401" s="567"/>
      <c r="BA401" s="567"/>
      <c r="BB401" s="567"/>
      <c r="BC401" s="567"/>
      <c r="BD401" s="567"/>
      <c r="BE401" s="567"/>
      <c r="BF401" s="567"/>
      <c r="BG401" s="567"/>
      <c r="BH401" s="567"/>
      <c r="BI401" s="567"/>
      <c r="BJ401" s="567"/>
      <c r="BK401" s="567"/>
      <c r="BL401" s="567"/>
      <c r="BM401" s="567"/>
      <c r="BN401" s="567"/>
      <c r="BO401" s="567"/>
      <c r="BP401" s="567"/>
      <c r="BQ401" s="567"/>
      <c r="BR401" s="567"/>
      <c r="BS401" s="567"/>
      <c r="BT401" s="567"/>
      <c r="BU401" s="567"/>
      <c r="BV401" s="567"/>
      <c r="BW401" s="567"/>
      <c r="BX401" s="567"/>
      <c r="BY401" s="567"/>
      <c r="BZ401" s="567"/>
      <c r="CA401" s="567"/>
      <c r="CB401" s="567"/>
      <c r="CC401" s="567"/>
      <c r="CD401" s="567"/>
      <c r="CE401" s="567"/>
      <c r="CF401" s="567"/>
      <c r="CG401" s="567"/>
      <c r="CH401" s="567"/>
      <c r="CI401" s="567"/>
      <c r="CJ401" s="567"/>
      <c r="CK401" s="567"/>
      <c r="CL401" s="567"/>
      <c r="CM401" s="567"/>
      <c r="CN401" s="567"/>
      <c r="CO401" s="567"/>
      <c r="CP401" s="567"/>
      <c r="CQ401" s="567"/>
      <c r="CR401" s="567"/>
      <c r="CS401" s="567"/>
      <c r="CT401" s="567"/>
      <c r="CU401" s="567"/>
      <c r="CV401" s="567"/>
      <c r="CW401" s="567"/>
      <c r="CX401" s="567"/>
      <c r="CY401" s="567"/>
      <c r="CZ401" s="567"/>
      <c r="DA401" s="567"/>
      <c r="DB401" s="567"/>
      <c r="DC401" s="567"/>
      <c r="DD401" s="567"/>
      <c r="DE401" s="567"/>
      <c r="DF401" s="567"/>
      <c r="DG401" s="567"/>
      <c r="DH401" s="567"/>
      <c r="DI401" s="567"/>
      <c r="DJ401" s="567"/>
      <c r="DK401" s="567"/>
      <c r="DL401" s="567"/>
      <c r="DM401" s="567"/>
      <c r="DN401" s="567"/>
      <c r="DO401" s="567"/>
      <c r="DP401" s="567"/>
      <c r="DQ401" s="567"/>
    </row>
    <row r="402" spans="1:121" s="487" customFormat="1">
      <c r="A402" s="588"/>
      <c r="B402" s="588"/>
      <c r="C402" s="588"/>
      <c r="D402" s="588"/>
      <c r="E402" s="588"/>
      <c r="F402" s="588"/>
      <c r="G402" s="588"/>
      <c r="H402" s="588"/>
      <c r="I402" s="588"/>
      <c r="J402" s="588"/>
      <c r="K402" s="588"/>
      <c r="L402" s="702"/>
      <c r="M402" s="888"/>
      <c r="N402" s="888"/>
      <c r="O402" s="888"/>
      <c r="P402" s="888"/>
      <c r="Q402" s="888"/>
      <c r="R402" s="888"/>
      <c r="S402" s="888"/>
      <c r="T402" s="888"/>
      <c r="U402" s="888"/>
      <c r="V402" s="888"/>
      <c r="W402" s="888"/>
      <c r="X402" s="888"/>
      <c r="Y402" s="888"/>
      <c r="Z402" s="888"/>
      <c r="AA402" s="888"/>
      <c r="AB402" s="888"/>
      <c r="AC402" s="888"/>
      <c r="AD402" s="888"/>
      <c r="AE402" s="888"/>
      <c r="AF402" s="888"/>
      <c r="AG402" s="888"/>
      <c r="AH402" s="888"/>
      <c r="AI402" s="888"/>
      <c r="AJ402" s="888"/>
      <c r="AK402" s="888"/>
      <c r="AL402" s="888"/>
      <c r="AM402" s="888"/>
      <c r="AN402" s="888"/>
      <c r="AO402" s="888"/>
      <c r="AP402" s="888"/>
      <c r="AQ402" s="888"/>
      <c r="AR402" s="888"/>
      <c r="AS402" s="888"/>
      <c r="AT402" s="888"/>
      <c r="AU402" s="888"/>
      <c r="AV402" s="888"/>
      <c r="AW402" s="888"/>
      <c r="AX402" s="888"/>
      <c r="AY402" s="888"/>
      <c r="AZ402" s="567"/>
      <c r="BA402" s="567"/>
      <c r="BB402" s="567"/>
      <c r="BC402" s="567"/>
      <c r="BD402" s="567"/>
      <c r="BE402" s="567"/>
      <c r="BF402" s="567"/>
      <c r="BG402" s="567"/>
      <c r="BH402" s="567"/>
      <c r="BI402" s="567"/>
      <c r="BJ402" s="567"/>
      <c r="BK402" s="567"/>
      <c r="BL402" s="567"/>
      <c r="BM402" s="567"/>
      <c r="BN402" s="567"/>
      <c r="BO402" s="567"/>
      <c r="BP402" s="567"/>
      <c r="BQ402" s="567"/>
      <c r="BR402" s="567"/>
      <c r="BS402" s="567"/>
      <c r="BT402" s="567"/>
      <c r="BU402" s="567"/>
      <c r="BV402" s="567"/>
      <c r="BW402" s="567"/>
      <c r="BX402" s="567"/>
      <c r="BY402" s="567"/>
      <c r="BZ402" s="567"/>
      <c r="CA402" s="567"/>
      <c r="CB402" s="567"/>
      <c r="CC402" s="567"/>
      <c r="CD402" s="567"/>
      <c r="CE402" s="567"/>
      <c r="CF402" s="567"/>
      <c r="CG402" s="567"/>
      <c r="CH402" s="567"/>
      <c r="CI402" s="567"/>
      <c r="CJ402" s="567"/>
      <c r="CK402" s="567"/>
      <c r="CL402" s="567"/>
      <c r="CM402" s="567"/>
      <c r="CN402" s="567"/>
      <c r="CO402" s="567"/>
      <c r="CP402" s="567"/>
      <c r="CQ402" s="567"/>
      <c r="CR402" s="567"/>
      <c r="CS402" s="567"/>
      <c r="CT402" s="567"/>
      <c r="CU402" s="567"/>
      <c r="CV402" s="567"/>
      <c r="CW402" s="567"/>
      <c r="CX402" s="567"/>
      <c r="CY402" s="567"/>
      <c r="CZ402" s="567"/>
      <c r="DA402" s="567"/>
      <c r="DB402" s="567"/>
      <c r="DC402" s="567"/>
      <c r="DD402" s="567"/>
      <c r="DE402" s="567"/>
      <c r="DF402" s="567"/>
      <c r="DG402" s="567"/>
      <c r="DH402" s="567"/>
      <c r="DI402" s="567"/>
      <c r="DJ402" s="567"/>
      <c r="DK402" s="567"/>
      <c r="DL402" s="567"/>
      <c r="DM402" s="567"/>
      <c r="DN402" s="567"/>
      <c r="DO402" s="567"/>
      <c r="DP402" s="567"/>
      <c r="DQ402" s="567"/>
    </row>
    <row r="403" spans="1:121" s="487" customFormat="1">
      <c r="A403" s="588"/>
      <c r="B403" s="588"/>
      <c r="C403" s="588"/>
      <c r="D403" s="588"/>
      <c r="E403" s="588"/>
      <c r="F403" s="588"/>
      <c r="G403" s="588"/>
      <c r="H403" s="588"/>
      <c r="I403" s="588"/>
      <c r="J403" s="588"/>
      <c r="K403" s="588"/>
      <c r="L403" s="702"/>
      <c r="M403" s="888"/>
      <c r="N403" s="888"/>
      <c r="O403" s="888"/>
      <c r="P403" s="888"/>
      <c r="Q403" s="888"/>
      <c r="R403" s="888"/>
      <c r="S403" s="888"/>
      <c r="T403" s="888"/>
      <c r="U403" s="888"/>
      <c r="V403" s="888"/>
      <c r="W403" s="888"/>
      <c r="X403" s="888"/>
      <c r="Y403" s="888"/>
      <c r="Z403" s="888"/>
      <c r="AA403" s="888"/>
      <c r="AB403" s="888"/>
      <c r="AC403" s="888"/>
      <c r="AD403" s="888"/>
      <c r="AE403" s="888"/>
      <c r="AF403" s="888"/>
      <c r="AG403" s="888"/>
      <c r="AH403" s="888"/>
      <c r="AI403" s="888"/>
      <c r="AJ403" s="888"/>
      <c r="AK403" s="888"/>
      <c r="AL403" s="888"/>
      <c r="AM403" s="888"/>
      <c r="AN403" s="888"/>
      <c r="AO403" s="888"/>
      <c r="AP403" s="888"/>
      <c r="AQ403" s="888"/>
      <c r="AR403" s="888"/>
      <c r="AS403" s="888"/>
      <c r="AT403" s="888"/>
      <c r="AU403" s="888"/>
      <c r="AV403" s="888"/>
      <c r="AW403" s="888"/>
      <c r="AX403" s="888"/>
      <c r="AY403" s="888"/>
      <c r="AZ403" s="567"/>
      <c r="BA403" s="567"/>
      <c r="BB403" s="567"/>
      <c r="BC403" s="567"/>
      <c r="BD403" s="567"/>
      <c r="BE403" s="567"/>
      <c r="BF403" s="567"/>
      <c r="BG403" s="567"/>
      <c r="BH403" s="567"/>
      <c r="BI403" s="567"/>
      <c r="BJ403" s="567"/>
      <c r="BK403" s="567"/>
      <c r="BL403" s="567"/>
      <c r="BM403" s="567"/>
      <c r="BN403" s="567"/>
      <c r="BO403" s="567"/>
      <c r="BP403" s="567"/>
      <c r="BQ403" s="567"/>
      <c r="BR403" s="567"/>
      <c r="BS403" s="567"/>
      <c r="BT403" s="567"/>
      <c r="BU403" s="567"/>
      <c r="BV403" s="567"/>
      <c r="BW403" s="567"/>
      <c r="BX403" s="567"/>
      <c r="BY403" s="567"/>
      <c r="BZ403" s="567"/>
      <c r="CA403" s="567"/>
      <c r="CB403" s="567"/>
      <c r="CC403" s="567"/>
      <c r="CD403" s="567"/>
      <c r="CE403" s="567"/>
      <c r="CF403" s="567"/>
      <c r="CG403" s="567"/>
      <c r="CH403" s="567"/>
      <c r="CI403" s="567"/>
      <c r="CJ403" s="567"/>
      <c r="CK403" s="567"/>
      <c r="CL403" s="567"/>
      <c r="CM403" s="567"/>
      <c r="CN403" s="567"/>
      <c r="CO403" s="567"/>
      <c r="CP403" s="567"/>
      <c r="CQ403" s="567"/>
      <c r="CR403" s="567"/>
      <c r="CS403" s="567"/>
      <c r="CT403" s="567"/>
      <c r="CU403" s="567"/>
      <c r="CV403" s="567"/>
      <c r="CW403" s="567"/>
      <c r="CX403" s="567"/>
      <c r="CY403" s="567"/>
      <c r="CZ403" s="567"/>
      <c r="DA403" s="567"/>
      <c r="DB403" s="567"/>
      <c r="DC403" s="567"/>
      <c r="DD403" s="567"/>
      <c r="DE403" s="567"/>
      <c r="DF403" s="567"/>
      <c r="DG403" s="567"/>
      <c r="DH403" s="567"/>
      <c r="DI403" s="567"/>
      <c r="DJ403" s="567"/>
      <c r="DK403" s="567"/>
      <c r="DL403" s="567"/>
      <c r="DM403" s="567"/>
      <c r="DN403" s="567"/>
      <c r="DO403" s="567"/>
      <c r="DP403" s="567"/>
      <c r="DQ403" s="567"/>
    </row>
    <row r="404" spans="1:121" s="487" customFormat="1">
      <c r="A404" s="588"/>
      <c r="B404" s="588"/>
      <c r="C404" s="588"/>
      <c r="D404" s="588"/>
      <c r="E404" s="588"/>
      <c r="F404" s="588"/>
      <c r="G404" s="588"/>
      <c r="H404" s="588"/>
      <c r="I404" s="588"/>
      <c r="J404" s="588"/>
      <c r="K404" s="588"/>
      <c r="L404" s="702"/>
      <c r="M404" s="888"/>
      <c r="N404" s="888"/>
      <c r="O404" s="888"/>
      <c r="P404" s="888"/>
      <c r="Q404" s="888"/>
      <c r="R404" s="888"/>
      <c r="S404" s="888"/>
      <c r="T404" s="888"/>
      <c r="U404" s="888"/>
      <c r="V404" s="888"/>
      <c r="W404" s="888"/>
      <c r="X404" s="888"/>
      <c r="Y404" s="888"/>
      <c r="Z404" s="888"/>
      <c r="AA404" s="888"/>
      <c r="AB404" s="888"/>
      <c r="AC404" s="888"/>
      <c r="AD404" s="888"/>
      <c r="AE404" s="888"/>
      <c r="AF404" s="888"/>
      <c r="AG404" s="888"/>
      <c r="AH404" s="888"/>
      <c r="AI404" s="888"/>
      <c r="AJ404" s="888"/>
      <c r="AK404" s="888"/>
      <c r="AL404" s="888"/>
      <c r="AM404" s="888"/>
      <c r="AN404" s="888"/>
      <c r="AO404" s="888"/>
      <c r="AP404" s="888"/>
      <c r="AQ404" s="888"/>
      <c r="AR404" s="888"/>
      <c r="AS404" s="888"/>
      <c r="AT404" s="888"/>
      <c r="AU404" s="888"/>
      <c r="AV404" s="888"/>
      <c r="AW404" s="888"/>
      <c r="AX404" s="888"/>
      <c r="AY404" s="888"/>
      <c r="AZ404" s="567"/>
      <c r="BA404" s="567"/>
      <c r="BB404" s="567"/>
      <c r="BC404" s="567"/>
      <c r="BD404" s="567"/>
      <c r="BE404" s="567"/>
      <c r="BF404" s="567"/>
      <c r="BG404" s="567"/>
      <c r="BH404" s="567"/>
      <c r="BI404" s="567"/>
      <c r="BJ404" s="567"/>
      <c r="BK404" s="567"/>
      <c r="BL404" s="567"/>
      <c r="BM404" s="567"/>
      <c r="BN404" s="567"/>
      <c r="BO404" s="567"/>
      <c r="BP404" s="567"/>
      <c r="BQ404" s="567"/>
      <c r="BR404" s="567"/>
      <c r="BS404" s="567"/>
      <c r="BT404" s="567"/>
      <c r="BU404" s="567"/>
      <c r="BV404" s="567"/>
      <c r="BW404" s="567"/>
      <c r="BX404" s="567"/>
      <c r="BY404" s="567"/>
      <c r="BZ404" s="567"/>
      <c r="CA404" s="567"/>
      <c r="CB404" s="567"/>
      <c r="CC404" s="567"/>
      <c r="CD404" s="567"/>
      <c r="CE404" s="567"/>
      <c r="CF404" s="567"/>
      <c r="CG404" s="567"/>
      <c r="CH404" s="567"/>
      <c r="CI404" s="567"/>
      <c r="CJ404" s="567"/>
      <c r="CK404" s="567"/>
      <c r="CL404" s="567"/>
      <c r="CM404" s="567"/>
      <c r="CN404" s="567"/>
      <c r="CO404" s="567"/>
      <c r="CP404" s="567"/>
      <c r="CQ404" s="567"/>
      <c r="CR404" s="567"/>
      <c r="CS404" s="567"/>
      <c r="CT404" s="567"/>
      <c r="CU404" s="567"/>
      <c r="CV404" s="567"/>
      <c r="CW404" s="567"/>
      <c r="CX404" s="567"/>
      <c r="CY404" s="567"/>
      <c r="CZ404" s="567"/>
      <c r="DA404" s="567"/>
      <c r="DB404" s="567"/>
      <c r="DC404" s="567"/>
      <c r="DD404" s="567"/>
      <c r="DE404" s="567"/>
      <c r="DF404" s="567"/>
      <c r="DG404" s="567"/>
      <c r="DH404" s="567"/>
      <c r="DI404" s="567"/>
      <c r="DJ404" s="567"/>
      <c r="DK404" s="567"/>
      <c r="DL404" s="567"/>
      <c r="DM404" s="567"/>
      <c r="DN404" s="567"/>
      <c r="DO404" s="567"/>
      <c r="DP404" s="567"/>
      <c r="DQ404" s="567"/>
    </row>
    <row r="405" spans="1:121" s="487" customFormat="1">
      <c r="A405" s="588"/>
      <c r="B405" s="588"/>
      <c r="C405" s="588"/>
      <c r="D405" s="588"/>
      <c r="E405" s="588"/>
      <c r="F405" s="588"/>
      <c r="G405" s="588"/>
      <c r="H405" s="588"/>
      <c r="I405" s="588"/>
      <c r="J405" s="588"/>
      <c r="K405" s="588"/>
      <c r="L405" s="702"/>
      <c r="M405" s="888"/>
      <c r="N405" s="888"/>
      <c r="O405" s="888"/>
      <c r="P405" s="888"/>
      <c r="Q405" s="888"/>
      <c r="R405" s="888"/>
      <c r="S405" s="888"/>
      <c r="T405" s="888"/>
      <c r="U405" s="888"/>
      <c r="V405" s="888"/>
      <c r="W405" s="888"/>
      <c r="X405" s="888"/>
      <c r="Y405" s="888"/>
      <c r="Z405" s="888"/>
      <c r="AA405" s="888"/>
      <c r="AB405" s="888"/>
      <c r="AC405" s="888"/>
      <c r="AD405" s="888"/>
      <c r="AE405" s="888"/>
      <c r="AF405" s="888"/>
      <c r="AG405" s="888"/>
      <c r="AH405" s="888"/>
      <c r="AI405" s="888"/>
      <c r="AJ405" s="888"/>
      <c r="AK405" s="888"/>
      <c r="AL405" s="888"/>
      <c r="AM405" s="888"/>
      <c r="AN405" s="888"/>
      <c r="AO405" s="888"/>
      <c r="AP405" s="888"/>
      <c r="AQ405" s="888"/>
      <c r="AR405" s="888"/>
      <c r="AS405" s="888"/>
      <c r="AT405" s="888"/>
      <c r="AU405" s="888"/>
      <c r="AV405" s="888"/>
      <c r="AW405" s="888"/>
      <c r="AX405" s="888"/>
      <c r="AY405" s="888"/>
      <c r="AZ405" s="567"/>
      <c r="BA405" s="567"/>
      <c r="BB405" s="567"/>
      <c r="BC405" s="567"/>
      <c r="BD405" s="567"/>
      <c r="BE405" s="567"/>
      <c r="BF405" s="567"/>
      <c r="BG405" s="567"/>
      <c r="BH405" s="567"/>
      <c r="BI405" s="567"/>
      <c r="BJ405" s="567"/>
      <c r="BK405" s="567"/>
      <c r="BL405" s="567"/>
      <c r="BM405" s="567"/>
      <c r="BN405" s="567"/>
      <c r="BO405" s="567"/>
      <c r="BP405" s="567"/>
      <c r="BQ405" s="567"/>
      <c r="BR405" s="567"/>
      <c r="BS405" s="567"/>
      <c r="BT405" s="567"/>
      <c r="BU405" s="567"/>
      <c r="BV405" s="567"/>
      <c r="BW405" s="567"/>
      <c r="BX405" s="567"/>
      <c r="BY405" s="567"/>
      <c r="BZ405" s="567"/>
      <c r="CA405" s="567"/>
      <c r="CB405" s="567"/>
      <c r="CC405" s="567"/>
      <c r="CD405" s="567"/>
      <c r="CE405" s="567"/>
      <c r="CF405" s="567"/>
      <c r="CG405" s="567"/>
      <c r="CH405" s="567"/>
      <c r="CI405" s="567"/>
      <c r="CJ405" s="567"/>
      <c r="CK405" s="567"/>
      <c r="CL405" s="567"/>
      <c r="CM405" s="567"/>
      <c r="CN405" s="567"/>
      <c r="CO405" s="567"/>
      <c r="CP405" s="567"/>
      <c r="CQ405" s="567"/>
      <c r="CR405" s="567"/>
      <c r="CS405" s="567"/>
      <c r="CT405" s="567"/>
      <c r="CU405" s="567"/>
      <c r="CV405" s="567"/>
      <c r="CW405" s="567"/>
      <c r="CX405" s="567"/>
      <c r="CY405" s="567"/>
      <c r="CZ405" s="567"/>
      <c r="DA405" s="567"/>
      <c r="DB405" s="567"/>
      <c r="DC405" s="567"/>
      <c r="DD405" s="567"/>
      <c r="DE405" s="567"/>
      <c r="DF405" s="567"/>
      <c r="DG405" s="567"/>
      <c r="DH405" s="567"/>
      <c r="DI405" s="567"/>
      <c r="DJ405" s="567"/>
      <c r="DK405" s="567"/>
      <c r="DL405" s="567"/>
      <c r="DM405" s="567"/>
      <c r="DN405" s="567"/>
      <c r="DO405" s="567"/>
      <c r="DP405" s="567"/>
      <c r="DQ405" s="567"/>
    </row>
    <row r="406" spans="1:121" s="487" customFormat="1">
      <c r="A406" s="588"/>
      <c r="B406" s="588"/>
      <c r="C406" s="588"/>
      <c r="D406" s="588"/>
      <c r="E406" s="588"/>
      <c r="F406" s="588"/>
      <c r="G406" s="588"/>
      <c r="H406" s="588"/>
      <c r="I406" s="588"/>
      <c r="J406" s="588"/>
      <c r="K406" s="588"/>
      <c r="L406" s="702"/>
      <c r="M406" s="888"/>
      <c r="N406" s="888"/>
      <c r="O406" s="888"/>
      <c r="P406" s="888"/>
      <c r="Q406" s="888"/>
      <c r="R406" s="888"/>
      <c r="S406" s="888"/>
      <c r="T406" s="888"/>
      <c r="U406" s="888"/>
      <c r="V406" s="888"/>
      <c r="W406" s="888"/>
      <c r="X406" s="888"/>
      <c r="Y406" s="888"/>
      <c r="Z406" s="888"/>
      <c r="AA406" s="888"/>
      <c r="AB406" s="888"/>
      <c r="AC406" s="888"/>
      <c r="AD406" s="888"/>
      <c r="AE406" s="888"/>
      <c r="AF406" s="888"/>
      <c r="AG406" s="888"/>
      <c r="AH406" s="888"/>
      <c r="AI406" s="888"/>
      <c r="AJ406" s="888"/>
      <c r="AK406" s="888"/>
      <c r="AL406" s="888"/>
      <c r="AM406" s="888"/>
      <c r="AN406" s="888"/>
      <c r="AO406" s="888"/>
      <c r="AP406" s="888"/>
      <c r="AQ406" s="888"/>
      <c r="AR406" s="888"/>
      <c r="AS406" s="888"/>
      <c r="AT406" s="888"/>
      <c r="AU406" s="888"/>
      <c r="AV406" s="888"/>
      <c r="AW406" s="888"/>
      <c r="AX406" s="888"/>
      <c r="AY406" s="888"/>
      <c r="AZ406" s="567"/>
      <c r="BA406" s="567"/>
      <c r="BB406" s="567"/>
      <c r="BC406" s="567"/>
      <c r="BD406" s="567"/>
      <c r="BE406" s="567"/>
      <c r="BF406" s="567"/>
      <c r="BG406" s="567"/>
      <c r="BH406" s="567"/>
      <c r="BI406" s="567"/>
      <c r="BJ406" s="567"/>
      <c r="BK406" s="567"/>
      <c r="BL406" s="567"/>
      <c r="BM406" s="567"/>
      <c r="BN406" s="567"/>
      <c r="BO406" s="567"/>
      <c r="BP406" s="567"/>
      <c r="BQ406" s="567"/>
      <c r="BR406" s="567"/>
      <c r="BS406" s="567"/>
      <c r="BT406" s="567"/>
      <c r="BU406" s="567"/>
      <c r="BV406" s="567"/>
      <c r="BW406" s="567"/>
      <c r="BX406" s="567"/>
      <c r="BY406" s="567"/>
      <c r="BZ406" s="567"/>
      <c r="CA406" s="567"/>
      <c r="CB406" s="567"/>
      <c r="CC406" s="567"/>
      <c r="CD406" s="567"/>
      <c r="CE406" s="567"/>
      <c r="CF406" s="567"/>
      <c r="CG406" s="567"/>
      <c r="CH406" s="567"/>
      <c r="CI406" s="567"/>
      <c r="CJ406" s="567"/>
      <c r="CK406" s="567"/>
      <c r="CL406" s="567"/>
      <c r="CM406" s="567"/>
      <c r="CN406" s="567"/>
      <c r="CO406" s="567"/>
      <c r="CP406" s="567"/>
      <c r="CQ406" s="567"/>
      <c r="CR406" s="567"/>
      <c r="CS406" s="567"/>
      <c r="CT406" s="567"/>
      <c r="CU406" s="567"/>
      <c r="CV406" s="567"/>
      <c r="CW406" s="567"/>
      <c r="CX406" s="567"/>
      <c r="CY406" s="567"/>
      <c r="CZ406" s="567"/>
      <c r="DA406" s="567"/>
      <c r="DB406" s="567"/>
      <c r="DC406" s="567"/>
      <c r="DD406" s="567"/>
      <c r="DE406" s="567"/>
      <c r="DF406" s="567"/>
      <c r="DG406" s="567"/>
      <c r="DH406" s="567"/>
      <c r="DI406" s="567"/>
      <c r="DJ406" s="567"/>
      <c r="DK406" s="567"/>
      <c r="DL406" s="567"/>
      <c r="DM406" s="567"/>
      <c r="DN406" s="567"/>
      <c r="DO406" s="567"/>
      <c r="DP406" s="567"/>
      <c r="DQ406" s="567"/>
    </row>
    <row r="407" spans="1:121" s="487" customFormat="1">
      <c r="A407" s="588"/>
      <c r="B407" s="588"/>
      <c r="C407" s="588"/>
      <c r="D407" s="588"/>
      <c r="E407" s="588"/>
      <c r="F407" s="588"/>
      <c r="G407" s="588"/>
      <c r="H407" s="588"/>
      <c r="I407" s="588"/>
      <c r="J407" s="588"/>
      <c r="K407" s="588"/>
      <c r="L407" s="702"/>
      <c r="M407" s="888"/>
      <c r="N407" s="888"/>
      <c r="O407" s="888"/>
      <c r="P407" s="888"/>
      <c r="Q407" s="888"/>
      <c r="R407" s="888"/>
      <c r="S407" s="888"/>
      <c r="T407" s="888"/>
      <c r="U407" s="888"/>
      <c r="V407" s="888"/>
      <c r="W407" s="888"/>
      <c r="X407" s="888"/>
      <c r="Y407" s="888"/>
      <c r="Z407" s="888"/>
      <c r="AA407" s="888"/>
      <c r="AB407" s="888"/>
      <c r="AC407" s="888"/>
      <c r="AD407" s="888"/>
      <c r="AE407" s="888"/>
      <c r="AF407" s="888"/>
      <c r="AG407" s="888"/>
      <c r="AH407" s="888"/>
      <c r="AI407" s="888"/>
      <c r="AJ407" s="888"/>
      <c r="AK407" s="888"/>
      <c r="AL407" s="888"/>
      <c r="AM407" s="888"/>
      <c r="AN407" s="888"/>
      <c r="AO407" s="888"/>
      <c r="AP407" s="888"/>
      <c r="AQ407" s="888"/>
      <c r="AR407" s="888"/>
      <c r="AS407" s="888"/>
      <c r="AT407" s="888"/>
      <c r="AU407" s="888"/>
      <c r="AV407" s="888"/>
      <c r="AW407" s="888"/>
      <c r="AX407" s="888"/>
      <c r="AY407" s="888"/>
      <c r="AZ407" s="567"/>
      <c r="BA407" s="567"/>
      <c r="BB407" s="567"/>
      <c r="BC407" s="567"/>
      <c r="BD407" s="567"/>
      <c r="BE407" s="567"/>
      <c r="BF407" s="567"/>
      <c r="BG407" s="567"/>
      <c r="BH407" s="567"/>
      <c r="BI407" s="567"/>
      <c r="BJ407" s="567"/>
      <c r="BK407" s="567"/>
      <c r="BL407" s="567"/>
      <c r="BM407" s="567"/>
      <c r="BN407" s="567"/>
      <c r="BO407" s="567"/>
      <c r="BP407" s="567"/>
      <c r="BQ407" s="567"/>
      <c r="BR407" s="567"/>
      <c r="BS407" s="567"/>
      <c r="BT407" s="567"/>
      <c r="BU407" s="567"/>
      <c r="BV407" s="567"/>
      <c r="BW407" s="567"/>
      <c r="BX407" s="567"/>
      <c r="BY407" s="567"/>
      <c r="BZ407" s="567"/>
      <c r="CA407" s="567"/>
      <c r="CB407" s="567"/>
      <c r="CC407" s="567"/>
      <c r="CD407" s="567"/>
      <c r="CE407" s="567"/>
      <c r="CF407" s="567"/>
      <c r="CG407" s="567"/>
      <c r="CH407" s="567"/>
      <c r="CI407" s="567"/>
      <c r="CJ407" s="567"/>
      <c r="CK407" s="567"/>
      <c r="CL407" s="567"/>
      <c r="CM407" s="567"/>
      <c r="CN407" s="567"/>
      <c r="CO407" s="567"/>
      <c r="CP407" s="567"/>
      <c r="CQ407" s="567"/>
      <c r="CR407" s="567"/>
      <c r="CS407" s="567"/>
      <c r="CT407" s="567"/>
      <c r="CU407" s="567"/>
      <c r="CV407" s="567"/>
      <c r="CW407" s="567"/>
      <c r="CX407" s="567"/>
      <c r="CY407" s="567"/>
      <c r="CZ407" s="567"/>
      <c r="DA407" s="567"/>
      <c r="DB407" s="567"/>
      <c r="DC407" s="567"/>
      <c r="DD407" s="567"/>
      <c r="DE407" s="567"/>
      <c r="DF407" s="567"/>
      <c r="DG407" s="567"/>
      <c r="DH407" s="567"/>
      <c r="DI407" s="567"/>
      <c r="DJ407" s="567"/>
      <c r="DK407" s="567"/>
      <c r="DL407" s="567"/>
      <c r="DM407" s="567"/>
      <c r="DN407" s="567"/>
      <c r="DO407" s="567"/>
      <c r="DP407" s="567"/>
      <c r="DQ407" s="567"/>
    </row>
    <row r="408" spans="1:121" s="487" customFormat="1">
      <c r="A408" s="588"/>
      <c r="B408" s="588"/>
      <c r="C408" s="588"/>
      <c r="D408" s="588"/>
      <c r="E408" s="588"/>
      <c r="F408" s="588"/>
      <c r="G408" s="588"/>
      <c r="H408" s="588"/>
      <c r="I408" s="588"/>
      <c r="J408" s="588"/>
      <c r="K408" s="588"/>
      <c r="L408" s="702"/>
      <c r="M408" s="888"/>
      <c r="N408" s="888"/>
      <c r="O408" s="888"/>
      <c r="P408" s="888"/>
      <c r="Q408" s="888"/>
      <c r="R408" s="888"/>
      <c r="S408" s="888"/>
      <c r="T408" s="888"/>
      <c r="U408" s="888"/>
      <c r="V408" s="888"/>
      <c r="W408" s="888"/>
      <c r="X408" s="888"/>
      <c r="Y408" s="888"/>
      <c r="Z408" s="888"/>
      <c r="AA408" s="888"/>
      <c r="AB408" s="888"/>
      <c r="AC408" s="888"/>
      <c r="AD408" s="888"/>
      <c r="AE408" s="888"/>
      <c r="AF408" s="888"/>
      <c r="AG408" s="888"/>
      <c r="AH408" s="888"/>
      <c r="AI408" s="888"/>
      <c r="AJ408" s="888"/>
      <c r="AK408" s="888"/>
      <c r="AL408" s="888"/>
      <c r="AM408" s="888"/>
      <c r="AN408" s="888"/>
      <c r="AO408" s="888"/>
      <c r="AP408" s="888"/>
      <c r="AQ408" s="888"/>
      <c r="AR408" s="888"/>
      <c r="AS408" s="888"/>
      <c r="AT408" s="888"/>
      <c r="AU408" s="888"/>
      <c r="AV408" s="888"/>
      <c r="AW408" s="888"/>
      <c r="AX408" s="888"/>
      <c r="AY408" s="888"/>
      <c r="AZ408" s="567"/>
      <c r="BA408" s="567"/>
      <c r="BB408" s="567"/>
      <c r="BC408" s="567"/>
      <c r="BD408" s="567"/>
      <c r="BE408" s="567"/>
      <c r="BF408" s="567"/>
      <c r="BG408" s="567"/>
      <c r="BH408" s="567"/>
      <c r="BI408" s="567"/>
      <c r="BJ408" s="567"/>
      <c r="BK408" s="567"/>
      <c r="BL408" s="567"/>
      <c r="BM408" s="567"/>
      <c r="BN408" s="567"/>
      <c r="BO408" s="567"/>
      <c r="BP408" s="567"/>
      <c r="BQ408" s="567"/>
      <c r="BR408" s="567"/>
      <c r="BS408" s="567"/>
      <c r="BT408" s="567"/>
      <c r="BU408" s="567"/>
      <c r="BV408" s="567"/>
      <c r="BW408" s="567"/>
      <c r="BX408" s="567"/>
      <c r="BY408" s="567"/>
      <c r="BZ408" s="567"/>
      <c r="CA408" s="567"/>
      <c r="CB408" s="567"/>
      <c r="CC408" s="567"/>
      <c r="CD408" s="567"/>
      <c r="CE408" s="567"/>
      <c r="CF408" s="567"/>
      <c r="CG408" s="567"/>
      <c r="CH408" s="567"/>
      <c r="CI408" s="567"/>
      <c r="CJ408" s="567"/>
      <c r="CK408" s="567"/>
      <c r="CL408" s="567"/>
      <c r="CM408" s="567"/>
      <c r="CN408" s="567"/>
      <c r="CO408" s="567"/>
      <c r="CP408" s="567"/>
      <c r="CQ408" s="567"/>
      <c r="CR408" s="567"/>
      <c r="CS408" s="567"/>
      <c r="CT408" s="567"/>
      <c r="CU408" s="567"/>
      <c r="CV408" s="567"/>
      <c r="CW408" s="567"/>
      <c r="CX408" s="567"/>
      <c r="CY408" s="567"/>
      <c r="CZ408" s="567"/>
      <c r="DA408" s="567"/>
      <c r="DB408" s="567"/>
      <c r="DC408" s="567"/>
      <c r="DD408" s="567"/>
      <c r="DE408" s="567"/>
      <c r="DF408" s="567"/>
      <c r="DG408" s="567"/>
      <c r="DH408" s="567"/>
      <c r="DI408" s="567"/>
      <c r="DJ408" s="567"/>
      <c r="DK408" s="567"/>
      <c r="DL408" s="567"/>
      <c r="DM408" s="567"/>
      <c r="DN408" s="567"/>
      <c r="DO408" s="567"/>
      <c r="DP408" s="567"/>
      <c r="DQ408" s="567"/>
    </row>
    <row r="409" spans="1:121" s="487" customFormat="1">
      <c r="A409" s="588"/>
      <c r="B409" s="588"/>
      <c r="C409" s="588"/>
      <c r="D409" s="588"/>
      <c r="E409" s="588"/>
      <c r="F409" s="588"/>
      <c r="G409" s="588"/>
      <c r="H409" s="588"/>
      <c r="I409" s="588"/>
      <c r="J409" s="588"/>
      <c r="K409" s="588"/>
      <c r="L409" s="702"/>
      <c r="M409" s="888"/>
      <c r="N409" s="888"/>
      <c r="O409" s="888"/>
      <c r="P409" s="888"/>
      <c r="Q409" s="888"/>
      <c r="R409" s="888"/>
      <c r="S409" s="888"/>
      <c r="T409" s="888"/>
      <c r="U409" s="888"/>
      <c r="V409" s="888"/>
      <c r="W409" s="888"/>
      <c r="X409" s="888"/>
      <c r="Y409" s="888"/>
      <c r="Z409" s="888"/>
      <c r="AA409" s="888"/>
      <c r="AB409" s="888"/>
      <c r="AC409" s="888"/>
      <c r="AD409" s="888"/>
      <c r="AE409" s="888"/>
      <c r="AF409" s="888"/>
      <c r="AG409" s="888"/>
      <c r="AH409" s="888"/>
      <c r="AI409" s="888"/>
      <c r="AJ409" s="888"/>
      <c r="AK409" s="888"/>
      <c r="AL409" s="888"/>
      <c r="AM409" s="888"/>
      <c r="AN409" s="888"/>
      <c r="AO409" s="888"/>
      <c r="AP409" s="888"/>
      <c r="AQ409" s="888"/>
      <c r="AR409" s="888"/>
      <c r="AS409" s="888"/>
      <c r="AT409" s="888"/>
      <c r="AU409" s="888"/>
      <c r="AV409" s="888"/>
      <c r="AW409" s="888"/>
      <c r="AX409" s="888"/>
      <c r="AY409" s="888"/>
      <c r="AZ409" s="567"/>
      <c r="BA409" s="567"/>
      <c r="BB409" s="567"/>
      <c r="BC409" s="567"/>
      <c r="BD409" s="567"/>
      <c r="BE409" s="567"/>
      <c r="BF409" s="567"/>
      <c r="BG409" s="567"/>
      <c r="BH409" s="567"/>
      <c r="BI409" s="567"/>
      <c r="BJ409" s="567"/>
      <c r="BK409" s="567"/>
      <c r="BL409" s="567"/>
      <c r="BM409" s="567"/>
      <c r="BN409" s="567"/>
      <c r="BO409" s="567"/>
      <c r="BP409" s="567"/>
      <c r="BQ409" s="567"/>
      <c r="BR409" s="567"/>
      <c r="BS409" s="567"/>
      <c r="BT409" s="567"/>
      <c r="BU409" s="567"/>
      <c r="BV409" s="567"/>
      <c r="BW409" s="567"/>
      <c r="BX409" s="567"/>
      <c r="BY409" s="567"/>
      <c r="BZ409" s="567"/>
      <c r="CA409" s="567"/>
      <c r="CB409" s="567"/>
      <c r="CC409" s="567"/>
      <c r="CD409" s="567"/>
      <c r="CE409" s="567"/>
      <c r="CF409" s="567"/>
      <c r="CG409" s="567"/>
      <c r="CH409" s="567"/>
      <c r="CI409" s="567"/>
      <c r="CJ409" s="567"/>
      <c r="CK409" s="567"/>
      <c r="CL409" s="567"/>
      <c r="CM409" s="567"/>
      <c r="CN409" s="567"/>
      <c r="CO409" s="567"/>
      <c r="CP409" s="567"/>
      <c r="CQ409" s="567"/>
      <c r="CR409" s="567"/>
      <c r="CS409" s="567"/>
      <c r="CT409" s="567"/>
      <c r="CU409" s="567"/>
      <c r="CV409" s="567"/>
      <c r="CW409" s="567"/>
      <c r="CX409" s="567"/>
      <c r="CY409" s="567"/>
      <c r="CZ409" s="567"/>
      <c r="DA409" s="567"/>
      <c r="DB409" s="567"/>
      <c r="DC409" s="567"/>
      <c r="DD409" s="567"/>
      <c r="DE409" s="567"/>
      <c r="DF409" s="567"/>
      <c r="DG409" s="567"/>
      <c r="DH409" s="567"/>
      <c r="DI409" s="567"/>
      <c r="DJ409" s="567"/>
      <c r="DK409" s="567"/>
      <c r="DL409" s="567"/>
      <c r="DM409" s="567"/>
      <c r="DN409" s="567"/>
      <c r="DO409" s="567"/>
      <c r="DP409" s="567"/>
      <c r="DQ409" s="567"/>
    </row>
    <row r="410" spans="1:121" s="487" customFormat="1">
      <c r="A410" s="588"/>
      <c r="B410" s="588"/>
      <c r="C410" s="588"/>
      <c r="D410" s="588"/>
      <c r="E410" s="588"/>
      <c r="F410" s="588"/>
      <c r="G410" s="588"/>
      <c r="H410" s="588"/>
      <c r="I410" s="588"/>
      <c r="J410" s="588"/>
      <c r="K410" s="588"/>
      <c r="L410" s="702"/>
      <c r="M410" s="888"/>
      <c r="N410" s="888"/>
      <c r="O410" s="888"/>
      <c r="P410" s="888"/>
      <c r="Q410" s="888"/>
      <c r="R410" s="888"/>
      <c r="S410" s="888"/>
      <c r="T410" s="888"/>
      <c r="U410" s="888"/>
      <c r="V410" s="888"/>
      <c r="W410" s="888"/>
      <c r="X410" s="888"/>
      <c r="Y410" s="888"/>
      <c r="Z410" s="888"/>
      <c r="AA410" s="888"/>
      <c r="AB410" s="888"/>
      <c r="AC410" s="888"/>
      <c r="AD410" s="888"/>
      <c r="AE410" s="888"/>
      <c r="AF410" s="888"/>
      <c r="AG410" s="888"/>
      <c r="AH410" s="888"/>
      <c r="AI410" s="888"/>
      <c r="AJ410" s="888"/>
      <c r="AK410" s="888"/>
      <c r="AL410" s="888"/>
      <c r="AM410" s="888"/>
      <c r="AN410" s="888"/>
      <c r="AO410" s="888"/>
      <c r="AP410" s="888"/>
      <c r="AQ410" s="888"/>
      <c r="AR410" s="888"/>
      <c r="AS410" s="888"/>
      <c r="AT410" s="888"/>
      <c r="AU410" s="888"/>
      <c r="AV410" s="888"/>
      <c r="AW410" s="888"/>
      <c r="AX410" s="888"/>
      <c r="AY410" s="888"/>
      <c r="AZ410" s="567"/>
      <c r="BA410" s="567"/>
      <c r="BB410" s="567"/>
      <c r="BC410" s="567"/>
      <c r="BD410" s="567"/>
      <c r="BE410" s="567"/>
      <c r="BF410" s="567"/>
      <c r="BG410" s="567"/>
      <c r="BH410" s="567"/>
      <c r="BI410" s="567"/>
      <c r="BJ410" s="567"/>
      <c r="BK410" s="567"/>
      <c r="BL410" s="567"/>
      <c r="BM410" s="567"/>
      <c r="BN410" s="567"/>
      <c r="BO410" s="567"/>
      <c r="BP410" s="567"/>
      <c r="BQ410" s="567"/>
      <c r="BR410" s="567"/>
      <c r="BS410" s="567"/>
      <c r="BT410" s="567"/>
      <c r="BU410" s="567"/>
      <c r="BV410" s="567"/>
      <c r="BW410" s="567"/>
      <c r="BX410" s="567"/>
      <c r="BY410" s="567"/>
      <c r="BZ410" s="567"/>
      <c r="CA410" s="567"/>
      <c r="CB410" s="567"/>
      <c r="CC410" s="567"/>
      <c r="CD410" s="567"/>
      <c r="CE410" s="567"/>
      <c r="CF410" s="567"/>
      <c r="CG410" s="567"/>
      <c r="CH410" s="567"/>
      <c r="CI410" s="567"/>
      <c r="CJ410" s="567"/>
      <c r="CK410" s="567"/>
      <c r="CL410" s="567"/>
      <c r="CM410" s="567"/>
      <c r="CN410" s="567"/>
      <c r="CO410" s="567"/>
      <c r="CP410" s="567"/>
      <c r="CQ410" s="567"/>
      <c r="CR410" s="567"/>
      <c r="CS410" s="567"/>
      <c r="CT410" s="567"/>
      <c r="CU410" s="567"/>
      <c r="CV410" s="567"/>
      <c r="CW410" s="567"/>
      <c r="CX410" s="567"/>
      <c r="CY410" s="567"/>
      <c r="CZ410" s="567"/>
      <c r="DA410" s="567"/>
      <c r="DB410" s="567"/>
      <c r="DC410" s="567"/>
      <c r="DD410" s="567"/>
      <c r="DE410" s="567"/>
      <c r="DF410" s="567"/>
      <c r="DG410" s="567"/>
      <c r="DH410" s="567"/>
      <c r="DI410" s="567"/>
      <c r="DJ410" s="567"/>
      <c r="DK410" s="567"/>
      <c r="DL410" s="567"/>
      <c r="DM410" s="567"/>
      <c r="DN410" s="567"/>
      <c r="DO410" s="567"/>
      <c r="DP410" s="567"/>
      <c r="DQ410" s="567"/>
    </row>
    <row r="411" spans="1:121" s="487" customFormat="1">
      <c r="A411" s="588"/>
      <c r="B411" s="588"/>
      <c r="C411" s="588"/>
      <c r="D411" s="588"/>
      <c r="E411" s="588"/>
      <c r="F411" s="588"/>
      <c r="G411" s="588"/>
      <c r="H411" s="588"/>
      <c r="I411" s="588"/>
      <c r="J411" s="588"/>
      <c r="K411" s="588"/>
      <c r="L411" s="702"/>
      <c r="M411" s="888"/>
      <c r="N411" s="888"/>
      <c r="O411" s="888"/>
      <c r="P411" s="888"/>
      <c r="Q411" s="888"/>
      <c r="R411" s="888"/>
      <c r="S411" s="888"/>
      <c r="T411" s="888"/>
      <c r="U411" s="888"/>
      <c r="V411" s="888"/>
      <c r="W411" s="888"/>
      <c r="X411" s="888"/>
      <c r="Y411" s="888"/>
      <c r="Z411" s="888"/>
      <c r="AA411" s="888"/>
      <c r="AB411" s="888"/>
      <c r="AC411" s="888"/>
      <c r="AD411" s="888"/>
      <c r="AE411" s="888"/>
      <c r="AF411" s="888"/>
      <c r="AG411" s="888"/>
      <c r="AH411" s="888"/>
      <c r="AI411" s="888"/>
      <c r="AJ411" s="888"/>
      <c r="AK411" s="888"/>
      <c r="AL411" s="888"/>
      <c r="AM411" s="888"/>
      <c r="AN411" s="888"/>
      <c r="AO411" s="888"/>
      <c r="AP411" s="888"/>
      <c r="AQ411" s="888"/>
      <c r="AR411" s="888"/>
      <c r="AS411" s="888"/>
      <c r="AT411" s="888"/>
      <c r="AU411" s="888"/>
      <c r="AV411" s="888"/>
      <c r="AW411" s="888"/>
      <c r="AX411" s="888"/>
      <c r="AY411" s="888"/>
      <c r="AZ411" s="567"/>
      <c r="BA411" s="567"/>
      <c r="BB411" s="567"/>
      <c r="BC411" s="567"/>
      <c r="BD411" s="567"/>
      <c r="BE411" s="567"/>
      <c r="BF411" s="567"/>
      <c r="BG411" s="567"/>
      <c r="BH411" s="567"/>
      <c r="BI411" s="567"/>
      <c r="BJ411" s="567"/>
      <c r="BK411" s="567"/>
      <c r="BL411" s="567"/>
      <c r="BM411" s="567"/>
      <c r="BN411" s="567"/>
      <c r="BO411" s="567"/>
      <c r="BP411" s="567"/>
      <c r="BQ411" s="567"/>
      <c r="BR411" s="567"/>
      <c r="BS411" s="567"/>
      <c r="BT411" s="567"/>
      <c r="BU411" s="567"/>
      <c r="BV411" s="567"/>
      <c r="BW411" s="567"/>
      <c r="BX411" s="567"/>
      <c r="BY411" s="567"/>
      <c r="BZ411" s="567"/>
      <c r="CA411" s="567"/>
      <c r="CB411" s="567"/>
      <c r="CC411" s="567"/>
      <c r="CD411" s="567"/>
      <c r="CE411" s="567"/>
      <c r="CF411" s="567"/>
      <c r="CG411" s="567"/>
      <c r="CH411" s="567"/>
      <c r="CI411" s="567"/>
      <c r="CJ411" s="567"/>
      <c r="CK411" s="567"/>
      <c r="CL411" s="567"/>
      <c r="CM411" s="567"/>
      <c r="CN411" s="567"/>
      <c r="CO411" s="567"/>
      <c r="CP411" s="567"/>
      <c r="CQ411" s="567"/>
      <c r="CR411" s="567"/>
      <c r="CS411" s="567"/>
      <c r="CT411" s="567"/>
      <c r="CU411" s="567"/>
      <c r="CV411" s="567"/>
      <c r="CW411" s="567"/>
      <c r="CX411" s="567"/>
      <c r="CY411" s="567"/>
      <c r="CZ411" s="567"/>
      <c r="DA411" s="567"/>
      <c r="DB411" s="567"/>
      <c r="DC411" s="567"/>
      <c r="DD411" s="567"/>
      <c r="DE411" s="567"/>
      <c r="DF411" s="567"/>
      <c r="DG411" s="567"/>
      <c r="DH411" s="567"/>
      <c r="DI411" s="567"/>
      <c r="DJ411" s="567"/>
      <c r="DK411" s="567"/>
      <c r="DL411" s="567"/>
      <c r="DM411" s="567"/>
      <c r="DN411" s="567"/>
      <c r="DO411" s="567"/>
      <c r="DP411" s="567"/>
      <c r="DQ411" s="567"/>
    </row>
    <row r="412" spans="1:121" s="487" customFormat="1">
      <c r="A412" s="588"/>
      <c r="B412" s="588"/>
      <c r="C412" s="588"/>
      <c r="D412" s="588"/>
      <c r="E412" s="588"/>
      <c r="F412" s="588"/>
      <c r="G412" s="588"/>
      <c r="H412" s="588"/>
      <c r="I412" s="588"/>
      <c r="J412" s="588"/>
      <c r="K412" s="588"/>
      <c r="L412" s="702"/>
      <c r="M412" s="888"/>
      <c r="N412" s="888"/>
      <c r="O412" s="888"/>
      <c r="P412" s="888"/>
      <c r="Q412" s="888"/>
      <c r="R412" s="888"/>
      <c r="S412" s="888"/>
      <c r="T412" s="888"/>
      <c r="U412" s="888"/>
      <c r="V412" s="888"/>
      <c r="W412" s="888"/>
      <c r="X412" s="888"/>
      <c r="Y412" s="888"/>
      <c r="Z412" s="888"/>
      <c r="AA412" s="888"/>
      <c r="AB412" s="888"/>
      <c r="AC412" s="888"/>
      <c r="AD412" s="888"/>
      <c r="AE412" s="888"/>
      <c r="AF412" s="888"/>
      <c r="AG412" s="888"/>
      <c r="AH412" s="888"/>
      <c r="AI412" s="888"/>
      <c r="AJ412" s="888"/>
      <c r="AK412" s="888"/>
      <c r="AL412" s="888"/>
      <c r="AM412" s="888"/>
      <c r="AN412" s="888"/>
      <c r="AO412" s="888"/>
      <c r="AP412" s="888"/>
      <c r="AQ412" s="888"/>
      <c r="AR412" s="888"/>
      <c r="AS412" s="888"/>
      <c r="AT412" s="888"/>
      <c r="AU412" s="888"/>
      <c r="AV412" s="888"/>
      <c r="AW412" s="888"/>
      <c r="AX412" s="888"/>
      <c r="AY412" s="888"/>
      <c r="AZ412" s="567"/>
      <c r="BA412" s="567"/>
      <c r="BB412" s="567"/>
      <c r="BC412" s="567"/>
      <c r="BD412" s="567"/>
      <c r="BE412" s="567"/>
      <c r="BF412" s="567"/>
      <c r="BG412" s="567"/>
      <c r="BH412" s="567"/>
      <c r="BI412" s="567"/>
      <c r="BJ412" s="567"/>
      <c r="BK412" s="567"/>
      <c r="BL412" s="567"/>
      <c r="BM412" s="567"/>
      <c r="BN412" s="567"/>
      <c r="BO412" s="567"/>
      <c r="BP412" s="567"/>
      <c r="BQ412" s="567"/>
      <c r="BR412" s="567"/>
      <c r="BS412" s="567"/>
      <c r="BT412" s="567"/>
      <c r="BU412" s="567"/>
      <c r="BV412" s="567"/>
      <c r="BW412" s="567"/>
      <c r="BX412" s="567"/>
      <c r="BY412" s="567"/>
      <c r="BZ412" s="567"/>
      <c r="CA412" s="567"/>
      <c r="CB412" s="567"/>
      <c r="CC412" s="567"/>
      <c r="CD412" s="567"/>
      <c r="CE412" s="567"/>
      <c r="CF412" s="567"/>
      <c r="CG412" s="567"/>
      <c r="CH412" s="567"/>
      <c r="CI412" s="567"/>
      <c r="CJ412" s="567"/>
      <c r="CK412" s="567"/>
      <c r="CL412" s="567"/>
      <c r="CM412" s="567"/>
      <c r="CN412" s="567"/>
      <c r="CO412" s="567"/>
      <c r="CP412" s="567"/>
      <c r="CQ412" s="567"/>
      <c r="CR412" s="567"/>
      <c r="CS412" s="567"/>
      <c r="CT412" s="567"/>
      <c r="CU412" s="567"/>
      <c r="CV412" s="567"/>
      <c r="CW412" s="567"/>
      <c r="CX412" s="567"/>
      <c r="CY412" s="567"/>
      <c r="CZ412" s="567"/>
      <c r="DA412" s="567"/>
      <c r="DB412" s="567"/>
      <c r="DC412" s="567"/>
      <c r="DD412" s="567"/>
      <c r="DE412" s="567"/>
      <c r="DF412" s="567"/>
      <c r="DG412" s="567"/>
      <c r="DH412" s="567"/>
      <c r="DI412" s="567"/>
      <c r="DJ412" s="567"/>
      <c r="DK412" s="567"/>
      <c r="DL412" s="567"/>
      <c r="DM412" s="567"/>
      <c r="DN412" s="567"/>
      <c r="DO412" s="567"/>
      <c r="DP412" s="567"/>
      <c r="DQ412" s="567"/>
    </row>
    <row r="413" spans="1:121" s="487" customFormat="1">
      <c r="A413" s="588"/>
      <c r="B413" s="588"/>
      <c r="C413" s="588"/>
      <c r="D413" s="588"/>
      <c r="E413" s="588"/>
      <c r="F413" s="588"/>
      <c r="G413" s="588"/>
      <c r="H413" s="588"/>
      <c r="I413" s="588"/>
      <c r="J413" s="588"/>
      <c r="K413" s="588"/>
      <c r="L413" s="702"/>
      <c r="M413" s="888"/>
      <c r="N413" s="888"/>
      <c r="O413" s="888"/>
      <c r="P413" s="888"/>
      <c r="Q413" s="888"/>
      <c r="R413" s="888"/>
      <c r="S413" s="888"/>
      <c r="T413" s="888"/>
      <c r="U413" s="888"/>
      <c r="V413" s="888"/>
      <c r="W413" s="888"/>
      <c r="X413" s="888"/>
      <c r="Y413" s="888"/>
      <c r="Z413" s="888"/>
      <c r="AA413" s="888"/>
      <c r="AB413" s="888"/>
      <c r="AC413" s="888"/>
      <c r="AD413" s="888"/>
      <c r="AE413" s="888"/>
      <c r="AF413" s="888"/>
      <c r="AG413" s="888"/>
      <c r="AH413" s="888"/>
      <c r="AI413" s="888"/>
      <c r="AJ413" s="888"/>
      <c r="AK413" s="888"/>
      <c r="AL413" s="888"/>
      <c r="AM413" s="888"/>
      <c r="AN413" s="888"/>
      <c r="AO413" s="888"/>
      <c r="AP413" s="888"/>
      <c r="AQ413" s="888"/>
      <c r="AR413" s="888"/>
      <c r="AS413" s="888"/>
      <c r="AT413" s="888"/>
      <c r="AU413" s="888"/>
      <c r="AV413" s="888"/>
      <c r="AW413" s="888"/>
      <c r="AX413" s="888"/>
      <c r="AY413" s="888"/>
      <c r="AZ413" s="567"/>
      <c r="BA413" s="567"/>
      <c r="BB413" s="567"/>
      <c r="BC413" s="567"/>
      <c r="BD413" s="567"/>
      <c r="BE413" s="567"/>
      <c r="BF413" s="567"/>
      <c r="BG413" s="567"/>
      <c r="BH413" s="567"/>
      <c r="BI413" s="567"/>
      <c r="BJ413" s="567"/>
      <c r="BK413" s="567"/>
      <c r="BL413" s="567"/>
      <c r="BM413" s="567"/>
      <c r="BN413" s="567"/>
      <c r="BO413" s="567"/>
      <c r="BP413" s="567"/>
      <c r="BQ413" s="567"/>
      <c r="BR413" s="567"/>
      <c r="BS413" s="567"/>
      <c r="BT413" s="567"/>
      <c r="BU413" s="567"/>
      <c r="BV413" s="567"/>
      <c r="BW413" s="567"/>
      <c r="BX413" s="567"/>
      <c r="BY413" s="567"/>
      <c r="BZ413" s="567"/>
      <c r="CA413" s="567"/>
      <c r="CB413" s="567"/>
      <c r="CC413" s="567"/>
      <c r="CD413" s="567"/>
      <c r="CE413" s="567"/>
      <c r="CF413" s="567"/>
      <c r="CG413" s="567"/>
      <c r="CH413" s="567"/>
      <c r="CI413" s="567"/>
      <c r="CJ413" s="567"/>
      <c r="CK413" s="567"/>
      <c r="CL413" s="567"/>
      <c r="CM413" s="567"/>
      <c r="CN413" s="567"/>
      <c r="CO413" s="567"/>
      <c r="CP413" s="567"/>
      <c r="CQ413" s="567"/>
      <c r="CR413" s="567"/>
      <c r="CS413" s="567"/>
      <c r="CT413" s="567"/>
      <c r="CU413" s="567"/>
      <c r="CV413" s="567"/>
      <c r="CW413" s="567"/>
      <c r="CX413" s="567"/>
      <c r="CY413" s="567"/>
      <c r="CZ413" s="567"/>
      <c r="DA413" s="567"/>
      <c r="DB413" s="567"/>
      <c r="DC413" s="567"/>
      <c r="DD413" s="567"/>
      <c r="DE413" s="567"/>
      <c r="DF413" s="567"/>
      <c r="DG413" s="567"/>
      <c r="DH413" s="567"/>
      <c r="DI413" s="567"/>
      <c r="DJ413" s="567"/>
      <c r="DK413" s="567"/>
      <c r="DL413" s="567"/>
      <c r="DM413" s="567"/>
      <c r="DN413" s="567"/>
      <c r="DO413" s="567"/>
      <c r="DP413" s="567"/>
      <c r="DQ413" s="567"/>
    </row>
    <row r="414" spans="1:121" s="487" customFormat="1">
      <c r="A414" s="588"/>
      <c r="B414" s="588"/>
      <c r="C414" s="588"/>
      <c r="D414" s="588"/>
      <c r="E414" s="588"/>
      <c r="F414" s="588"/>
      <c r="G414" s="588"/>
      <c r="H414" s="588"/>
      <c r="I414" s="588"/>
      <c r="J414" s="588"/>
      <c r="K414" s="588"/>
      <c r="L414" s="702"/>
      <c r="M414" s="888"/>
      <c r="N414" s="888"/>
      <c r="O414" s="888"/>
      <c r="P414" s="888"/>
      <c r="Q414" s="888"/>
      <c r="R414" s="888"/>
      <c r="S414" s="888"/>
      <c r="T414" s="888"/>
      <c r="U414" s="888"/>
      <c r="V414" s="888"/>
      <c r="W414" s="888"/>
      <c r="X414" s="888"/>
      <c r="Y414" s="888"/>
      <c r="Z414" s="888"/>
      <c r="AA414" s="888"/>
      <c r="AB414" s="888"/>
      <c r="AC414" s="888"/>
      <c r="AD414" s="888"/>
      <c r="AE414" s="888"/>
      <c r="AF414" s="888"/>
      <c r="AG414" s="888"/>
      <c r="AH414" s="888"/>
      <c r="AI414" s="888"/>
      <c r="AJ414" s="888"/>
      <c r="AK414" s="888"/>
      <c r="AL414" s="888"/>
      <c r="AM414" s="888"/>
      <c r="AN414" s="888"/>
      <c r="AO414" s="888"/>
      <c r="AP414" s="888"/>
      <c r="AQ414" s="888"/>
      <c r="AR414" s="888"/>
      <c r="AS414" s="888"/>
      <c r="AT414" s="888"/>
      <c r="AU414" s="888"/>
      <c r="AV414" s="888"/>
      <c r="AW414" s="888"/>
      <c r="AX414" s="888"/>
      <c r="AY414" s="888"/>
      <c r="AZ414" s="567"/>
      <c r="BA414" s="567"/>
      <c r="BB414" s="567"/>
      <c r="BC414" s="567"/>
      <c r="BD414" s="567"/>
      <c r="BE414" s="567"/>
      <c r="BF414" s="567"/>
      <c r="BG414" s="567"/>
      <c r="BH414" s="567"/>
      <c r="BI414" s="567"/>
      <c r="BJ414" s="567"/>
      <c r="BK414" s="567"/>
      <c r="BL414" s="567"/>
      <c r="BM414" s="567"/>
      <c r="BN414" s="567"/>
      <c r="BO414" s="567"/>
      <c r="BP414" s="567"/>
      <c r="BQ414" s="567"/>
      <c r="BR414" s="567"/>
      <c r="BS414" s="567"/>
      <c r="BT414" s="567"/>
      <c r="BU414" s="567"/>
      <c r="BV414" s="567"/>
      <c r="BW414" s="567"/>
      <c r="BX414" s="567"/>
      <c r="BY414" s="567"/>
      <c r="BZ414" s="567"/>
      <c r="CA414" s="567"/>
      <c r="CB414" s="567"/>
      <c r="CC414" s="567"/>
      <c r="CD414" s="567"/>
      <c r="CE414" s="567"/>
      <c r="CF414" s="567"/>
      <c r="CG414" s="567"/>
      <c r="CH414" s="567"/>
      <c r="CI414" s="567"/>
      <c r="CJ414" s="567"/>
      <c r="CK414" s="567"/>
      <c r="CL414" s="567"/>
      <c r="CM414" s="567"/>
      <c r="CN414" s="567"/>
      <c r="CO414" s="567"/>
      <c r="CP414" s="567"/>
      <c r="CQ414" s="567"/>
      <c r="CR414" s="567"/>
      <c r="CS414" s="567"/>
      <c r="CT414" s="567"/>
      <c r="CU414" s="567"/>
      <c r="CV414" s="567"/>
      <c r="CW414" s="567"/>
      <c r="CX414" s="567"/>
      <c r="CY414" s="567"/>
      <c r="CZ414" s="567"/>
      <c r="DA414" s="567"/>
      <c r="DB414" s="567"/>
      <c r="DC414" s="567"/>
      <c r="DD414" s="567"/>
      <c r="DE414" s="567"/>
      <c r="DF414" s="567"/>
      <c r="DG414" s="567"/>
      <c r="DH414" s="567"/>
      <c r="DI414" s="567"/>
      <c r="DJ414" s="567"/>
      <c r="DK414" s="567"/>
      <c r="DL414" s="567"/>
      <c r="DM414" s="567"/>
      <c r="DN414" s="567"/>
      <c r="DO414" s="567"/>
      <c r="DP414" s="567"/>
      <c r="DQ414" s="567"/>
    </row>
    <row r="415" spans="1:121" s="487" customFormat="1">
      <c r="A415" s="588"/>
      <c r="B415" s="588"/>
      <c r="C415" s="588"/>
      <c r="D415" s="588"/>
      <c r="E415" s="588"/>
      <c r="F415" s="588"/>
      <c r="G415" s="588"/>
      <c r="H415" s="588"/>
      <c r="I415" s="588"/>
      <c r="J415" s="588"/>
      <c r="K415" s="588"/>
      <c r="L415" s="702"/>
      <c r="M415" s="888"/>
      <c r="N415" s="888"/>
      <c r="O415" s="888"/>
      <c r="P415" s="888"/>
      <c r="Q415" s="888"/>
      <c r="R415" s="888"/>
      <c r="S415" s="888"/>
      <c r="T415" s="888"/>
      <c r="U415" s="888"/>
      <c r="V415" s="888"/>
      <c r="W415" s="888"/>
      <c r="X415" s="888"/>
      <c r="Y415" s="888"/>
      <c r="Z415" s="888"/>
      <c r="AA415" s="888"/>
      <c r="AB415" s="888"/>
      <c r="AC415" s="888"/>
      <c r="AD415" s="888"/>
      <c r="AE415" s="888"/>
      <c r="AF415" s="888"/>
      <c r="AG415" s="888"/>
      <c r="AH415" s="888"/>
      <c r="AI415" s="888"/>
      <c r="AJ415" s="888"/>
      <c r="AK415" s="888"/>
      <c r="AL415" s="888"/>
      <c r="AM415" s="888"/>
      <c r="AN415" s="888"/>
      <c r="AO415" s="888"/>
      <c r="AP415" s="888"/>
      <c r="AQ415" s="888"/>
      <c r="AR415" s="888"/>
      <c r="AS415" s="888"/>
      <c r="AT415" s="888"/>
      <c r="AU415" s="888"/>
      <c r="AV415" s="888"/>
      <c r="AW415" s="888"/>
      <c r="AX415" s="888"/>
      <c r="AY415" s="888"/>
      <c r="AZ415" s="567"/>
      <c r="BA415" s="567"/>
      <c r="BB415" s="567"/>
      <c r="BC415" s="567"/>
      <c r="BD415" s="567"/>
      <c r="BE415" s="567"/>
      <c r="BF415" s="567"/>
      <c r="BG415" s="567"/>
      <c r="BH415" s="567"/>
      <c r="BI415" s="567"/>
      <c r="BJ415" s="567"/>
      <c r="BK415" s="567"/>
      <c r="BL415" s="567"/>
      <c r="BM415" s="567"/>
      <c r="BN415" s="567"/>
      <c r="BO415" s="567"/>
      <c r="BP415" s="567"/>
      <c r="BQ415" s="567"/>
      <c r="BR415" s="567"/>
      <c r="BS415" s="567"/>
      <c r="BT415" s="567"/>
      <c r="BU415" s="567"/>
      <c r="BV415" s="567"/>
      <c r="BW415" s="567"/>
      <c r="BX415" s="567"/>
      <c r="BY415" s="567"/>
      <c r="BZ415" s="567"/>
      <c r="CA415" s="567"/>
      <c r="CB415" s="567"/>
      <c r="CC415" s="567"/>
      <c r="CD415" s="567"/>
      <c r="CE415" s="567"/>
      <c r="CF415" s="567"/>
      <c r="CG415" s="567"/>
      <c r="CH415" s="567"/>
      <c r="CI415" s="567"/>
      <c r="CJ415" s="567"/>
      <c r="CK415" s="567"/>
      <c r="CL415" s="567"/>
      <c r="CM415" s="567"/>
      <c r="CN415" s="567"/>
      <c r="CO415" s="567"/>
      <c r="CP415" s="567"/>
      <c r="CQ415" s="567"/>
      <c r="CR415" s="567"/>
      <c r="CS415" s="567"/>
      <c r="CT415" s="567"/>
      <c r="CU415" s="567"/>
      <c r="CV415" s="567"/>
      <c r="CW415" s="567"/>
      <c r="CX415" s="567"/>
      <c r="CY415" s="567"/>
      <c r="CZ415" s="567"/>
      <c r="DA415" s="567"/>
      <c r="DB415" s="567"/>
      <c r="DC415" s="567"/>
      <c r="DD415" s="567"/>
      <c r="DE415" s="567"/>
      <c r="DF415" s="567"/>
      <c r="DG415" s="567"/>
      <c r="DH415" s="567"/>
      <c r="DI415" s="567"/>
      <c r="DJ415" s="567"/>
      <c r="DK415" s="567"/>
      <c r="DL415" s="567"/>
      <c r="DM415" s="567"/>
      <c r="DN415" s="567"/>
      <c r="DO415" s="567"/>
      <c r="DP415" s="567"/>
      <c r="DQ415" s="567"/>
    </row>
    <row r="416" spans="1:121" s="487" customFormat="1">
      <c r="A416" s="588"/>
      <c r="B416" s="588"/>
      <c r="C416" s="588"/>
      <c r="D416" s="588"/>
      <c r="E416" s="588"/>
      <c r="F416" s="588"/>
      <c r="G416" s="588"/>
      <c r="H416" s="588"/>
      <c r="I416" s="588"/>
      <c r="J416" s="588"/>
      <c r="K416" s="588"/>
      <c r="L416" s="702"/>
      <c r="M416" s="888"/>
      <c r="N416" s="888"/>
      <c r="O416" s="888"/>
      <c r="P416" s="888"/>
      <c r="Q416" s="888"/>
      <c r="R416" s="888"/>
      <c r="S416" s="888"/>
      <c r="T416" s="888"/>
      <c r="U416" s="888"/>
      <c r="V416" s="888"/>
      <c r="W416" s="888"/>
      <c r="X416" s="888"/>
      <c r="Y416" s="888"/>
      <c r="Z416" s="888"/>
      <c r="AA416" s="888"/>
      <c r="AB416" s="888"/>
      <c r="AC416" s="888"/>
      <c r="AD416" s="888"/>
      <c r="AE416" s="888"/>
      <c r="AF416" s="888"/>
      <c r="AG416" s="888"/>
      <c r="AH416" s="888"/>
      <c r="AI416" s="888"/>
      <c r="AJ416" s="888"/>
      <c r="AK416" s="888"/>
      <c r="AL416" s="888"/>
      <c r="AM416" s="888"/>
      <c r="AN416" s="888"/>
      <c r="AO416" s="888"/>
      <c r="AP416" s="888"/>
      <c r="AQ416" s="888"/>
      <c r="AR416" s="888"/>
      <c r="AS416" s="888"/>
      <c r="AT416" s="888"/>
      <c r="AU416" s="888"/>
      <c r="AV416" s="888"/>
      <c r="AW416" s="888"/>
      <c r="AX416" s="888"/>
      <c r="AY416" s="888"/>
      <c r="AZ416" s="567"/>
      <c r="BA416" s="567"/>
      <c r="BB416" s="567"/>
      <c r="BC416" s="567"/>
      <c r="BD416" s="567"/>
      <c r="BE416" s="567"/>
      <c r="BF416" s="567"/>
      <c r="BG416" s="567"/>
      <c r="BH416" s="567"/>
      <c r="BI416" s="567"/>
      <c r="BJ416" s="567"/>
      <c r="BK416" s="567"/>
      <c r="BL416" s="567"/>
      <c r="BM416" s="567"/>
      <c r="BN416" s="567"/>
      <c r="BO416" s="567"/>
      <c r="BP416" s="567"/>
      <c r="BQ416" s="567"/>
      <c r="BR416" s="567"/>
      <c r="BS416" s="567"/>
      <c r="BT416" s="567"/>
      <c r="BU416" s="567"/>
      <c r="BV416" s="567"/>
      <c r="BW416" s="567"/>
      <c r="BX416" s="567"/>
      <c r="BY416" s="567"/>
      <c r="BZ416" s="567"/>
      <c r="CA416" s="567"/>
      <c r="CB416" s="567"/>
      <c r="CC416" s="567"/>
      <c r="CD416" s="567"/>
      <c r="CE416" s="567"/>
      <c r="CF416" s="567"/>
      <c r="CG416" s="567"/>
      <c r="CH416" s="567"/>
      <c r="CI416" s="567"/>
      <c r="CJ416" s="567"/>
      <c r="CK416" s="567"/>
      <c r="CL416" s="567"/>
      <c r="CM416" s="567"/>
      <c r="CN416" s="567"/>
      <c r="CO416" s="567"/>
      <c r="CP416" s="567"/>
      <c r="CQ416" s="567"/>
      <c r="CR416" s="567"/>
      <c r="CS416" s="567"/>
      <c r="CT416" s="567"/>
      <c r="CU416" s="567"/>
      <c r="CV416" s="567"/>
      <c r="CW416" s="567"/>
      <c r="CX416" s="567"/>
      <c r="CY416" s="567"/>
      <c r="CZ416" s="567"/>
      <c r="DA416" s="567"/>
      <c r="DB416" s="567"/>
      <c r="DC416" s="567"/>
      <c r="DD416" s="567"/>
      <c r="DE416" s="567"/>
      <c r="DF416" s="567"/>
      <c r="DG416" s="567"/>
      <c r="DH416" s="567"/>
      <c r="DI416" s="567"/>
      <c r="DJ416" s="567"/>
      <c r="DK416" s="567"/>
      <c r="DL416" s="567"/>
      <c r="DM416" s="567"/>
      <c r="DN416" s="567"/>
      <c r="DO416" s="567"/>
      <c r="DP416" s="567"/>
      <c r="DQ416" s="567"/>
    </row>
    <row r="417" spans="1:121" s="487" customFormat="1">
      <c r="A417" s="588"/>
      <c r="B417" s="588"/>
      <c r="C417" s="588"/>
      <c r="D417" s="588"/>
      <c r="E417" s="588"/>
      <c r="F417" s="588"/>
      <c r="G417" s="588"/>
      <c r="H417" s="588"/>
      <c r="I417" s="588"/>
      <c r="J417" s="588"/>
      <c r="K417" s="588"/>
      <c r="L417" s="702"/>
      <c r="M417" s="888"/>
      <c r="N417" s="888"/>
      <c r="O417" s="888"/>
      <c r="P417" s="888"/>
      <c r="Q417" s="888"/>
      <c r="R417" s="888"/>
      <c r="S417" s="888"/>
      <c r="T417" s="888"/>
      <c r="U417" s="888"/>
      <c r="V417" s="888"/>
      <c r="W417" s="888"/>
      <c r="X417" s="888"/>
      <c r="Y417" s="888"/>
      <c r="Z417" s="888"/>
      <c r="AA417" s="888"/>
      <c r="AB417" s="888"/>
      <c r="AC417" s="888"/>
      <c r="AD417" s="888"/>
      <c r="AE417" s="888"/>
      <c r="AF417" s="888"/>
      <c r="AG417" s="888"/>
      <c r="AH417" s="888"/>
      <c r="AI417" s="888"/>
      <c r="AJ417" s="888"/>
      <c r="AK417" s="888"/>
      <c r="AL417" s="888"/>
      <c r="AM417" s="888"/>
      <c r="AN417" s="888"/>
      <c r="AO417" s="888"/>
      <c r="AP417" s="888"/>
      <c r="AQ417" s="888"/>
      <c r="AR417" s="888"/>
      <c r="AS417" s="888"/>
      <c r="AT417" s="888"/>
      <c r="AU417" s="888"/>
      <c r="AV417" s="888"/>
      <c r="AW417" s="888"/>
      <c r="AX417" s="888"/>
      <c r="AY417" s="888"/>
      <c r="AZ417" s="567"/>
      <c r="BA417" s="567"/>
      <c r="BB417" s="567"/>
      <c r="BC417" s="567"/>
      <c r="BD417" s="567"/>
      <c r="BE417" s="567"/>
      <c r="BF417" s="567"/>
      <c r="BG417" s="567"/>
      <c r="BH417" s="567"/>
      <c r="BI417" s="567"/>
      <c r="BJ417" s="567"/>
      <c r="BK417" s="567"/>
      <c r="BL417" s="567"/>
      <c r="BM417" s="567"/>
      <c r="BN417" s="567"/>
      <c r="BO417" s="567"/>
      <c r="BP417" s="567"/>
      <c r="BQ417" s="567"/>
      <c r="BR417" s="567"/>
      <c r="BS417" s="567"/>
      <c r="BT417" s="567"/>
      <c r="BU417" s="567"/>
      <c r="BV417" s="567"/>
      <c r="BW417" s="567"/>
      <c r="BX417" s="567"/>
      <c r="BY417" s="567"/>
      <c r="BZ417" s="567"/>
      <c r="CA417" s="567"/>
      <c r="CB417" s="567"/>
      <c r="CC417" s="567"/>
      <c r="CD417" s="567"/>
      <c r="CE417" s="567"/>
      <c r="CF417" s="567"/>
      <c r="CG417" s="567"/>
      <c r="CH417" s="567"/>
      <c r="CI417" s="567"/>
      <c r="CJ417" s="567"/>
      <c r="CK417" s="567"/>
      <c r="CL417" s="567"/>
      <c r="CM417" s="567"/>
      <c r="CN417" s="567"/>
      <c r="CO417" s="567"/>
      <c r="CP417" s="567"/>
      <c r="CQ417" s="567"/>
      <c r="CR417" s="567"/>
      <c r="CS417" s="567"/>
      <c r="CT417" s="567"/>
      <c r="CU417" s="567"/>
      <c r="CV417" s="567"/>
      <c r="CW417" s="567"/>
      <c r="CX417" s="567"/>
      <c r="CY417" s="567"/>
      <c r="CZ417" s="567"/>
      <c r="DA417" s="567"/>
      <c r="DB417" s="567"/>
      <c r="DC417" s="567"/>
      <c r="DD417" s="567"/>
      <c r="DE417" s="567"/>
      <c r="DF417" s="567"/>
      <c r="DG417" s="567"/>
      <c r="DH417" s="567"/>
      <c r="DI417" s="567"/>
      <c r="DJ417" s="567"/>
      <c r="DK417" s="567"/>
      <c r="DL417" s="567"/>
      <c r="DM417" s="567"/>
      <c r="DN417" s="567"/>
      <c r="DO417" s="567"/>
      <c r="DP417" s="567"/>
      <c r="DQ417" s="567"/>
    </row>
    <row r="418" spans="1:121" s="487" customFormat="1">
      <c r="A418" s="588"/>
      <c r="B418" s="588"/>
      <c r="C418" s="588"/>
      <c r="D418" s="588"/>
      <c r="E418" s="588"/>
      <c r="F418" s="588"/>
      <c r="G418" s="588"/>
      <c r="H418" s="588"/>
      <c r="I418" s="588"/>
      <c r="J418" s="588"/>
      <c r="K418" s="588"/>
      <c r="L418" s="702"/>
      <c r="M418" s="888"/>
      <c r="N418" s="888"/>
      <c r="O418" s="888"/>
      <c r="P418" s="888"/>
      <c r="Q418" s="888"/>
      <c r="R418" s="888"/>
      <c r="S418" s="888"/>
      <c r="T418" s="888"/>
      <c r="U418" s="888"/>
      <c r="V418" s="888"/>
      <c r="W418" s="888"/>
      <c r="X418" s="888"/>
      <c r="Y418" s="888"/>
      <c r="Z418" s="888"/>
      <c r="AA418" s="888"/>
      <c r="AB418" s="888"/>
      <c r="AC418" s="888"/>
      <c r="AD418" s="888"/>
      <c r="AE418" s="888"/>
      <c r="AF418" s="888"/>
      <c r="AG418" s="888"/>
      <c r="AH418" s="888"/>
      <c r="AI418" s="888"/>
      <c r="AJ418" s="888"/>
      <c r="AK418" s="888"/>
      <c r="AL418" s="888"/>
      <c r="AM418" s="888"/>
      <c r="AN418" s="888"/>
      <c r="AO418" s="888"/>
      <c r="AP418" s="888"/>
      <c r="AQ418" s="888"/>
      <c r="AR418" s="888"/>
      <c r="AS418" s="888"/>
      <c r="AT418" s="888"/>
      <c r="AU418" s="888"/>
      <c r="AV418" s="888"/>
      <c r="AW418" s="888"/>
      <c r="AX418" s="888"/>
      <c r="AY418" s="888"/>
      <c r="AZ418" s="567"/>
      <c r="BA418" s="567"/>
      <c r="BB418" s="567"/>
      <c r="BC418" s="567"/>
      <c r="BD418" s="567"/>
      <c r="BE418" s="567"/>
      <c r="BF418" s="567"/>
      <c r="BG418" s="567"/>
      <c r="BH418" s="567"/>
      <c r="BI418" s="567"/>
      <c r="BJ418" s="567"/>
      <c r="BK418" s="567"/>
      <c r="BL418" s="567"/>
      <c r="BM418" s="567"/>
      <c r="BN418" s="567"/>
      <c r="BO418" s="567"/>
      <c r="BP418" s="567"/>
      <c r="BQ418" s="567"/>
      <c r="BR418" s="567"/>
      <c r="BS418" s="567"/>
      <c r="BT418" s="567"/>
      <c r="BU418" s="567"/>
      <c r="BV418" s="567"/>
      <c r="BW418" s="567"/>
      <c r="BX418" s="567"/>
      <c r="BY418" s="567"/>
      <c r="BZ418" s="567"/>
      <c r="CA418" s="567"/>
      <c r="CB418" s="567"/>
      <c r="CC418" s="567"/>
      <c r="CD418" s="567"/>
      <c r="CE418" s="567"/>
      <c r="CF418" s="567"/>
      <c r="CG418" s="567"/>
      <c r="CH418" s="567"/>
      <c r="CI418" s="567"/>
      <c r="CJ418" s="567"/>
      <c r="CK418" s="567"/>
      <c r="CL418" s="567"/>
      <c r="CM418" s="567"/>
      <c r="CN418" s="567"/>
      <c r="CO418" s="567"/>
      <c r="CP418" s="567"/>
      <c r="CQ418" s="567"/>
      <c r="CR418" s="567"/>
      <c r="CS418" s="567"/>
      <c r="CT418" s="567"/>
      <c r="CU418" s="567"/>
      <c r="CV418" s="567"/>
      <c r="CW418" s="567"/>
      <c r="CX418" s="567"/>
      <c r="CY418" s="567"/>
      <c r="CZ418" s="567"/>
      <c r="DA418" s="567"/>
      <c r="DB418" s="567"/>
      <c r="DC418" s="567"/>
      <c r="DD418" s="567"/>
      <c r="DE418" s="567"/>
      <c r="DF418" s="567"/>
      <c r="DG418" s="567"/>
      <c r="DH418" s="567"/>
      <c r="DI418" s="567"/>
      <c r="DJ418" s="567"/>
      <c r="DK418" s="567"/>
      <c r="DL418" s="567"/>
      <c r="DM418" s="567"/>
      <c r="DN418" s="567"/>
      <c r="DO418" s="567"/>
      <c r="DP418" s="567"/>
      <c r="DQ418" s="567"/>
    </row>
    <row r="419" spans="1:121" s="487" customFormat="1">
      <c r="A419" s="588"/>
      <c r="B419" s="588"/>
      <c r="C419" s="588"/>
      <c r="D419" s="588"/>
      <c r="E419" s="588"/>
      <c r="F419" s="588"/>
      <c r="G419" s="588"/>
      <c r="H419" s="588"/>
      <c r="I419" s="588"/>
      <c r="J419" s="588"/>
      <c r="K419" s="588"/>
      <c r="L419" s="702"/>
      <c r="M419" s="888"/>
      <c r="N419" s="888"/>
      <c r="O419" s="888"/>
      <c r="P419" s="888"/>
      <c r="Q419" s="888"/>
      <c r="R419" s="888"/>
      <c r="S419" s="888"/>
      <c r="T419" s="888"/>
      <c r="U419" s="888"/>
      <c r="V419" s="888"/>
      <c r="W419" s="888"/>
      <c r="X419" s="888"/>
      <c r="Y419" s="888"/>
      <c r="Z419" s="888"/>
      <c r="AA419" s="888"/>
      <c r="AB419" s="888"/>
      <c r="AC419" s="888"/>
      <c r="AD419" s="888"/>
      <c r="AE419" s="888"/>
      <c r="AF419" s="888"/>
      <c r="AG419" s="888"/>
      <c r="AH419" s="888"/>
      <c r="AI419" s="888"/>
      <c r="AJ419" s="888"/>
      <c r="AK419" s="888"/>
      <c r="AL419" s="888"/>
      <c r="AM419" s="888"/>
      <c r="AN419" s="888"/>
      <c r="AO419" s="888"/>
      <c r="AP419" s="888"/>
      <c r="AQ419" s="888"/>
      <c r="AR419" s="888"/>
      <c r="AS419" s="888"/>
      <c r="AT419" s="888"/>
      <c r="AU419" s="888"/>
      <c r="AV419" s="888"/>
      <c r="AW419" s="888"/>
      <c r="AX419" s="888"/>
      <c r="AY419" s="888"/>
      <c r="AZ419" s="567"/>
      <c r="BA419" s="567"/>
      <c r="BB419" s="567"/>
      <c r="BC419" s="567"/>
      <c r="BD419" s="567"/>
      <c r="BE419" s="567"/>
      <c r="BF419" s="567"/>
      <c r="BG419" s="567"/>
      <c r="BH419" s="567"/>
      <c r="BI419" s="567"/>
      <c r="BJ419" s="567"/>
      <c r="BK419" s="567"/>
      <c r="BL419" s="567"/>
      <c r="BM419" s="567"/>
      <c r="BN419" s="567"/>
      <c r="BO419" s="567"/>
      <c r="BP419" s="567"/>
      <c r="BQ419" s="567"/>
      <c r="BR419" s="567"/>
      <c r="BS419" s="567"/>
      <c r="BT419" s="567"/>
      <c r="BU419" s="567"/>
      <c r="BV419" s="567"/>
      <c r="BW419" s="567"/>
      <c r="BX419" s="567"/>
      <c r="BY419" s="567"/>
      <c r="BZ419" s="567"/>
      <c r="CA419" s="567"/>
      <c r="CB419" s="567"/>
      <c r="CC419" s="567"/>
      <c r="CD419" s="567"/>
      <c r="CE419" s="567"/>
      <c r="CF419" s="567"/>
      <c r="CG419" s="567"/>
      <c r="CH419" s="567"/>
      <c r="CI419" s="567"/>
      <c r="CJ419" s="567"/>
      <c r="CK419" s="567"/>
      <c r="CL419" s="567"/>
      <c r="CM419" s="567"/>
      <c r="CN419" s="567"/>
      <c r="CO419" s="567"/>
      <c r="CP419" s="567"/>
      <c r="CQ419" s="567"/>
      <c r="CR419" s="567"/>
      <c r="CS419" s="567"/>
      <c r="CT419" s="567"/>
      <c r="CU419" s="567"/>
      <c r="CV419" s="567"/>
      <c r="CW419" s="567"/>
      <c r="CX419" s="567"/>
      <c r="CY419" s="567"/>
      <c r="CZ419" s="567"/>
      <c r="DA419" s="567"/>
      <c r="DB419" s="567"/>
      <c r="DC419" s="567"/>
      <c r="DD419" s="567"/>
      <c r="DE419" s="567"/>
      <c r="DF419" s="567"/>
      <c r="DG419" s="567"/>
      <c r="DH419" s="567"/>
      <c r="DI419" s="567"/>
      <c r="DJ419" s="567"/>
      <c r="DK419" s="567"/>
      <c r="DL419" s="567"/>
      <c r="DM419" s="567"/>
      <c r="DN419" s="567"/>
      <c r="DO419" s="567"/>
      <c r="DP419" s="567"/>
      <c r="DQ419" s="567"/>
    </row>
    <row r="420" spans="1:121" s="487" customFormat="1">
      <c r="A420" s="588"/>
      <c r="B420" s="588"/>
      <c r="C420" s="588"/>
      <c r="D420" s="588"/>
      <c r="E420" s="588"/>
      <c r="F420" s="588"/>
      <c r="G420" s="588"/>
      <c r="H420" s="588"/>
      <c r="I420" s="588"/>
      <c r="J420" s="588"/>
      <c r="K420" s="588"/>
      <c r="L420" s="702"/>
      <c r="M420" s="888"/>
      <c r="N420" s="888"/>
      <c r="O420" s="888"/>
      <c r="P420" s="888"/>
      <c r="Q420" s="888"/>
      <c r="R420" s="888"/>
      <c r="S420" s="888"/>
      <c r="T420" s="888"/>
      <c r="U420" s="888"/>
      <c r="V420" s="888"/>
      <c r="W420" s="888"/>
      <c r="X420" s="888"/>
      <c r="Y420" s="888"/>
      <c r="Z420" s="888"/>
      <c r="AA420" s="888"/>
      <c r="AB420" s="888"/>
      <c r="AC420" s="888"/>
      <c r="AD420" s="888"/>
      <c r="AE420" s="888"/>
      <c r="AF420" s="888"/>
      <c r="AG420" s="888"/>
      <c r="AH420" s="888"/>
      <c r="AI420" s="888"/>
      <c r="AJ420" s="888"/>
      <c r="AK420" s="888"/>
      <c r="AL420" s="888"/>
      <c r="AM420" s="888"/>
      <c r="AN420" s="888"/>
      <c r="AO420" s="888"/>
      <c r="AP420" s="888"/>
      <c r="AQ420" s="888"/>
      <c r="AR420" s="888"/>
      <c r="AS420" s="888"/>
      <c r="AT420" s="888"/>
      <c r="AU420" s="888"/>
      <c r="AV420" s="888"/>
      <c r="AW420" s="888"/>
      <c r="AX420" s="888"/>
      <c r="AY420" s="888"/>
      <c r="AZ420" s="567"/>
      <c r="BA420" s="567"/>
      <c r="BB420" s="567"/>
      <c r="BC420" s="567"/>
      <c r="BD420" s="567"/>
      <c r="BE420" s="567"/>
      <c r="BF420" s="567"/>
      <c r="BG420" s="567"/>
      <c r="BH420" s="567"/>
      <c r="BI420" s="567"/>
      <c r="BJ420" s="567"/>
      <c r="BK420" s="567"/>
      <c r="BL420" s="567"/>
      <c r="BM420" s="567"/>
      <c r="BN420" s="567"/>
      <c r="BO420" s="567"/>
      <c r="BP420" s="567"/>
      <c r="BQ420" s="567"/>
      <c r="BR420" s="567"/>
      <c r="BS420" s="567"/>
      <c r="BT420" s="567"/>
      <c r="BU420" s="567"/>
      <c r="BV420" s="567"/>
      <c r="BW420" s="567"/>
      <c r="BX420" s="567"/>
      <c r="BY420" s="567"/>
      <c r="BZ420" s="567"/>
      <c r="CA420" s="567"/>
      <c r="CB420" s="567"/>
      <c r="CC420" s="567"/>
      <c r="CD420" s="567"/>
      <c r="CE420" s="567"/>
      <c r="CF420" s="567"/>
      <c r="CG420" s="567"/>
      <c r="CH420" s="567"/>
      <c r="CI420" s="567"/>
      <c r="CJ420" s="567"/>
      <c r="CK420" s="567"/>
      <c r="CL420" s="567"/>
      <c r="CM420" s="567"/>
      <c r="CN420" s="567"/>
      <c r="CO420" s="567"/>
      <c r="CP420" s="567"/>
      <c r="CQ420" s="567"/>
      <c r="CR420" s="567"/>
      <c r="CS420" s="567"/>
      <c r="CT420" s="567"/>
      <c r="CU420" s="567"/>
      <c r="CV420" s="567"/>
      <c r="CW420" s="567"/>
      <c r="CX420" s="567"/>
      <c r="CY420" s="567"/>
      <c r="CZ420" s="567"/>
      <c r="DA420" s="567"/>
      <c r="DB420" s="567"/>
      <c r="DC420" s="567"/>
      <c r="DD420" s="567"/>
      <c r="DE420" s="567"/>
      <c r="DF420" s="567"/>
      <c r="DG420" s="567"/>
      <c r="DH420" s="567"/>
      <c r="DI420" s="567"/>
      <c r="DJ420" s="567"/>
      <c r="DK420" s="567"/>
      <c r="DL420" s="567"/>
      <c r="DM420" s="567"/>
      <c r="DN420" s="567"/>
      <c r="DO420" s="567"/>
      <c r="DP420" s="567"/>
      <c r="DQ420" s="567"/>
    </row>
    <row r="421" spans="1:121" s="487" customFormat="1">
      <c r="A421" s="588"/>
      <c r="B421" s="588"/>
      <c r="C421" s="588"/>
      <c r="D421" s="588"/>
      <c r="E421" s="588"/>
      <c r="F421" s="588"/>
      <c r="G421" s="588"/>
      <c r="H421" s="588"/>
      <c r="I421" s="588"/>
      <c r="J421" s="588"/>
      <c r="K421" s="588"/>
      <c r="L421" s="702"/>
      <c r="M421" s="888"/>
      <c r="N421" s="888"/>
      <c r="O421" s="888"/>
      <c r="P421" s="888"/>
      <c r="Q421" s="888"/>
      <c r="R421" s="888"/>
      <c r="S421" s="888"/>
      <c r="T421" s="888"/>
      <c r="U421" s="888"/>
      <c r="V421" s="888"/>
      <c r="W421" s="888"/>
      <c r="X421" s="888"/>
      <c r="Y421" s="888"/>
      <c r="Z421" s="888"/>
      <c r="AA421" s="888"/>
      <c r="AB421" s="888"/>
      <c r="AC421" s="888"/>
      <c r="AD421" s="888"/>
      <c r="AE421" s="888"/>
      <c r="AF421" s="888"/>
      <c r="AG421" s="888"/>
      <c r="AH421" s="888"/>
      <c r="AI421" s="888"/>
      <c r="AJ421" s="888"/>
      <c r="AK421" s="888"/>
      <c r="AL421" s="888"/>
      <c r="AM421" s="888"/>
      <c r="AN421" s="888"/>
      <c r="AO421" s="888"/>
      <c r="AP421" s="888"/>
      <c r="AQ421" s="888"/>
      <c r="AR421" s="888"/>
      <c r="AS421" s="888"/>
      <c r="AT421" s="888"/>
      <c r="AU421" s="888"/>
      <c r="AV421" s="888"/>
      <c r="AW421" s="888"/>
      <c r="AX421" s="888"/>
      <c r="AY421" s="888"/>
      <c r="AZ421" s="567"/>
      <c r="BA421" s="567"/>
      <c r="BB421" s="567"/>
      <c r="BC421" s="567"/>
      <c r="BD421" s="567"/>
      <c r="BE421" s="567"/>
      <c r="BF421" s="567"/>
      <c r="BG421" s="567"/>
      <c r="BH421" s="567"/>
      <c r="BI421" s="567"/>
      <c r="BJ421" s="567"/>
      <c r="BK421" s="567"/>
      <c r="BL421" s="567"/>
      <c r="BM421" s="567"/>
      <c r="BN421" s="567"/>
      <c r="BO421" s="567"/>
      <c r="BP421" s="567"/>
      <c r="BQ421" s="567"/>
      <c r="BR421" s="567"/>
      <c r="BS421" s="567"/>
      <c r="BT421" s="567"/>
      <c r="BU421" s="567"/>
      <c r="BV421" s="567"/>
      <c r="BW421" s="567"/>
      <c r="BX421" s="567"/>
      <c r="BY421" s="567"/>
      <c r="BZ421" s="567"/>
      <c r="CA421" s="567"/>
      <c r="CB421" s="567"/>
      <c r="CC421" s="567"/>
      <c r="CD421" s="567"/>
      <c r="CE421" s="567"/>
      <c r="CF421" s="567"/>
      <c r="CG421" s="567"/>
      <c r="CH421" s="567"/>
      <c r="CI421" s="567"/>
      <c r="CJ421" s="567"/>
      <c r="CK421" s="567"/>
      <c r="CL421" s="567"/>
      <c r="CM421" s="567"/>
      <c r="CN421" s="567"/>
      <c r="CO421" s="567"/>
      <c r="CP421" s="567"/>
      <c r="CQ421" s="567"/>
      <c r="CR421" s="567"/>
      <c r="CS421" s="567"/>
      <c r="CT421" s="567"/>
      <c r="CU421" s="567"/>
      <c r="CV421" s="567"/>
      <c r="CW421" s="567"/>
      <c r="CX421" s="567"/>
      <c r="CY421" s="567"/>
      <c r="CZ421" s="567"/>
      <c r="DA421" s="567"/>
      <c r="DB421" s="567"/>
      <c r="DC421" s="567"/>
      <c r="DD421" s="567"/>
      <c r="DE421" s="567"/>
      <c r="DF421" s="567"/>
      <c r="DG421" s="567"/>
      <c r="DH421" s="567"/>
      <c r="DI421" s="567"/>
      <c r="DJ421" s="567"/>
      <c r="DK421" s="567"/>
      <c r="DL421" s="567"/>
      <c r="DM421" s="567"/>
      <c r="DN421" s="567"/>
      <c r="DO421" s="567"/>
      <c r="DP421" s="567"/>
      <c r="DQ421" s="567"/>
    </row>
    <row r="422" spans="1:121" s="487" customFormat="1">
      <c r="A422" s="588"/>
      <c r="B422" s="588"/>
      <c r="C422" s="588"/>
      <c r="D422" s="588"/>
      <c r="E422" s="588"/>
      <c r="F422" s="588"/>
      <c r="G422" s="588"/>
      <c r="H422" s="588"/>
      <c r="I422" s="588"/>
      <c r="J422" s="588"/>
      <c r="K422" s="588"/>
      <c r="L422" s="702"/>
      <c r="M422" s="888"/>
      <c r="N422" s="888"/>
      <c r="O422" s="888"/>
      <c r="P422" s="888"/>
      <c r="Q422" s="888"/>
      <c r="R422" s="888"/>
      <c r="S422" s="888"/>
      <c r="T422" s="888"/>
      <c r="U422" s="888"/>
      <c r="V422" s="888"/>
      <c r="W422" s="888"/>
      <c r="X422" s="888"/>
      <c r="Y422" s="888"/>
      <c r="Z422" s="888"/>
      <c r="AA422" s="888"/>
      <c r="AB422" s="888"/>
      <c r="AC422" s="888"/>
      <c r="AD422" s="888"/>
      <c r="AE422" s="888"/>
      <c r="AF422" s="888"/>
      <c r="AG422" s="888"/>
      <c r="AH422" s="888"/>
      <c r="AI422" s="888"/>
      <c r="AJ422" s="888"/>
      <c r="AK422" s="888"/>
      <c r="AL422" s="888"/>
      <c r="AM422" s="888"/>
      <c r="AN422" s="888"/>
      <c r="AO422" s="888"/>
      <c r="AP422" s="888"/>
      <c r="AQ422" s="888"/>
      <c r="AR422" s="888"/>
      <c r="AS422" s="888"/>
      <c r="AT422" s="888"/>
      <c r="AU422" s="888"/>
      <c r="AV422" s="888"/>
      <c r="AW422" s="888"/>
      <c r="AX422" s="888"/>
      <c r="AY422" s="888"/>
      <c r="AZ422" s="567"/>
      <c r="BA422" s="567"/>
      <c r="BB422" s="567"/>
      <c r="BC422" s="567"/>
      <c r="BD422" s="567"/>
      <c r="BE422" s="567"/>
      <c r="BF422" s="567"/>
      <c r="BG422" s="567"/>
      <c r="BH422" s="567"/>
      <c r="BI422" s="567"/>
      <c r="BJ422" s="567"/>
      <c r="BK422" s="567"/>
      <c r="BL422" s="567"/>
      <c r="BM422" s="567"/>
      <c r="BN422" s="567"/>
      <c r="BO422" s="567"/>
      <c r="BP422" s="567"/>
      <c r="BQ422" s="567"/>
      <c r="BR422" s="567"/>
      <c r="BS422" s="567"/>
      <c r="BT422" s="567"/>
      <c r="BU422" s="567"/>
      <c r="BV422" s="567"/>
      <c r="BW422" s="567"/>
      <c r="BX422" s="567"/>
      <c r="BY422" s="567"/>
      <c r="BZ422" s="567"/>
      <c r="CA422" s="567"/>
      <c r="CB422" s="567"/>
      <c r="CC422" s="567"/>
      <c r="CD422" s="567"/>
      <c r="CE422" s="567"/>
      <c r="CF422" s="567"/>
      <c r="CG422" s="567"/>
      <c r="CH422" s="567"/>
      <c r="CI422" s="567"/>
      <c r="CJ422" s="567"/>
      <c r="CK422" s="567"/>
      <c r="CL422" s="567"/>
      <c r="CM422" s="567"/>
      <c r="CN422" s="567"/>
      <c r="CO422" s="567"/>
      <c r="CP422" s="567"/>
      <c r="CQ422" s="567"/>
      <c r="CR422" s="567"/>
      <c r="CS422" s="567"/>
      <c r="CT422" s="567"/>
      <c r="CU422" s="567"/>
      <c r="CV422" s="567"/>
      <c r="CW422" s="567"/>
      <c r="CX422" s="567"/>
      <c r="CY422" s="567"/>
      <c r="CZ422" s="567"/>
      <c r="DA422" s="567"/>
      <c r="DB422" s="567"/>
      <c r="DC422" s="567"/>
      <c r="DD422" s="567"/>
      <c r="DE422" s="567"/>
      <c r="DF422" s="567"/>
      <c r="DG422" s="567"/>
      <c r="DH422" s="567"/>
      <c r="DI422" s="567"/>
      <c r="DJ422" s="567"/>
      <c r="DK422" s="567"/>
      <c r="DL422" s="567"/>
      <c r="DM422" s="567"/>
      <c r="DN422" s="567"/>
      <c r="DO422" s="567"/>
      <c r="DP422" s="567"/>
      <c r="DQ422" s="567"/>
    </row>
    <row r="423" spans="1:121" s="487" customFormat="1">
      <c r="A423" s="588"/>
      <c r="B423" s="588"/>
      <c r="C423" s="588"/>
      <c r="D423" s="588"/>
      <c r="E423" s="588"/>
      <c r="F423" s="588"/>
      <c r="G423" s="588"/>
      <c r="H423" s="588"/>
      <c r="I423" s="588"/>
      <c r="J423" s="588"/>
      <c r="K423" s="588"/>
      <c r="L423" s="702"/>
      <c r="M423" s="888"/>
      <c r="N423" s="888"/>
      <c r="O423" s="888"/>
      <c r="P423" s="888"/>
      <c r="Q423" s="888"/>
      <c r="R423" s="888"/>
      <c r="S423" s="888"/>
      <c r="T423" s="888"/>
      <c r="U423" s="888"/>
      <c r="V423" s="888"/>
      <c r="W423" s="888"/>
      <c r="X423" s="888"/>
      <c r="Y423" s="888"/>
      <c r="Z423" s="888"/>
      <c r="AA423" s="888"/>
      <c r="AB423" s="888"/>
      <c r="AC423" s="888"/>
      <c r="AD423" s="888"/>
      <c r="AE423" s="888"/>
      <c r="AF423" s="888"/>
      <c r="AG423" s="888"/>
      <c r="AH423" s="888"/>
      <c r="AI423" s="888"/>
      <c r="AJ423" s="888"/>
      <c r="AK423" s="888"/>
      <c r="AL423" s="888"/>
      <c r="AM423" s="888"/>
      <c r="AN423" s="888"/>
      <c r="AO423" s="888"/>
      <c r="AP423" s="888"/>
      <c r="AQ423" s="888"/>
      <c r="AR423" s="888"/>
      <c r="AS423" s="888"/>
      <c r="AT423" s="888"/>
      <c r="AU423" s="888"/>
      <c r="AV423" s="888"/>
      <c r="AW423" s="888"/>
      <c r="AX423" s="888"/>
      <c r="AY423" s="888"/>
      <c r="AZ423" s="567"/>
      <c r="BA423" s="567"/>
      <c r="BB423" s="567"/>
      <c r="BC423" s="567"/>
      <c r="BD423" s="567"/>
      <c r="BE423" s="567"/>
      <c r="BF423" s="567"/>
      <c r="BG423" s="567"/>
      <c r="BH423" s="567"/>
      <c r="BI423" s="567"/>
      <c r="BJ423" s="567"/>
      <c r="BK423" s="567"/>
      <c r="BL423" s="567"/>
      <c r="BM423" s="567"/>
      <c r="BN423" s="567"/>
      <c r="BO423" s="567"/>
      <c r="BP423" s="567"/>
      <c r="BQ423" s="567"/>
      <c r="BR423" s="567"/>
      <c r="BS423" s="567"/>
      <c r="BT423" s="567"/>
      <c r="BU423" s="567"/>
      <c r="BV423" s="567"/>
      <c r="BW423" s="567"/>
      <c r="BX423" s="567"/>
      <c r="BY423" s="567"/>
      <c r="BZ423" s="567"/>
      <c r="CA423" s="567"/>
      <c r="CB423" s="567"/>
      <c r="CC423" s="567"/>
      <c r="CD423" s="567"/>
      <c r="CE423" s="567"/>
      <c r="CF423" s="567"/>
      <c r="CG423" s="567"/>
      <c r="CH423" s="567"/>
      <c r="CI423" s="567"/>
      <c r="CJ423" s="567"/>
      <c r="CK423" s="567"/>
      <c r="CL423" s="567"/>
      <c r="CM423" s="567"/>
      <c r="CN423" s="567"/>
      <c r="CO423" s="567"/>
      <c r="CP423" s="567"/>
      <c r="CQ423" s="567"/>
      <c r="CR423" s="567"/>
      <c r="CS423" s="567"/>
      <c r="CT423" s="567"/>
      <c r="CU423" s="567"/>
      <c r="CV423" s="567"/>
      <c r="CW423" s="567"/>
      <c r="CX423" s="567"/>
      <c r="CY423" s="567"/>
      <c r="CZ423" s="567"/>
      <c r="DA423" s="567"/>
      <c r="DB423" s="567"/>
      <c r="DC423" s="567"/>
      <c r="DD423" s="567"/>
      <c r="DE423" s="567"/>
      <c r="DF423" s="567"/>
      <c r="DG423" s="567"/>
      <c r="DH423" s="567"/>
      <c r="DI423" s="567"/>
      <c r="DJ423" s="567"/>
      <c r="DK423" s="567"/>
      <c r="DL423" s="567"/>
      <c r="DM423" s="567"/>
      <c r="DN423" s="567"/>
      <c r="DO423" s="567"/>
      <c r="DP423" s="567"/>
      <c r="DQ423" s="567"/>
    </row>
    <row r="424" spans="1:121" s="487" customFormat="1">
      <c r="A424" s="588"/>
      <c r="B424" s="588"/>
      <c r="C424" s="588"/>
      <c r="D424" s="588"/>
      <c r="E424" s="588"/>
      <c r="F424" s="588"/>
      <c r="G424" s="588"/>
      <c r="H424" s="588"/>
      <c r="I424" s="588"/>
      <c r="J424" s="588"/>
      <c r="K424" s="588"/>
      <c r="L424" s="702"/>
      <c r="M424" s="888"/>
      <c r="N424" s="888"/>
      <c r="O424" s="888"/>
      <c r="P424" s="888"/>
      <c r="Q424" s="888"/>
      <c r="R424" s="888"/>
      <c r="S424" s="888"/>
      <c r="T424" s="888"/>
      <c r="U424" s="888"/>
      <c r="V424" s="888"/>
      <c r="W424" s="888"/>
      <c r="X424" s="888"/>
      <c r="Y424" s="888"/>
      <c r="Z424" s="888"/>
      <c r="AA424" s="888"/>
      <c r="AB424" s="888"/>
      <c r="AC424" s="888"/>
      <c r="AD424" s="888"/>
      <c r="AE424" s="888"/>
      <c r="AF424" s="888"/>
      <c r="AG424" s="888"/>
      <c r="AH424" s="888"/>
      <c r="AI424" s="888"/>
      <c r="AJ424" s="888"/>
      <c r="AK424" s="888"/>
      <c r="AL424" s="888"/>
      <c r="AM424" s="888"/>
      <c r="AN424" s="888"/>
      <c r="AO424" s="888"/>
      <c r="AP424" s="888"/>
      <c r="AQ424" s="888"/>
      <c r="AR424" s="888"/>
      <c r="AS424" s="888"/>
      <c r="AT424" s="888"/>
      <c r="AU424" s="888"/>
      <c r="AV424" s="888"/>
      <c r="AW424" s="888"/>
      <c r="AX424" s="888"/>
      <c r="AY424" s="888"/>
      <c r="AZ424" s="567"/>
      <c r="BA424" s="567"/>
      <c r="BB424" s="567"/>
      <c r="BC424" s="567"/>
      <c r="BD424" s="567"/>
      <c r="BE424" s="567"/>
      <c r="BF424" s="567"/>
      <c r="BG424" s="567"/>
      <c r="BH424" s="567"/>
      <c r="BI424" s="567"/>
      <c r="BJ424" s="567"/>
      <c r="BK424" s="567"/>
      <c r="BL424" s="567"/>
      <c r="BM424" s="567"/>
      <c r="BN424" s="567"/>
      <c r="BO424" s="567"/>
      <c r="BP424" s="567"/>
      <c r="BQ424" s="567"/>
      <c r="BR424" s="567"/>
      <c r="BS424" s="567"/>
      <c r="BT424" s="567"/>
      <c r="BU424" s="567"/>
      <c r="BV424" s="567"/>
      <c r="BW424" s="567"/>
      <c r="BX424" s="567"/>
      <c r="BY424" s="567"/>
      <c r="BZ424" s="567"/>
      <c r="CA424" s="567"/>
      <c r="CB424" s="567"/>
      <c r="CC424" s="567"/>
      <c r="CD424" s="567"/>
      <c r="CE424" s="567"/>
      <c r="CF424" s="567"/>
      <c r="CG424" s="567"/>
      <c r="CH424" s="567"/>
      <c r="CI424" s="567"/>
      <c r="CJ424" s="567"/>
      <c r="CK424" s="567"/>
      <c r="CL424" s="567"/>
      <c r="CM424" s="567"/>
      <c r="CN424" s="567"/>
      <c r="CO424" s="567"/>
      <c r="CP424" s="567"/>
      <c r="CQ424" s="567"/>
      <c r="CR424" s="567"/>
      <c r="CS424" s="567"/>
      <c r="CT424" s="567"/>
      <c r="CU424" s="567"/>
      <c r="CV424" s="567"/>
      <c r="CW424" s="567"/>
      <c r="CX424" s="567"/>
      <c r="CY424" s="567"/>
      <c r="CZ424" s="567"/>
      <c r="DA424" s="567"/>
      <c r="DB424" s="567"/>
      <c r="DC424" s="567"/>
      <c r="DD424" s="567"/>
      <c r="DE424" s="567"/>
      <c r="DF424" s="567"/>
      <c r="DG424" s="567"/>
      <c r="DH424" s="567"/>
      <c r="DI424" s="567"/>
      <c r="DJ424" s="567"/>
      <c r="DK424" s="567"/>
      <c r="DL424" s="567"/>
      <c r="DM424" s="567"/>
      <c r="DN424" s="567"/>
      <c r="DO424" s="567"/>
      <c r="DP424" s="567"/>
      <c r="DQ424" s="567"/>
    </row>
    <row r="425" spans="1:121" s="487" customFormat="1">
      <c r="A425" s="588"/>
      <c r="B425" s="588"/>
      <c r="C425" s="588"/>
      <c r="D425" s="588"/>
      <c r="E425" s="588"/>
      <c r="F425" s="588"/>
      <c r="G425" s="588"/>
      <c r="H425" s="588"/>
      <c r="I425" s="588"/>
      <c r="J425" s="588"/>
      <c r="K425" s="588"/>
      <c r="L425" s="702"/>
      <c r="M425" s="888"/>
      <c r="N425" s="888"/>
      <c r="O425" s="888"/>
      <c r="P425" s="888"/>
      <c r="Q425" s="888"/>
      <c r="R425" s="888"/>
      <c r="S425" s="888"/>
      <c r="T425" s="888"/>
      <c r="U425" s="888"/>
      <c r="V425" s="888"/>
      <c r="W425" s="888"/>
      <c r="X425" s="888"/>
      <c r="Y425" s="888"/>
      <c r="Z425" s="888"/>
      <c r="AA425" s="888"/>
      <c r="AB425" s="888"/>
      <c r="AC425" s="888"/>
      <c r="AD425" s="888"/>
      <c r="AE425" s="888"/>
      <c r="AF425" s="888"/>
      <c r="AG425" s="888"/>
      <c r="AH425" s="888"/>
      <c r="AI425" s="888"/>
      <c r="AJ425" s="888"/>
      <c r="AK425" s="888"/>
      <c r="AL425" s="888"/>
      <c r="AM425" s="888"/>
      <c r="AN425" s="888"/>
      <c r="AO425" s="888"/>
      <c r="AP425" s="888"/>
      <c r="AQ425" s="888"/>
      <c r="AR425" s="888"/>
      <c r="AS425" s="888"/>
      <c r="AT425" s="888"/>
      <c r="AU425" s="888"/>
      <c r="AV425" s="888"/>
      <c r="AW425" s="888"/>
      <c r="AX425" s="888"/>
      <c r="AY425" s="888"/>
      <c r="AZ425" s="567"/>
      <c r="BA425" s="567"/>
      <c r="BB425" s="567"/>
      <c r="BC425" s="567"/>
      <c r="BD425" s="567"/>
      <c r="BE425" s="567"/>
      <c r="BF425" s="567"/>
      <c r="BG425" s="567"/>
      <c r="BH425" s="567"/>
      <c r="BI425" s="567"/>
      <c r="BJ425" s="567"/>
      <c r="BK425" s="567"/>
      <c r="BL425" s="567"/>
      <c r="BM425" s="567"/>
      <c r="BN425" s="567"/>
      <c r="BO425" s="567"/>
      <c r="BP425" s="567"/>
      <c r="BQ425" s="567"/>
      <c r="BR425" s="567"/>
      <c r="BS425" s="567"/>
      <c r="BT425" s="567"/>
      <c r="BU425" s="567"/>
      <c r="BV425" s="567"/>
      <c r="BW425" s="567"/>
      <c r="BX425" s="567"/>
      <c r="BY425" s="567"/>
      <c r="BZ425" s="567"/>
      <c r="CA425" s="567"/>
      <c r="CB425" s="567"/>
      <c r="CC425" s="567"/>
      <c r="CD425" s="567"/>
      <c r="CE425" s="567"/>
      <c r="CF425" s="567"/>
      <c r="CG425" s="567"/>
      <c r="CH425" s="567"/>
      <c r="CI425" s="567"/>
      <c r="CJ425" s="567"/>
      <c r="CK425" s="567"/>
      <c r="CL425" s="567"/>
      <c r="CM425" s="567"/>
      <c r="CN425" s="567"/>
      <c r="CO425" s="567"/>
      <c r="CP425" s="567"/>
      <c r="CQ425" s="567"/>
      <c r="CR425" s="567"/>
      <c r="CS425" s="567"/>
      <c r="CT425" s="567"/>
      <c r="CU425" s="567"/>
      <c r="CV425" s="567"/>
      <c r="CW425" s="567"/>
      <c r="CX425" s="567"/>
      <c r="CY425" s="567"/>
      <c r="CZ425" s="567"/>
      <c r="DA425" s="567"/>
      <c r="DB425" s="567"/>
      <c r="DC425" s="567"/>
      <c r="DD425" s="567"/>
      <c r="DE425" s="567"/>
      <c r="DF425" s="567"/>
      <c r="DG425" s="567"/>
      <c r="DH425" s="567"/>
      <c r="DI425" s="567"/>
      <c r="DJ425" s="567"/>
      <c r="DK425" s="567"/>
      <c r="DL425" s="567"/>
      <c r="DM425" s="567"/>
      <c r="DN425" s="567"/>
      <c r="DO425" s="567"/>
      <c r="DP425" s="567"/>
      <c r="DQ425" s="567"/>
    </row>
    <row r="426" spans="1:121" s="487" customFormat="1">
      <c r="A426" s="588"/>
      <c r="B426" s="588"/>
      <c r="C426" s="588"/>
      <c r="D426" s="588"/>
      <c r="E426" s="588"/>
      <c r="F426" s="588"/>
      <c r="G426" s="588"/>
      <c r="H426" s="588"/>
      <c r="I426" s="588"/>
      <c r="J426" s="588"/>
      <c r="K426" s="588"/>
      <c r="L426" s="702"/>
      <c r="M426" s="888"/>
      <c r="N426" s="888"/>
      <c r="O426" s="888"/>
      <c r="P426" s="888"/>
      <c r="Q426" s="888"/>
      <c r="R426" s="888"/>
      <c r="S426" s="888"/>
      <c r="T426" s="888"/>
      <c r="U426" s="888"/>
      <c r="V426" s="888"/>
      <c r="W426" s="888"/>
      <c r="X426" s="888"/>
      <c r="Y426" s="888"/>
      <c r="Z426" s="888"/>
      <c r="AA426" s="888"/>
      <c r="AB426" s="888"/>
      <c r="AC426" s="888"/>
      <c r="AD426" s="888"/>
      <c r="AE426" s="888"/>
      <c r="AF426" s="888"/>
      <c r="AG426" s="888"/>
      <c r="AH426" s="888"/>
      <c r="AI426" s="888"/>
      <c r="AJ426" s="888"/>
      <c r="AK426" s="888"/>
      <c r="AL426" s="888"/>
      <c r="AM426" s="888"/>
      <c r="AN426" s="888"/>
      <c r="AO426" s="888"/>
      <c r="AP426" s="888"/>
      <c r="AQ426" s="888"/>
      <c r="AR426" s="888"/>
      <c r="AS426" s="888"/>
      <c r="AT426" s="888"/>
      <c r="AU426" s="888"/>
      <c r="AV426" s="888"/>
      <c r="AW426" s="888"/>
      <c r="AX426" s="888"/>
      <c r="AY426" s="888"/>
      <c r="AZ426" s="567"/>
      <c r="BA426" s="567"/>
      <c r="BB426" s="567"/>
      <c r="BC426" s="567"/>
      <c r="BD426" s="567"/>
      <c r="BE426" s="567"/>
      <c r="BF426" s="567"/>
      <c r="BG426" s="567"/>
      <c r="BH426" s="567"/>
      <c r="BI426" s="567"/>
      <c r="BJ426" s="567"/>
      <c r="BK426" s="567"/>
      <c r="BL426" s="567"/>
      <c r="BM426" s="567"/>
      <c r="BN426" s="567"/>
      <c r="BO426" s="567"/>
      <c r="BP426" s="567"/>
      <c r="BQ426" s="567"/>
      <c r="BR426" s="567"/>
      <c r="BS426" s="567"/>
      <c r="BT426" s="567"/>
      <c r="BU426" s="567"/>
      <c r="BV426" s="567"/>
      <c r="BW426" s="567"/>
      <c r="BX426" s="567"/>
      <c r="BY426" s="567"/>
      <c r="BZ426" s="567"/>
      <c r="CA426" s="567"/>
      <c r="CB426" s="567"/>
      <c r="CC426" s="567"/>
      <c r="CD426" s="567"/>
      <c r="CE426" s="567"/>
      <c r="CF426" s="567"/>
      <c r="CG426" s="567"/>
      <c r="CH426" s="567"/>
      <c r="CI426" s="567"/>
      <c r="CJ426" s="567"/>
      <c r="CK426" s="567"/>
      <c r="CL426" s="567"/>
      <c r="CM426" s="567"/>
      <c r="CN426" s="567"/>
      <c r="CO426" s="567"/>
      <c r="CP426" s="567"/>
      <c r="CQ426" s="567"/>
      <c r="CR426" s="567"/>
      <c r="CS426" s="567"/>
      <c r="CT426" s="567"/>
      <c r="CU426" s="567"/>
      <c r="CV426" s="567"/>
      <c r="CW426" s="567"/>
      <c r="CX426" s="567"/>
      <c r="CY426" s="567"/>
      <c r="CZ426" s="567"/>
      <c r="DA426" s="567"/>
      <c r="DB426" s="567"/>
      <c r="DC426" s="567"/>
      <c r="DD426" s="567"/>
      <c r="DE426" s="567"/>
      <c r="DF426" s="567"/>
      <c r="DG426" s="567"/>
      <c r="DH426" s="567"/>
      <c r="DI426" s="567"/>
      <c r="DJ426" s="567"/>
      <c r="DK426" s="567"/>
      <c r="DL426" s="567"/>
      <c r="DM426" s="567"/>
      <c r="DN426" s="567"/>
      <c r="DO426" s="567"/>
      <c r="DP426" s="567"/>
      <c r="DQ426" s="567"/>
    </row>
    <row r="427" spans="1:121" s="487" customFormat="1">
      <c r="A427" s="588"/>
      <c r="B427" s="588"/>
      <c r="C427" s="588"/>
      <c r="D427" s="588"/>
      <c r="E427" s="588"/>
      <c r="F427" s="588"/>
      <c r="G427" s="588"/>
      <c r="H427" s="588"/>
      <c r="I427" s="588"/>
      <c r="J427" s="588"/>
      <c r="K427" s="588"/>
      <c r="L427" s="702"/>
      <c r="M427" s="888"/>
      <c r="N427" s="888"/>
      <c r="O427" s="888"/>
      <c r="P427" s="888"/>
      <c r="Q427" s="888"/>
      <c r="R427" s="888"/>
      <c r="S427" s="888"/>
      <c r="T427" s="888"/>
      <c r="U427" s="888"/>
      <c r="V427" s="888"/>
      <c r="W427" s="888"/>
      <c r="X427" s="888"/>
      <c r="Y427" s="888"/>
      <c r="Z427" s="888"/>
      <c r="AA427" s="888"/>
      <c r="AB427" s="888"/>
      <c r="AC427" s="888"/>
      <c r="AD427" s="888"/>
      <c r="AE427" s="888"/>
      <c r="AF427" s="888"/>
      <c r="AG427" s="888"/>
      <c r="AH427" s="888"/>
      <c r="AI427" s="888"/>
      <c r="AJ427" s="888"/>
      <c r="AK427" s="888"/>
      <c r="AL427" s="888"/>
      <c r="AM427" s="888"/>
      <c r="AN427" s="888"/>
      <c r="AO427" s="888"/>
      <c r="AP427" s="888"/>
      <c r="AQ427" s="888"/>
      <c r="AR427" s="888"/>
      <c r="AS427" s="888"/>
      <c r="AT427" s="888"/>
      <c r="AU427" s="888"/>
      <c r="AV427" s="888"/>
      <c r="AW427" s="888"/>
      <c r="AX427" s="888"/>
      <c r="AY427" s="888"/>
      <c r="AZ427" s="567"/>
      <c r="BA427" s="567"/>
      <c r="BB427" s="567"/>
      <c r="BC427" s="567"/>
      <c r="BD427" s="567"/>
      <c r="BE427" s="567"/>
      <c r="BF427" s="567"/>
      <c r="BG427" s="567"/>
      <c r="BH427" s="567"/>
      <c r="BI427" s="567"/>
      <c r="BJ427" s="567"/>
      <c r="BK427" s="567"/>
      <c r="BL427" s="567"/>
      <c r="BM427" s="567"/>
      <c r="BN427" s="567"/>
      <c r="BO427" s="567"/>
      <c r="BP427" s="567"/>
      <c r="BQ427" s="567"/>
      <c r="BR427" s="567"/>
      <c r="BS427" s="567"/>
      <c r="BT427" s="567"/>
      <c r="BU427" s="567"/>
      <c r="BV427" s="567"/>
      <c r="BW427" s="567"/>
      <c r="BX427" s="567"/>
      <c r="BY427" s="567"/>
      <c r="BZ427" s="567"/>
      <c r="CA427" s="567"/>
      <c r="CB427" s="567"/>
      <c r="CC427" s="567"/>
      <c r="CD427" s="567"/>
      <c r="CE427" s="567"/>
      <c r="CF427" s="567"/>
      <c r="CG427" s="567"/>
      <c r="CH427" s="567"/>
      <c r="CI427" s="567"/>
      <c r="CJ427" s="567"/>
      <c r="CK427" s="567"/>
      <c r="CL427" s="567"/>
      <c r="CM427" s="567"/>
      <c r="CN427" s="567"/>
      <c r="CO427" s="567"/>
      <c r="CP427" s="567"/>
      <c r="CQ427" s="567"/>
      <c r="CR427" s="567"/>
      <c r="CS427" s="567"/>
      <c r="CT427" s="567"/>
      <c r="CU427" s="567"/>
      <c r="CV427" s="567"/>
      <c r="CW427" s="567"/>
      <c r="CX427" s="567"/>
      <c r="CY427" s="567"/>
      <c r="CZ427" s="567"/>
      <c r="DA427" s="567"/>
      <c r="DB427" s="567"/>
      <c r="DC427" s="567"/>
      <c r="DD427" s="567"/>
      <c r="DE427" s="567"/>
      <c r="DF427" s="567"/>
      <c r="DG427" s="567"/>
      <c r="DH427" s="567"/>
      <c r="DI427" s="567"/>
      <c r="DJ427" s="567"/>
      <c r="DK427" s="567"/>
      <c r="DL427" s="567"/>
      <c r="DM427" s="567"/>
      <c r="DN427" s="567"/>
      <c r="DO427" s="567"/>
      <c r="DP427" s="567"/>
      <c r="DQ427" s="567"/>
    </row>
    <row r="428" spans="1:121" s="487" customFormat="1">
      <c r="A428" s="588"/>
      <c r="B428" s="588"/>
      <c r="C428" s="588"/>
      <c r="D428" s="588"/>
      <c r="E428" s="588"/>
      <c r="F428" s="588"/>
      <c r="G428" s="588"/>
      <c r="H428" s="588"/>
      <c r="I428" s="588"/>
      <c r="J428" s="588"/>
      <c r="K428" s="588"/>
      <c r="L428" s="702"/>
      <c r="M428" s="888"/>
      <c r="N428" s="888"/>
      <c r="O428" s="888"/>
      <c r="P428" s="888"/>
      <c r="Q428" s="888"/>
      <c r="R428" s="888"/>
      <c r="S428" s="888"/>
      <c r="T428" s="888"/>
      <c r="U428" s="888"/>
      <c r="V428" s="888"/>
      <c r="W428" s="888"/>
      <c r="X428" s="888"/>
      <c r="Y428" s="888"/>
      <c r="Z428" s="888"/>
      <c r="AA428" s="888"/>
      <c r="AB428" s="888"/>
      <c r="AC428" s="888"/>
      <c r="AD428" s="888"/>
      <c r="AE428" s="888"/>
      <c r="AF428" s="888"/>
      <c r="AG428" s="888"/>
      <c r="AH428" s="888"/>
      <c r="AI428" s="888"/>
      <c r="AJ428" s="888"/>
      <c r="AK428" s="888"/>
      <c r="AL428" s="888"/>
      <c r="AM428" s="888"/>
      <c r="AN428" s="888"/>
      <c r="AO428" s="888"/>
      <c r="AP428" s="888"/>
      <c r="AQ428" s="888"/>
      <c r="AR428" s="888"/>
      <c r="AS428" s="888"/>
      <c r="AT428" s="888"/>
      <c r="AU428" s="888"/>
      <c r="AV428" s="888"/>
      <c r="AW428" s="888"/>
      <c r="AX428" s="888"/>
      <c r="AY428" s="888"/>
      <c r="AZ428" s="567"/>
      <c r="BA428" s="567"/>
      <c r="BB428" s="567"/>
      <c r="BC428" s="567"/>
      <c r="BD428" s="567"/>
      <c r="BE428" s="567"/>
      <c r="BF428" s="567"/>
      <c r="BG428" s="567"/>
      <c r="BH428" s="567"/>
      <c r="BI428" s="567"/>
      <c r="BJ428" s="567"/>
      <c r="BK428" s="567"/>
      <c r="BL428" s="567"/>
      <c r="BM428" s="567"/>
      <c r="BN428" s="567"/>
      <c r="BO428" s="567"/>
      <c r="BP428" s="567"/>
      <c r="BQ428" s="567"/>
      <c r="BR428" s="567"/>
      <c r="BS428" s="567"/>
      <c r="BT428" s="567"/>
      <c r="BU428" s="567"/>
      <c r="BV428" s="567"/>
      <c r="BW428" s="567"/>
      <c r="BX428" s="567"/>
      <c r="BY428" s="567"/>
      <c r="BZ428" s="567"/>
      <c r="CA428" s="567"/>
      <c r="CB428" s="567"/>
      <c r="CC428" s="567"/>
      <c r="CD428" s="567"/>
      <c r="CE428" s="567"/>
      <c r="CF428" s="567"/>
      <c r="CG428" s="567"/>
      <c r="CH428" s="567"/>
      <c r="CI428" s="567"/>
      <c r="CJ428" s="567"/>
      <c r="CK428" s="567"/>
      <c r="CL428" s="567"/>
      <c r="CM428" s="567"/>
      <c r="CN428" s="567"/>
      <c r="CO428" s="567"/>
      <c r="CP428" s="567"/>
      <c r="CQ428" s="567"/>
      <c r="CR428" s="567"/>
      <c r="CS428" s="567"/>
      <c r="CT428" s="567"/>
      <c r="CU428" s="567"/>
      <c r="CV428" s="567"/>
      <c r="CW428" s="567"/>
      <c r="CX428" s="567"/>
      <c r="CY428" s="567"/>
      <c r="CZ428" s="567"/>
      <c r="DA428" s="567"/>
      <c r="DB428" s="567"/>
      <c r="DC428" s="567"/>
      <c r="DD428" s="567"/>
      <c r="DE428" s="567"/>
      <c r="DF428" s="567"/>
      <c r="DG428" s="567"/>
      <c r="DH428" s="567"/>
      <c r="DI428" s="567"/>
      <c r="DJ428" s="567"/>
      <c r="DK428" s="567"/>
      <c r="DL428" s="567"/>
      <c r="DM428" s="567"/>
      <c r="DN428" s="567"/>
      <c r="DO428" s="567"/>
      <c r="DP428" s="567"/>
      <c r="DQ428" s="567"/>
    </row>
    <row r="429" spans="1:121" s="487" customFormat="1">
      <c r="A429" s="588"/>
      <c r="B429" s="588"/>
      <c r="C429" s="588"/>
      <c r="D429" s="588"/>
      <c r="E429" s="588"/>
      <c r="F429" s="588"/>
      <c r="G429" s="588"/>
      <c r="H429" s="588"/>
      <c r="I429" s="588"/>
      <c r="J429" s="588"/>
      <c r="K429" s="588"/>
      <c r="L429" s="702"/>
      <c r="M429" s="888"/>
      <c r="N429" s="888"/>
      <c r="O429" s="888"/>
      <c r="P429" s="888"/>
      <c r="Q429" s="888"/>
      <c r="R429" s="888"/>
      <c r="S429" s="888"/>
      <c r="T429" s="888"/>
      <c r="U429" s="888"/>
      <c r="V429" s="888"/>
      <c r="W429" s="888"/>
      <c r="X429" s="888"/>
      <c r="Y429" s="888"/>
      <c r="Z429" s="888"/>
      <c r="AA429" s="888"/>
      <c r="AB429" s="888"/>
      <c r="AC429" s="888"/>
      <c r="AD429" s="888"/>
      <c r="AE429" s="888"/>
      <c r="AF429" s="888"/>
      <c r="AG429" s="888"/>
      <c r="AH429" s="888"/>
      <c r="AI429" s="888"/>
      <c r="AJ429" s="888"/>
      <c r="AK429" s="888"/>
      <c r="AL429" s="888"/>
      <c r="AM429" s="888"/>
      <c r="AN429" s="888"/>
      <c r="AO429" s="888"/>
      <c r="AP429" s="888"/>
      <c r="AQ429" s="888"/>
      <c r="AR429" s="888"/>
      <c r="AS429" s="888"/>
      <c r="AT429" s="888"/>
      <c r="AU429" s="888"/>
      <c r="AV429" s="888"/>
      <c r="AW429" s="888"/>
      <c r="AX429" s="888"/>
      <c r="AY429" s="888"/>
      <c r="AZ429" s="567"/>
      <c r="BA429" s="567"/>
      <c r="BB429" s="567"/>
      <c r="BC429" s="567"/>
      <c r="BD429" s="567"/>
      <c r="BE429" s="567"/>
      <c r="BF429" s="567"/>
      <c r="BG429" s="567"/>
      <c r="BH429" s="567"/>
      <c r="BI429" s="567"/>
      <c r="BJ429" s="567"/>
      <c r="BK429" s="567"/>
      <c r="BL429" s="567"/>
      <c r="BM429" s="567"/>
      <c r="BN429" s="567"/>
      <c r="BO429" s="567"/>
      <c r="BP429" s="567"/>
      <c r="BQ429" s="567"/>
      <c r="BR429" s="567"/>
      <c r="BS429" s="567"/>
      <c r="BT429" s="567"/>
      <c r="BU429" s="567"/>
      <c r="BV429" s="567"/>
      <c r="BW429" s="567"/>
      <c r="BX429" s="567"/>
      <c r="BY429" s="567"/>
      <c r="BZ429" s="567"/>
      <c r="CA429" s="567"/>
      <c r="CB429" s="567"/>
      <c r="CC429" s="567"/>
      <c r="CD429" s="567"/>
      <c r="CE429" s="567"/>
      <c r="CF429" s="567"/>
      <c r="CG429" s="567"/>
      <c r="CH429" s="567"/>
      <c r="CI429" s="567"/>
      <c r="CJ429" s="567"/>
      <c r="CK429" s="567"/>
      <c r="CL429" s="567"/>
      <c r="CM429" s="567"/>
      <c r="CN429" s="567"/>
      <c r="CO429" s="567"/>
      <c r="CP429" s="567"/>
      <c r="CQ429" s="567"/>
      <c r="CR429" s="567"/>
      <c r="CS429" s="567"/>
      <c r="CT429" s="567"/>
      <c r="CU429" s="567"/>
      <c r="CV429" s="567"/>
      <c r="CW429" s="567"/>
      <c r="CX429" s="567"/>
      <c r="CY429" s="567"/>
      <c r="CZ429" s="567"/>
      <c r="DA429" s="567"/>
      <c r="DB429" s="567"/>
      <c r="DC429" s="567"/>
      <c r="DD429" s="567"/>
      <c r="DE429" s="567"/>
      <c r="DF429" s="567"/>
      <c r="DG429" s="567"/>
      <c r="DH429" s="567"/>
      <c r="DI429" s="567"/>
      <c r="DJ429" s="567"/>
      <c r="DK429" s="567"/>
      <c r="DL429" s="567"/>
      <c r="DM429" s="567"/>
      <c r="DN429" s="567"/>
      <c r="DO429" s="567"/>
      <c r="DP429" s="567"/>
      <c r="DQ429" s="567"/>
    </row>
    <row r="430" spans="1:121" s="487" customFormat="1">
      <c r="A430" s="588"/>
      <c r="B430" s="588"/>
      <c r="C430" s="588"/>
      <c r="D430" s="588"/>
      <c r="E430" s="588"/>
      <c r="F430" s="588"/>
      <c r="G430" s="588"/>
      <c r="H430" s="588"/>
      <c r="I430" s="588"/>
      <c r="J430" s="588"/>
      <c r="K430" s="588"/>
      <c r="L430" s="702"/>
      <c r="M430" s="888"/>
      <c r="N430" s="888"/>
      <c r="O430" s="888"/>
      <c r="P430" s="888"/>
      <c r="Q430" s="888"/>
      <c r="R430" s="888"/>
      <c r="S430" s="888"/>
      <c r="T430" s="888"/>
      <c r="U430" s="888"/>
      <c r="V430" s="888"/>
      <c r="W430" s="888"/>
      <c r="X430" s="888"/>
      <c r="Y430" s="888"/>
      <c r="Z430" s="888"/>
      <c r="AA430" s="888"/>
      <c r="AB430" s="888"/>
      <c r="AC430" s="888"/>
      <c r="AD430" s="888"/>
      <c r="AE430" s="888"/>
      <c r="AF430" s="888"/>
      <c r="AG430" s="888"/>
      <c r="AH430" s="888"/>
      <c r="AI430" s="888"/>
      <c r="AJ430" s="888"/>
      <c r="AK430" s="888"/>
      <c r="AL430" s="888"/>
      <c r="AM430" s="888"/>
      <c r="AN430" s="888"/>
      <c r="AO430" s="888"/>
      <c r="AP430" s="888"/>
      <c r="AQ430" s="888"/>
      <c r="AR430" s="888"/>
      <c r="AS430" s="888"/>
      <c r="AT430" s="888"/>
      <c r="AU430" s="888"/>
      <c r="AV430" s="888"/>
      <c r="AW430" s="888"/>
      <c r="AX430" s="888"/>
      <c r="AY430" s="888"/>
      <c r="AZ430" s="567"/>
      <c r="BA430" s="567"/>
      <c r="BB430" s="567"/>
      <c r="BC430" s="567"/>
      <c r="BD430" s="567"/>
      <c r="BE430" s="567"/>
      <c r="BF430" s="567"/>
      <c r="BG430" s="567"/>
      <c r="BH430" s="567"/>
      <c r="BI430" s="567"/>
      <c r="BJ430" s="567"/>
      <c r="BK430" s="567"/>
      <c r="BL430" s="567"/>
      <c r="BM430" s="567"/>
      <c r="BN430" s="567"/>
      <c r="BO430" s="567"/>
      <c r="BP430" s="567"/>
      <c r="BQ430" s="567"/>
      <c r="BR430" s="567"/>
      <c r="BS430" s="567"/>
      <c r="BT430" s="567"/>
      <c r="BU430" s="567"/>
      <c r="BV430" s="567"/>
      <c r="BW430" s="567"/>
      <c r="BX430" s="567"/>
      <c r="BY430" s="567"/>
      <c r="BZ430" s="567"/>
      <c r="CA430" s="567"/>
      <c r="CB430" s="567"/>
      <c r="CC430" s="567"/>
      <c r="CD430" s="567"/>
      <c r="CE430" s="567"/>
      <c r="CF430" s="567"/>
      <c r="CG430" s="567"/>
      <c r="CH430" s="567"/>
      <c r="CI430" s="567"/>
      <c r="CJ430" s="567"/>
      <c r="CK430" s="567"/>
      <c r="CL430" s="567"/>
      <c r="CM430" s="567"/>
      <c r="CN430" s="567"/>
      <c r="CO430" s="567"/>
      <c r="CP430" s="567"/>
      <c r="CQ430" s="567"/>
      <c r="CR430" s="567"/>
      <c r="CS430" s="567"/>
      <c r="CT430" s="567"/>
      <c r="CU430" s="567"/>
      <c r="CV430" s="567"/>
      <c r="CW430" s="567"/>
      <c r="CX430" s="567"/>
      <c r="CY430" s="567"/>
      <c r="CZ430" s="567"/>
      <c r="DA430" s="567"/>
      <c r="DB430" s="567"/>
      <c r="DC430" s="567"/>
      <c r="DD430" s="567"/>
      <c r="DE430" s="567"/>
      <c r="DF430" s="567"/>
      <c r="DG430" s="567"/>
      <c r="DH430" s="567"/>
      <c r="DI430" s="567"/>
      <c r="DJ430" s="567"/>
      <c r="DK430" s="567"/>
      <c r="DL430" s="567"/>
      <c r="DM430" s="567"/>
      <c r="DN430" s="567"/>
      <c r="DO430" s="567"/>
      <c r="DP430" s="567"/>
      <c r="DQ430" s="567"/>
    </row>
    <row r="431" spans="1:121" s="487" customFormat="1">
      <c r="A431" s="588"/>
      <c r="B431" s="588"/>
      <c r="C431" s="588"/>
      <c r="D431" s="588"/>
      <c r="E431" s="588"/>
      <c r="F431" s="588"/>
      <c r="G431" s="588"/>
      <c r="H431" s="588"/>
      <c r="I431" s="588"/>
      <c r="J431" s="588"/>
      <c r="K431" s="588"/>
      <c r="L431" s="702"/>
      <c r="M431" s="888"/>
      <c r="N431" s="888"/>
      <c r="O431" s="888"/>
      <c r="P431" s="888"/>
      <c r="Q431" s="888"/>
      <c r="R431" s="888"/>
      <c r="S431" s="888"/>
      <c r="T431" s="888"/>
      <c r="U431" s="888"/>
      <c r="V431" s="888"/>
      <c r="W431" s="888"/>
      <c r="X431" s="888"/>
      <c r="Y431" s="888"/>
      <c r="Z431" s="888"/>
      <c r="AA431" s="888"/>
      <c r="AB431" s="888"/>
      <c r="AC431" s="888"/>
      <c r="AD431" s="888"/>
      <c r="AE431" s="888"/>
      <c r="AF431" s="888"/>
      <c r="AG431" s="888"/>
      <c r="AH431" s="888"/>
      <c r="AI431" s="888"/>
      <c r="AJ431" s="888"/>
      <c r="AK431" s="888"/>
      <c r="AL431" s="888"/>
      <c r="AM431" s="888"/>
      <c r="AN431" s="888"/>
      <c r="AO431" s="888"/>
      <c r="AP431" s="888"/>
      <c r="AQ431" s="888"/>
      <c r="AR431" s="888"/>
      <c r="AS431" s="888"/>
      <c r="AT431" s="888"/>
      <c r="AU431" s="888"/>
      <c r="AV431" s="888"/>
      <c r="AW431" s="888"/>
      <c r="AX431" s="888"/>
      <c r="AY431" s="888"/>
      <c r="AZ431" s="567"/>
      <c r="BA431" s="567"/>
      <c r="BB431" s="567"/>
      <c r="BC431" s="567"/>
      <c r="BD431" s="567"/>
      <c r="BE431" s="567"/>
      <c r="BF431" s="567"/>
      <c r="BG431" s="567"/>
      <c r="BH431" s="567"/>
      <c r="BI431" s="567"/>
      <c r="BJ431" s="567"/>
      <c r="BK431" s="567"/>
      <c r="BL431" s="567"/>
      <c r="BM431" s="567"/>
      <c r="BN431" s="567"/>
      <c r="BO431" s="567"/>
      <c r="BP431" s="567"/>
      <c r="BQ431" s="567"/>
      <c r="BR431" s="567"/>
      <c r="BS431" s="567"/>
      <c r="BT431" s="567"/>
      <c r="BU431" s="567"/>
      <c r="BV431" s="567"/>
      <c r="BW431" s="567"/>
      <c r="BX431" s="567"/>
      <c r="BY431" s="567"/>
      <c r="BZ431" s="567"/>
      <c r="CA431" s="567"/>
      <c r="CB431" s="567"/>
      <c r="CC431" s="567"/>
      <c r="CD431" s="567"/>
      <c r="CE431" s="567"/>
      <c r="CF431" s="567"/>
      <c r="CG431" s="567"/>
      <c r="CH431" s="567"/>
      <c r="CI431" s="567"/>
      <c r="CJ431" s="567"/>
      <c r="CK431" s="567"/>
      <c r="CL431" s="567"/>
      <c r="CM431" s="567"/>
      <c r="CN431" s="567"/>
      <c r="CO431" s="567"/>
      <c r="CP431" s="567"/>
      <c r="CQ431" s="567"/>
      <c r="CR431" s="567"/>
      <c r="CS431" s="567"/>
      <c r="CT431" s="567"/>
      <c r="CU431" s="567"/>
      <c r="CV431" s="567"/>
      <c r="CW431" s="567"/>
      <c r="CX431" s="567"/>
      <c r="CY431" s="567"/>
      <c r="CZ431" s="567"/>
      <c r="DA431" s="567"/>
      <c r="DB431" s="567"/>
      <c r="DC431" s="567"/>
      <c r="DD431" s="567"/>
      <c r="DE431" s="567"/>
      <c r="DF431" s="567"/>
      <c r="DG431" s="567"/>
      <c r="DH431" s="567"/>
      <c r="DI431" s="567"/>
      <c r="DJ431" s="567"/>
      <c r="DK431" s="567"/>
      <c r="DL431" s="567"/>
      <c r="DM431" s="567"/>
      <c r="DN431" s="567"/>
      <c r="DO431" s="567"/>
      <c r="DP431" s="567"/>
      <c r="DQ431" s="567"/>
    </row>
    <row r="432" spans="1:121" s="487" customFormat="1">
      <c r="A432" s="588"/>
      <c r="B432" s="588"/>
      <c r="C432" s="588"/>
      <c r="D432" s="588"/>
      <c r="E432" s="588"/>
      <c r="F432" s="588"/>
      <c r="G432" s="588"/>
      <c r="H432" s="588"/>
      <c r="I432" s="588"/>
      <c r="J432" s="588"/>
      <c r="K432" s="588"/>
      <c r="L432" s="702"/>
      <c r="M432" s="888"/>
      <c r="N432" s="888"/>
      <c r="O432" s="888"/>
      <c r="P432" s="888"/>
      <c r="Q432" s="888"/>
      <c r="R432" s="888"/>
      <c r="S432" s="888"/>
      <c r="T432" s="888"/>
      <c r="U432" s="888"/>
      <c r="V432" s="888"/>
      <c r="W432" s="888"/>
      <c r="X432" s="888"/>
      <c r="Y432" s="888"/>
      <c r="Z432" s="888"/>
      <c r="AA432" s="888"/>
      <c r="AB432" s="888"/>
      <c r="AC432" s="888"/>
      <c r="AD432" s="888"/>
      <c r="AE432" s="888"/>
      <c r="AF432" s="888"/>
      <c r="AG432" s="888"/>
      <c r="AH432" s="888"/>
      <c r="AI432" s="888"/>
      <c r="AJ432" s="888"/>
      <c r="AK432" s="888"/>
      <c r="AL432" s="888"/>
      <c r="AM432" s="888"/>
      <c r="AN432" s="888"/>
      <c r="AO432" s="888"/>
      <c r="AP432" s="888"/>
      <c r="AQ432" s="888"/>
      <c r="AR432" s="888"/>
      <c r="AS432" s="888"/>
      <c r="AT432" s="888"/>
      <c r="AU432" s="888"/>
      <c r="AV432" s="888"/>
      <c r="AW432" s="888"/>
      <c r="AX432" s="888"/>
      <c r="AY432" s="888"/>
      <c r="AZ432" s="567"/>
      <c r="BA432" s="567"/>
      <c r="BB432" s="567"/>
      <c r="BC432" s="567"/>
      <c r="BD432" s="567"/>
      <c r="BE432" s="567"/>
      <c r="BF432" s="567"/>
      <c r="BG432" s="567"/>
      <c r="BH432" s="567"/>
      <c r="BI432" s="567"/>
      <c r="BJ432" s="567"/>
      <c r="BK432" s="567"/>
      <c r="BL432" s="567"/>
      <c r="BM432" s="567"/>
      <c r="BN432" s="567"/>
      <c r="BO432" s="567"/>
      <c r="BP432" s="567"/>
      <c r="BQ432" s="567"/>
      <c r="BR432" s="567"/>
      <c r="BS432" s="567"/>
      <c r="BT432" s="567"/>
      <c r="BU432" s="567"/>
      <c r="BV432" s="567"/>
      <c r="BW432" s="567"/>
      <c r="BX432" s="567"/>
      <c r="BY432" s="567"/>
      <c r="BZ432" s="567"/>
      <c r="CA432" s="567"/>
      <c r="CB432" s="567"/>
      <c r="CC432" s="567"/>
      <c r="CD432" s="567"/>
      <c r="CE432" s="567"/>
      <c r="CF432" s="567"/>
      <c r="CG432" s="567"/>
      <c r="CH432" s="567"/>
      <c r="CI432" s="567"/>
      <c r="CJ432" s="567"/>
      <c r="CK432" s="567"/>
      <c r="CL432" s="567"/>
      <c r="CM432" s="567"/>
      <c r="CN432" s="567"/>
      <c r="CO432" s="567"/>
      <c r="CP432" s="567"/>
      <c r="CQ432" s="567"/>
      <c r="CR432" s="567"/>
      <c r="CS432" s="567"/>
      <c r="CT432" s="567"/>
      <c r="CU432" s="567"/>
      <c r="CV432" s="567"/>
      <c r="CW432" s="567"/>
      <c r="CX432" s="567"/>
      <c r="CY432" s="567"/>
      <c r="CZ432" s="567"/>
      <c r="DA432" s="567"/>
      <c r="DB432" s="567"/>
      <c r="DC432" s="567"/>
      <c r="DD432" s="567"/>
      <c r="DE432" s="567"/>
      <c r="DF432" s="567"/>
      <c r="DG432" s="567"/>
      <c r="DH432" s="567"/>
      <c r="DI432" s="567"/>
      <c r="DJ432" s="567"/>
      <c r="DK432" s="567"/>
      <c r="DL432" s="567"/>
      <c r="DM432" s="567"/>
      <c r="DN432" s="567"/>
      <c r="DO432" s="567"/>
      <c r="DP432" s="567"/>
      <c r="DQ432" s="567"/>
    </row>
    <row r="433" spans="1:121" s="487" customFormat="1">
      <c r="A433" s="588"/>
      <c r="B433" s="588"/>
      <c r="C433" s="588"/>
      <c r="D433" s="588"/>
      <c r="E433" s="588"/>
      <c r="F433" s="588"/>
      <c r="G433" s="588"/>
      <c r="H433" s="588"/>
      <c r="I433" s="588"/>
      <c r="J433" s="588"/>
      <c r="K433" s="588"/>
      <c r="L433" s="702"/>
      <c r="M433" s="888"/>
      <c r="N433" s="888"/>
      <c r="O433" s="888"/>
      <c r="P433" s="888"/>
      <c r="Q433" s="888"/>
      <c r="R433" s="888"/>
      <c r="S433" s="888"/>
      <c r="T433" s="888"/>
      <c r="U433" s="888"/>
      <c r="V433" s="888"/>
      <c r="W433" s="888"/>
      <c r="X433" s="888"/>
      <c r="Y433" s="888"/>
      <c r="Z433" s="888"/>
      <c r="AA433" s="888"/>
      <c r="AB433" s="888"/>
      <c r="AC433" s="888"/>
      <c r="AD433" s="888"/>
      <c r="AE433" s="888"/>
      <c r="AF433" s="888"/>
      <c r="AG433" s="888"/>
      <c r="AH433" s="888"/>
      <c r="AI433" s="888"/>
      <c r="AJ433" s="888"/>
      <c r="AK433" s="888"/>
      <c r="AL433" s="888"/>
      <c r="AM433" s="888"/>
      <c r="AN433" s="888"/>
      <c r="AO433" s="888"/>
      <c r="AP433" s="888"/>
      <c r="AQ433" s="888"/>
      <c r="AR433" s="888"/>
      <c r="AS433" s="888"/>
      <c r="AT433" s="888"/>
      <c r="AU433" s="888"/>
      <c r="AV433" s="888"/>
      <c r="AW433" s="888"/>
      <c r="AX433" s="888"/>
      <c r="AY433" s="888"/>
      <c r="AZ433" s="567"/>
      <c r="BA433" s="567"/>
      <c r="BB433" s="567"/>
      <c r="BC433" s="567"/>
      <c r="BD433" s="567"/>
      <c r="BE433" s="567"/>
      <c r="BF433" s="567"/>
      <c r="BG433" s="567"/>
      <c r="BH433" s="567"/>
      <c r="BI433" s="567"/>
      <c r="BJ433" s="567"/>
      <c r="BK433" s="567"/>
      <c r="BL433" s="567"/>
      <c r="BM433" s="567"/>
      <c r="BN433" s="567"/>
      <c r="BO433" s="567"/>
      <c r="BP433" s="567"/>
      <c r="BQ433" s="567"/>
      <c r="BR433" s="567"/>
      <c r="BS433" s="567"/>
      <c r="BT433" s="567"/>
      <c r="BU433" s="567"/>
      <c r="BV433" s="567"/>
      <c r="BW433" s="567"/>
      <c r="BX433" s="567"/>
      <c r="BY433" s="567"/>
      <c r="BZ433" s="567"/>
      <c r="CA433" s="567"/>
      <c r="CB433" s="567"/>
      <c r="CC433" s="567"/>
      <c r="CD433" s="567"/>
      <c r="CE433" s="567"/>
      <c r="CF433" s="567"/>
      <c r="CG433" s="567"/>
      <c r="CH433" s="567"/>
      <c r="CI433" s="567"/>
      <c r="CJ433" s="567"/>
      <c r="CK433" s="567"/>
      <c r="CL433" s="567"/>
      <c r="CM433" s="567"/>
      <c r="CN433" s="567"/>
      <c r="CO433" s="567"/>
      <c r="CP433" s="567"/>
      <c r="CQ433" s="567"/>
      <c r="CR433" s="567"/>
      <c r="CS433" s="567"/>
      <c r="CT433" s="567"/>
      <c r="CU433" s="567"/>
      <c r="CV433" s="567"/>
      <c r="CW433" s="567"/>
      <c r="CX433" s="567"/>
      <c r="CY433" s="567"/>
      <c r="CZ433" s="567"/>
      <c r="DA433" s="567"/>
      <c r="DB433" s="567"/>
      <c r="DC433" s="567"/>
      <c r="DD433" s="567"/>
      <c r="DE433" s="567"/>
      <c r="DF433" s="567"/>
      <c r="DG433" s="567"/>
      <c r="DH433" s="567"/>
      <c r="DI433" s="567"/>
      <c r="DJ433" s="567"/>
      <c r="DK433" s="567"/>
      <c r="DL433" s="567"/>
      <c r="DM433" s="567"/>
      <c r="DN433" s="567"/>
      <c r="DO433" s="567"/>
      <c r="DP433" s="567"/>
      <c r="DQ433" s="567"/>
    </row>
    <row r="434" spans="1:121" s="487" customFormat="1">
      <c r="A434" s="588"/>
      <c r="B434" s="588"/>
      <c r="C434" s="588"/>
      <c r="D434" s="588"/>
      <c r="E434" s="588"/>
      <c r="F434" s="588"/>
      <c r="G434" s="588"/>
      <c r="H434" s="588"/>
      <c r="I434" s="588"/>
      <c r="J434" s="588"/>
      <c r="K434" s="588"/>
      <c r="L434" s="702"/>
      <c r="M434" s="888"/>
      <c r="N434" s="888"/>
      <c r="O434" s="888"/>
      <c r="P434" s="888"/>
      <c r="Q434" s="888"/>
      <c r="R434" s="888"/>
      <c r="S434" s="888"/>
      <c r="T434" s="888"/>
      <c r="U434" s="888"/>
      <c r="V434" s="888"/>
      <c r="W434" s="888"/>
      <c r="X434" s="888"/>
      <c r="Y434" s="888"/>
      <c r="Z434" s="888"/>
      <c r="AA434" s="888"/>
      <c r="AB434" s="888"/>
      <c r="AC434" s="888"/>
      <c r="AD434" s="888"/>
      <c r="AE434" s="888"/>
      <c r="AF434" s="888"/>
      <c r="AG434" s="888"/>
      <c r="AH434" s="888"/>
      <c r="AI434" s="888"/>
      <c r="AJ434" s="888"/>
      <c r="AK434" s="888"/>
      <c r="AL434" s="888"/>
      <c r="AM434" s="888"/>
      <c r="AN434" s="888"/>
      <c r="AO434" s="888"/>
      <c r="AP434" s="888"/>
      <c r="AQ434" s="888"/>
      <c r="AR434" s="888"/>
      <c r="AS434" s="888"/>
      <c r="AT434" s="888"/>
      <c r="AU434" s="888"/>
      <c r="AV434" s="888"/>
      <c r="AW434" s="888"/>
      <c r="AX434" s="888"/>
      <c r="AY434" s="888"/>
      <c r="AZ434" s="567"/>
      <c r="BA434" s="567"/>
      <c r="BB434" s="567"/>
      <c r="BC434" s="567"/>
      <c r="BD434" s="567"/>
      <c r="BE434" s="567"/>
      <c r="BF434" s="567"/>
      <c r="BG434" s="567"/>
      <c r="BH434" s="567"/>
      <c r="BI434" s="567"/>
      <c r="BJ434" s="567"/>
      <c r="BK434" s="567"/>
      <c r="BL434" s="567"/>
      <c r="BM434" s="567"/>
      <c r="BN434" s="567"/>
      <c r="BO434" s="567"/>
      <c r="BP434" s="567"/>
      <c r="BQ434" s="567"/>
      <c r="BR434" s="567"/>
      <c r="BS434" s="567"/>
      <c r="BT434" s="567"/>
      <c r="BU434" s="567"/>
      <c r="BV434" s="567"/>
      <c r="BW434" s="567"/>
      <c r="BX434" s="567"/>
      <c r="BY434" s="567"/>
      <c r="BZ434" s="567"/>
      <c r="CA434" s="567"/>
      <c r="CB434" s="567"/>
      <c r="CC434" s="567"/>
      <c r="CD434" s="567"/>
      <c r="CE434" s="567"/>
      <c r="CF434" s="567"/>
      <c r="CG434" s="567"/>
      <c r="CH434" s="567"/>
      <c r="CI434" s="567"/>
      <c r="CJ434" s="567"/>
      <c r="CK434" s="567"/>
      <c r="CL434" s="567"/>
      <c r="CM434" s="567"/>
      <c r="CN434" s="567"/>
      <c r="CO434" s="567"/>
      <c r="CP434" s="567"/>
      <c r="CQ434" s="567"/>
      <c r="CR434" s="567"/>
      <c r="CS434" s="567"/>
      <c r="CT434" s="567"/>
      <c r="CU434" s="567"/>
      <c r="CV434" s="567"/>
      <c r="CW434" s="567"/>
      <c r="CX434" s="567"/>
      <c r="CY434" s="567"/>
      <c r="CZ434" s="567"/>
      <c r="DA434" s="567"/>
      <c r="DB434" s="567"/>
      <c r="DC434" s="567"/>
      <c r="DD434" s="567"/>
      <c r="DE434" s="567"/>
      <c r="DF434" s="567"/>
      <c r="DG434" s="567"/>
      <c r="DH434" s="567"/>
      <c r="DI434" s="567"/>
      <c r="DJ434" s="567"/>
      <c r="DK434" s="567"/>
      <c r="DL434" s="567"/>
      <c r="DM434" s="567"/>
      <c r="DN434" s="567"/>
      <c r="DO434" s="567"/>
      <c r="DP434" s="567"/>
      <c r="DQ434" s="567"/>
    </row>
    <row r="435" spans="1:121" s="487" customFormat="1">
      <c r="A435" s="588"/>
      <c r="B435" s="588"/>
      <c r="C435" s="588"/>
      <c r="D435" s="588"/>
      <c r="E435" s="588"/>
      <c r="F435" s="588"/>
      <c r="G435" s="588"/>
      <c r="H435" s="588"/>
      <c r="I435" s="588"/>
      <c r="J435" s="588"/>
      <c r="K435" s="588"/>
      <c r="L435" s="702"/>
      <c r="M435" s="888"/>
      <c r="N435" s="888"/>
      <c r="O435" s="888"/>
      <c r="P435" s="888"/>
      <c r="Q435" s="888"/>
      <c r="R435" s="888"/>
      <c r="S435" s="888"/>
      <c r="T435" s="888"/>
      <c r="U435" s="888"/>
      <c r="V435" s="888"/>
      <c r="W435" s="888"/>
      <c r="X435" s="888"/>
      <c r="Y435" s="888"/>
      <c r="Z435" s="888"/>
      <c r="AA435" s="888"/>
      <c r="AB435" s="888"/>
      <c r="AC435" s="888"/>
      <c r="AD435" s="888"/>
      <c r="AE435" s="888"/>
      <c r="AF435" s="888"/>
      <c r="AG435" s="888"/>
      <c r="AH435" s="888"/>
      <c r="AI435" s="888"/>
      <c r="AJ435" s="888"/>
      <c r="AK435" s="888"/>
      <c r="AL435" s="888"/>
      <c r="AM435" s="888"/>
      <c r="AN435" s="888"/>
      <c r="AO435" s="888"/>
      <c r="AP435" s="888"/>
      <c r="AQ435" s="888"/>
      <c r="AR435" s="888"/>
      <c r="AS435" s="888"/>
      <c r="AT435" s="888"/>
      <c r="AU435" s="888"/>
      <c r="AV435" s="888"/>
      <c r="AW435" s="888"/>
      <c r="AX435" s="888"/>
      <c r="AY435" s="888"/>
      <c r="AZ435" s="567"/>
      <c r="BA435" s="567"/>
      <c r="BB435" s="567"/>
      <c r="BC435" s="567"/>
      <c r="BD435" s="567"/>
      <c r="BE435" s="567"/>
      <c r="BF435" s="567"/>
      <c r="BG435" s="567"/>
      <c r="BH435" s="567"/>
      <c r="BI435" s="567"/>
      <c r="BJ435" s="567"/>
      <c r="BK435" s="567"/>
      <c r="BL435" s="567"/>
      <c r="BM435" s="567"/>
      <c r="BN435" s="567"/>
      <c r="BO435" s="567"/>
      <c r="BP435" s="567"/>
      <c r="BQ435" s="567"/>
      <c r="BR435" s="567"/>
      <c r="BS435" s="567"/>
      <c r="BT435" s="567"/>
      <c r="BU435" s="567"/>
      <c r="BV435" s="567"/>
      <c r="BW435" s="567"/>
      <c r="BX435" s="567"/>
      <c r="BY435" s="567"/>
      <c r="BZ435" s="567"/>
      <c r="CA435" s="567"/>
      <c r="CB435" s="567"/>
      <c r="CC435" s="567"/>
      <c r="CD435" s="567"/>
      <c r="CE435" s="567"/>
      <c r="CF435" s="567"/>
      <c r="CG435" s="567"/>
      <c r="CH435" s="567"/>
      <c r="CI435" s="567"/>
      <c r="CJ435" s="567"/>
      <c r="CK435" s="567"/>
      <c r="CL435" s="567"/>
      <c r="CM435" s="567"/>
      <c r="CN435" s="567"/>
      <c r="CO435" s="567"/>
      <c r="CP435" s="567"/>
      <c r="CQ435" s="567"/>
      <c r="CR435" s="567"/>
      <c r="CS435" s="567"/>
      <c r="CT435" s="567"/>
      <c r="CU435" s="567"/>
      <c r="CV435" s="567"/>
      <c r="CW435" s="567"/>
      <c r="CX435" s="567"/>
      <c r="CY435" s="567"/>
      <c r="CZ435" s="567"/>
      <c r="DA435" s="567"/>
      <c r="DB435" s="567"/>
      <c r="DC435" s="567"/>
      <c r="DD435" s="567"/>
      <c r="DE435" s="567"/>
      <c r="DF435" s="567"/>
      <c r="DG435" s="567"/>
      <c r="DH435" s="567"/>
      <c r="DI435" s="567"/>
      <c r="DJ435" s="567"/>
      <c r="DK435" s="567"/>
      <c r="DL435" s="567"/>
      <c r="DM435" s="567"/>
      <c r="DN435" s="567"/>
      <c r="DO435" s="567"/>
      <c r="DP435" s="567"/>
      <c r="DQ435" s="567"/>
    </row>
    <row r="436" spans="1:121" s="487" customFormat="1">
      <c r="A436" s="588"/>
      <c r="B436" s="588"/>
      <c r="C436" s="588"/>
      <c r="D436" s="588"/>
      <c r="E436" s="588"/>
      <c r="F436" s="588"/>
      <c r="G436" s="588"/>
      <c r="H436" s="588"/>
      <c r="I436" s="588"/>
      <c r="J436" s="588"/>
      <c r="K436" s="588"/>
      <c r="L436" s="702"/>
      <c r="M436" s="888"/>
      <c r="N436" s="888"/>
      <c r="O436" s="888"/>
      <c r="P436" s="888"/>
      <c r="Q436" s="888"/>
      <c r="R436" s="888"/>
      <c r="S436" s="888"/>
      <c r="T436" s="888"/>
      <c r="U436" s="888"/>
      <c r="V436" s="888"/>
      <c r="W436" s="888"/>
      <c r="X436" s="888"/>
      <c r="Y436" s="888"/>
      <c r="Z436" s="888"/>
      <c r="AA436" s="888"/>
      <c r="AB436" s="888"/>
      <c r="AC436" s="888"/>
      <c r="AD436" s="888"/>
      <c r="AE436" s="888"/>
      <c r="AF436" s="888"/>
      <c r="AG436" s="888"/>
      <c r="AH436" s="888"/>
      <c r="AI436" s="888"/>
      <c r="AJ436" s="888"/>
      <c r="AK436" s="888"/>
      <c r="AL436" s="888"/>
      <c r="AM436" s="888"/>
      <c r="AN436" s="888"/>
      <c r="AO436" s="888"/>
      <c r="AP436" s="888"/>
      <c r="AQ436" s="888"/>
      <c r="AR436" s="888"/>
      <c r="AS436" s="888"/>
      <c r="AT436" s="888"/>
      <c r="AU436" s="888"/>
      <c r="AV436" s="888"/>
      <c r="AW436" s="888"/>
      <c r="AX436" s="888"/>
      <c r="AY436" s="888"/>
      <c r="AZ436" s="567"/>
      <c r="BA436" s="567"/>
      <c r="BB436" s="567"/>
      <c r="BC436" s="567"/>
      <c r="BD436" s="567"/>
      <c r="BE436" s="567"/>
      <c r="BF436" s="567"/>
      <c r="BG436" s="567"/>
      <c r="BH436" s="567"/>
      <c r="BI436" s="567"/>
      <c r="BJ436" s="567"/>
      <c r="BK436" s="567"/>
      <c r="BL436" s="567"/>
      <c r="BM436" s="567"/>
      <c r="BN436" s="567"/>
      <c r="BO436" s="567"/>
      <c r="BP436" s="567"/>
      <c r="BQ436" s="567"/>
      <c r="BR436" s="567"/>
      <c r="BS436" s="567"/>
      <c r="BT436" s="567"/>
      <c r="BU436" s="567"/>
      <c r="BV436" s="567"/>
      <c r="BW436" s="567"/>
      <c r="BX436" s="567"/>
      <c r="BY436" s="567"/>
      <c r="BZ436" s="567"/>
      <c r="CA436" s="567"/>
      <c r="CB436" s="567"/>
      <c r="CC436" s="567"/>
      <c r="CD436" s="567"/>
      <c r="CE436" s="567"/>
      <c r="CF436" s="567"/>
      <c r="CG436" s="567"/>
      <c r="CH436" s="567"/>
      <c r="CI436" s="567"/>
      <c r="CJ436" s="567"/>
      <c r="CK436" s="567"/>
      <c r="CL436" s="567"/>
      <c r="CM436" s="567"/>
      <c r="CN436" s="567"/>
      <c r="CO436" s="567"/>
      <c r="CP436" s="567"/>
      <c r="CQ436" s="567"/>
      <c r="CR436" s="567"/>
      <c r="CS436" s="567"/>
      <c r="CT436" s="567"/>
      <c r="CU436" s="567"/>
      <c r="CV436" s="567"/>
      <c r="CW436" s="567"/>
      <c r="CX436" s="567"/>
      <c r="CY436" s="567"/>
      <c r="CZ436" s="567"/>
      <c r="DA436" s="567"/>
      <c r="DB436" s="567"/>
      <c r="DC436" s="567"/>
      <c r="DD436" s="567"/>
      <c r="DE436" s="567"/>
      <c r="DF436" s="567"/>
      <c r="DG436" s="567"/>
      <c r="DH436" s="567"/>
      <c r="DI436" s="567"/>
      <c r="DJ436" s="567"/>
      <c r="DK436" s="567"/>
      <c r="DL436" s="567"/>
      <c r="DM436" s="567"/>
      <c r="DN436" s="567"/>
      <c r="DO436" s="567"/>
      <c r="DP436" s="567"/>
      <c r="DQ436" s="567"/>
    </row>
    <row r="437" spans="1:121" s="487" customFormat="1">
      <c r="A437" s="588"/>
      <c r="B437" s="588"/>
      <c r="C437" s="588"/>
      <c r="D437" s="588"/>
      <c r="E437" s="588"/>
      <c r="F437" s="588"/>
      <c r="G437" s="588"/>
      <c r="H437" s="588"/>
      <c r="I437" s="588"/>
      <c r="J437" s="588"/>
      <c r="K437" s="588"/>
      <c r="L437" s="702"/>
      <c r="M437" s="888"/>
      <c r="N437" s="888"/>
      <c r="O437" s="888"/>
      <c r="P437" s="888"/>
      <c r="Q437" s="888"/>
      <c r="R437" s="888"/>
      <c r="S437" s="888"/>
      <c r="T437" s="888"/>
      <c r="U437" s="888"/>
      <c r="V437" s="888"/>
      <c r="W437" s="888"/>
      <c r="X437" s="888"/>
      <c r="Y437" s="888"/>
      <c r="Z437" s="888"/>
      <c r="AA437" s="888"/>
      <c r="AB437" s="888"/>
      <c r="AC437" s="888"/>
      <c r="AD437" s="888"/>
      <c r="AE437" s="888"/>
      <c r="AF437" s="888"/>
      <c r="AG437" s="888"/>
      <c r="AH437" s="888"/>
      <c r="AI437" s="888"/>
      <c r="AJ437" s="888"/>
      <c r="AK437" s="888"/>
      <c r="AL437" s="888"/>
      <c r="AM437" s="888"/>
      <c r="AN437" s="888"/>
      <c r="AO437" s="888"/>
      <c r="AP437" s="888"/>
      <c r="AQ437" s="888"/>
      <c r="AR437" s="888"/>
      <c r="AS437" s="888"/>
      <c r="AT437" s="888"/>
      <c r="AU437" s="888"/>
      <c r="AV437" s="888"/>
      <c r="AW437" s="888"/>
      <c r="AX437" s="888"/>
      <c r="AY437" s="888"/>
      <c r="AZ437" s="567"/>
      <c r="BA437" s="567"/>
      <c r="BB437" s="567"/>
      <c r="BC437" s="567"/>
      <c r="BD437" s="567"/>
      <c r="BE437" s="567"/>
      <c r="BF437" s="567"/>
      <c r="BG437" s="567"/>
      <c r="BH437" s="567"/>
      <c r="BI437" s="567"/>
      <c r="BJ437" s="567"/>
      <c r="BK437" s="567"/>
      <c r="BL437" s="567"/>
      <c r="BM437" s="567"/>
      <c r="BN437" s="567"/>
      <c r="BO437" s="567"/>
      <c r="BP437" s="567"/>
      <c r="BQ437" s="567"/>
      <c r="BR437" s="567"/>
      <c r="BS437" s="567"/>
      <c r="BT437" s="567"/>
      <c r="BU437" s="567"/>
      <c r="BV437" s="567"/>
      <c r="BW437" s="567"/>
      <c r="BX437" s="567"/>
      <c r="BY437" s="567"/>
      <c r="BZ437" s="567"/>
      <c r="CA437" s="567"/>
      <c r="CB437" s="567"/>
      <c r="CC437" s="567"/>
      <c r="CD437" s="567"/>
      <c r="CE437" s="567"/>
      <c r="CF437" s="567"/>
      <c r="CG437" s="567"/>
      <c r="CH437" s="567"/>
      <c r="CI437" s="567"/>
      <c r="CJ437" s="567"/>
      <c r="CK437" s="567"/>
      <c r="CL437" s="567"/>
      <c r="CM437" s="567"/>
      <c r="CN437" s="567"/>
      <c r="CO437" s="567"/>
      <c r="CP437" s="567"/>
      <c r="CQ437" s="567"/>
      <c r="CR437" s="567"/>
      <c r="CS437" s="567"/>
      <c r="CT437" s="567"/>
      <c r="CU437" s="567"/>
      <c r="CV437" s="567"/>
      <c r="CW437" s="567"/>
      <c r="CX437" s="567"/>
      <c r="CY437" s="567"/>
      <c r="CZ437" s="567"/>
      <c r="DA437" s="567"/>
      <c r="DB437" s="567"/>
      <c r="DC437" s="567"/>
      <c r="DD437" s="567"/>
      <c r="DE437" s="567"/>
      <c r="DF437" s="567"/>
      <c r="DG437" s="567"/>
      <c r="DH437" s="567"/>
      <c r="DI437" s="567"/>
      <c r="DJ437" s="567"/>
      <c r="DK437" s="567"/>
      <c r="DL437" s="567"/>
      <c r="DM437" s="567"/>
      <c r="DN437" s="567"/>
      <c r="DO437" s="567"/>
      <c r="DP437" s="567"/>
      <c r="DQ437" s="567"/>
    </row>
    <row r="438" spans="1:121" s="487" customFormat="1">
      <c r="A438" s="588"/>
      <c r="B438" s="588"/>
      <c r="C438" s="588"/>
      <c r="D438" s="588"/>
      <c r="E438" s="588"/>
      <c r="F438" s="588"/>
      <c r="G438" s="588"/>
      <c r="H438" s="588"/>
      <c r="I438" s="588"/>
      <c r="J438" s="588"/>
      <c r="K438" s="588"/>
      <c r="L438" s="702"/>
      <c r="M438" s="888"/>
      <c r="N438" s="888"/>
      <c r="O438" s="888"/>
      <c r="P438" s="888"/>
      <c r="Q438" s="888"/>
      <c r="R438" s="888"/>
      <c r="S438" s="888"/>
      <c r="T438" s="888"/>
      <c r="U438" s="888"/>
      <c r="V438" s="888"/>
      <c r="W438" s="888"/>
      <c r="X438" s="888"/>
      <c r="Y438" s="888"/>
      <c r="Z438" s="888"/>
      <c r="AA438" s="888"/>
      <c r="AB438" s="888"/>
      <c r="AC438" s="888"/>
      <c r="AD438" s="888"/>
      <c r="AE438" s="888"/>
      <c r="AF438" s="888"/>
      <c r="AG438" s="888"/>
      <c r="AH438" s="888"/>
      <c r="AI438" s="888"/>
      <c r="AJ438" s="888"/>
      <c r="AK438" s="888"/>
      <c r="AL438" s="888"/>
      <c r="AM438" s="888"/>
      <c r="AN438" s="888"/>
      <c r="AO438" s="888"/>
      <c r="AP438" s="888"/>
      <c r="AQ438" s="888"/>
      <c r="AR438" s="888"/>
      <c r="AS438" s="888"/>
      <c r="AT438" s="888"/>
      <c r="AU438" s="888"/>
      <c r="AV438" s="888"/>
      <c r="AW438" s="888"/>
      <c r="AX438" s="888"/>
      <c r="AY438" s="888"/>
      <c r="AZ438" s="567"/>
      <c r="BA438" s="567"/>
      <c r="BB438" s="567"/>
      <c r="BC438" s="567"/>
      <c r="BD438" s="567"/>
      <c r="BE438" s="567"/>
      <c r="BF438" s="567"/>
      <c r="BG438" s="567"/>
      <c r="BH438" s="567"/>
      <c r="BI438" s="567"/>
      <c r="BJ438" s="567"/>
      <c r="BK438" s="567"/>
      <c r="BL438" s="567"/>
      <c r="BM438" s="567"/>
      <c r="BN438" s="567"/>
      <c r="BO438" s="567"/>
      <c r="BP438" s="567"/>
      <c r="BQ438" s="567"/>
      <c r="BR438" s="567"/>
      <c r="BS438" s="567"/>
      <c r="BT438" s="567"/>
      <c r="BU438" s="567"/>
      <c r="BV438" s="567"/>
      <c r="BW438" s="567"/>
      <c r="BX438" s="567"/>
      <c r="BY438" s="567"/>
      <c r="BZ438" s="567"/>
      <c r="CA438" s="567"/>
      <c r="CB438" s="567"/>
      <c r="CC438" s="567"/>
      <c r="CD438" s="567"/>
      <c r="CE438" s="567"/>
      <c r="CF438" s="567"/>
      <c r="CG438" s="567"/>
      <c r="CH438" s="567"/>
      <c r="CI438" s="567"/>
      <c r="CJ438" s="567"/>
      <c r="CK438" s="567"/>
      <c r="CL438" s="567"/>
      <c r="CM438" s="567"/>
      <c r="CN438" s="567"/>
      <c r="CO438" s="567"/>
      <c r="CP438" s="567"/>
      <c r="CQ438" s="567"/>
      <c r="CR438" s="567"/>
      <c r="CS438" s="567"/>
      <c r="CT438" s="567"/>
      <c r="CU438" s="567"/>
      <c r="CV438" s="567"/>
      <c r="CW438" s="567"/>
      <c r="CX438" s="567"/>
      <c r="CY438" s="567"/>
      <c r="CZ438" s="567"/>
      <c r="DA438" s="567"/>
      <c r="DB438" s="567"/>
      <c r="DC438" s="567"/>
      <c r="DD438" s="567"/>
      <c r="DE438" s="567"/>
      <c r="DF438" s="567"/>
      <c r="DG438" s="567"/>
      <c r="DH438" s="567"/>
      <c r="DI438" s="567"/>
      <c r="DJ438" s="567"/>
      <c r="DK438" s="567"/>
      <c r="DL438" s="567"/>
      <c r="DM438" s="567"/>
      <c r="DN438" s="567"/>
      <c r="DO438" s="567"/>
      <c r="DP438" s="567"/>
      <c r="DQ438" s="567"/>
    </row>
    <row r="439" spans="1:121" s="487" customFormat="1">
      <c r="A439" s="588"/>
      <c r="B439" s="588"/>
      <c r="C439" s="588"/>
      <c r="D439" s="588"/>
      <c r="E439" s="588"/>
      <c r="F439" s="588"/>
      <c r="G439" s="588"/>
      <c r="H439" s="588"/>
      <c r="I439" s="588"/>
      <c r="J439" s="588"/>
      <c r="K439" s="588"/>
      <c r="L439" s="702"/>
      <c r="M439" s="888"/>
      <c r="N439" s="888"/>
      <c r="O439" s="888"/>
      <c r="P439" s="888"/>
      <c r="Q439" s="888"/>
      <c r="R439" s="888"/>
      <c r="S439" s="888"/>
      <c r="T439" s="888"/>
      <c r="U439" s="888"/>
      <c r="V439" s="888"/>
      <c r="W439" s="888"/>
      <c r="X439" s="888"/>
      <c r="Y439" s="888"/>
      <c r="Z439" s="888"/>
      <c r="AA439" s="888"/>
      <c r="AB439" s="888"/>
      <c r="AC439" s="888"/>
      <c r="AD439" s="888"/>
      <c r="AE439" s="888"/>
      <c r="AF439" s="888"/>
      <c r="AG439" s="888"/>
      <c r="AH439" s="888"/>
      <c r="AI439" s="888"/>
      <c r="AJ439" s="888"/>
      <c r="AK439" s="888"/>
      <c r="AL439" s="888"/>
      <c r="AM439" s="888"/>
      <c r="AN439" s="888"/>
      <c r="AO439" s="888"/>
      <c r="AP439" s="888"/>
      <c r="AQ439" s="888"/>
      <c r="AR439" s="888"/>
      <c r="AS439" s="888"/>
      <c r="AT439" s="888"/>
      <c r="AU439" s="888"/>
      <c r="AV439" s="888"/>
      <c r="AW439" s="888"/>
      <c r="AX439" s="888"/>
      <c r="AY439" s="888"/>
      <c r="AZ439" s="567"/>
      <c r="BA439" s="567"/>
      <c r="BB439" s="567"/>
      <c r="BC439" s="567"/>
      <c r="BD439" s="567"/>
      <c r="BE439" s="567"/>
      <c r="BF439" s="567"/>
      <c r="BG439" s="567"/>
      <c r="BH439" s="567"/>
      <c r="BI439" s="567"/>
      <c r="BJ439" s="567"/>
      <c r="BK439" s="567"/>
      <c r="BL439" s="567"/>
      <c r="BM439" s="567"/>
      <c r="BN439" s="567"/>
      <c r="BO439" s="567"/>
      <c r="BP439" s="567"/>
      <c r="BQ439" s="567"/>
      <c r="BR439" s="567"/>
      <c r="BS439" s="567"/>
      <c r="BT439" s="567"/>
      <c r="BU439" s="567"/>
      <c r="BV439" s="567"/>
      <c r="BW439" s="567"/>
      <c r="BX439" s="567"/>
      <c r="BY439" s="567"/>
      <c r="BZ439" s="567"/>
      <c r="CA439" s="567"/>
      <c r="CB439" s="567"/>
      <c r="CC439" s="567"/>
      <c r="CD439" s="567"/>
      <c r="CE439" s="567"/>
      <c r="CF439" s="567"/>
      <c r="CG439" s="567"/>
      <c r="CH439" s="567"/>
      <c r="CI439" s="567"/>
      <c r="CJ439" s="567"/>
      <c r="CK439" s="567"/>
      <c r="CL439" s="567"/>
      <c r="CM439" s="567"/>
      <c r="CN439" s="567"/>
      <c r="CO439" s="567"/>
      <c r="CP439" s="567"/>
      <c r="CQ439" s="567"/>
      <c r="CR439" s="567"/>
      <c r="CS439" s="567"/>
      <c r="CT439" s="567"/>
      <c r="CU439" s="567"/>
      <c r="CV439" s="567"/>
      <c r="CW439" s="567"/>
      <c r="CX439" s="567"/>
      <c r="CY439" s="567"/>
      <c r="CZ439" s="567"/>
      <c r="DA439" s="567"/>
      <c r="DB439" s="567"/>
      <c r="DC439" s="567"/>
      <c r="DD439" s="567"/>
      <c r="DE439" s="567"/>
      <c r="DF439" s="567"/>
      <c r="DG439" s="567"/>
      <c r="DH439" s="567"/>
      <c r="DI439" s="567"/>
      <c r="DJ439" s="567"/>
      <c r="DK439" s="567"/>
      <c r="DL439" s="567"/>
      <c r="DM439" s="567"/>
      <c r="DN439" s="567"/>
      <c r="DO439" s="567"/>
      <c r="DP439" s="567"/>
      <c r="DQ439" s="567"/>
    </row>
    <row r="440" spans="1:121" s="487" customFormat="1">
      <c r="A440" s="588"/>
      <c r="B440" s="588"/>
      <c r="C440" s="588"/>
      <c r="D440" s="588"/>
      <c r="E440" s="588"/>
      <c r="F440" s="588"/>
      <c r="G440" s="588"/>
      <c r="H440" s="588"/>
      <c r="I440" s="588"/>
      <c r="J440" s="588"/>
      <c r="K440" s="588"/>
      <c r="L440" s="702"/>
      <c r="M440" s="888"/>
      <c r="N440" s="888"/>
      <c r="O440" s="888"/>
      <c r="P440" s="888"/>
      <c r="Q440" s="888"/>
      <c r="R440" s="888"/>
      <c r="S440" s="888"/>
      <c r="T440" s="888"/>
      <c r="U440" s="888"/>
      <c r="V440" s="888"/>
      <c r="W440" s="888"/>
      <c r="X440" s="888"/>
      <c r="Y440" s="888"/>
      <c r="Z440" s="888"/>
      <c r="AA440" s="888"/>
      <c r="AB440" s="888"/>
      <c r="AC440" s="888"/>
      <c r="AD440" s="888"/>
      <c r="AE440" s="888"/>
      <c r="AF440" s="888"/>
      <c r="AG440" s="888"/>
      <c r="AH440" s="888"/>
      <c r="AI440" s="888"/>
      <c r="AJ440" s="888"/>
      <c r="AK440" s="888"/>
      <c r="AL440" s="888"/>
      <c r="AM440" s="888"/>
      <c r="AN440" s="888"/>
      <c r="AO440" s="888"/>
      <c r="AP440" s="888"/>
      <c r="AQ440" s="888"/>
      <c r="AR440" s="888"/>
      <c r="AS440" s="888"/>
      <c r="AT440" s="888"/>
      <c r="AU440" s="888"/>
      <c r="AV440" s="888"/>
      <c r="AW440" s="888"/>
      <c r="AX440" s="888"/>
      <c r="AY440" s="888"/>
      <c r="AZ440" s="567"/>
      <c r="BA440" s="567"/>
      <c r="BB440" s="567"/>
      <c r="BC440" s="567"/>
      <c r="BD440" s="567"/>
      <c r="BE440" s="567"/>
      <c r="BF440" s="567"/>
      <c r="BG440" s="567"/>
      <c r="BH440" s="567"/>
      <c r="BI440" s="567"/>
      <c r="BJ440" s="567"/>
      <c r="BK440" s="567"/>
      <c r="BL440" s="567"/>
      <c r="BM440" s="567"/>
      <c r="BN440" s="567"/>
      <c r="BO440" s="567"/>
      <c r="BP440" s="567"/>
      <c r="BQ440" s="567"/>
      <c r="BR440" s="567"/>
      <c r="BS440" s="567"/>
      <c r="BT440" s="567"/>
      <c r="BU440" s="567"/>
      <c r="BV440" s="567"/>
      <c r="BW440" s="567"/>
      <c r="BX440" s="567"/>
      <c r="BY440" s="567"/>
      <c r="BZ440" s="567"/>
      <c r="CA440" s="567"/>
      <c r="CB440" s="567"/>
      <c r="CC440" s="567"/>
      <c r="CD440" s="567"/>
      <c r="CE440" s="567"/>
      <c r="CF440" s="567"/>
      <c r="CG440" s="567"/>
      <c r="CH440" s="567"/>
      <c r="CI440" s="567"/>
      <c r="CJ440" s="567"/>
      <c r="CK440" s="567"/>
      <c r="CL440" s="567"/>
      <c r="CM440" s="567"/>
      <c r="CN440" s="567"/>
      <c r="CO440" s="567"/>
      <c r="CP440" s="567"/>
      <c r="CQ440" s="567"/>
      <c r="CR440" s="567"/>
      <c r="CS440" s="567"/>
      <c r="CT440" s="567"/>
      <c r="CU440" s="567"/>
      <c r="CV440" s="567"/>
      <c r="CW440" s="567"/>
      <c r="CX440" s="567"/>
      <c r="CY440" s="567"/>
      <c r="CZ440" s="567"/>
      <c r="DA440" s="567"/>
      <c r="DB440" s="567"/>
      <c r="DC440" s="567"/>
      <c r="DD440" s="567"/>
      <c r="DE440" s="567"/>
      <c r="DF440" s="567"/>
      <c r="DG440" s="567"/>
      <c r="DH440" s="567"/>
      <c r="DI440" s="567"/>
      <c r="DJ440" s="567"/>
      <c r="DK440" s="567"/>
      <c r="DL440" s="567"/>
      <c r="DM440" s="567"/>
      <c r="DN440" s="567"/>
      <c r="DO440" s="567"/>
      <c r="DP440" s="567"/>
      <c r="DQ440" s="567"/>
    </row>
    <row r="441" spans="1:121" s="487" customFormat="1">
      <c r="A441" s="588"/>
      <c r="B441" s="588"/>
      <c r="C441" s="588"/>
      <c r="D441" s="588"/>
      <c r="E441" s="588"/>
      <c r="F441" s="588"/>
      <c r="G441" s="588"/>
      <c r="H441" s="588"/>
      <c r="I441" s="588"/>
      <c r="J441" s="588"/>
      <c r="K441" s="588"/>
      <c r="L441" s="702"/>
      <c r="M441" s="888"/>
      <c r="N441" s="888"/>
      <c r="O441" s="888"/>
      <c r="P441" s="888"/>
      <c r="Q441" s="888"/>
      <c r="R441" s="888"/>
      <c r="S441" s="888"/>
      <c r="T441" s="888"/>
      <c r="U441" s="888"/>
      <c r="V441" s="888"/>
      <c r="W441" s="888"/>
      <c r="X441" s="888"/>
      <c r="Y441" s="888"/>
      <c r="Z441" s="888"/>
      <c r="AA441" s="888"/>
      <c r="AB441" s="888"/>
      <c r="AC441" s="888"/>
      <c r="AD441" s="888"/>
      <c r="AE441" s="888"/>
      <c r="AF441" s="888"/>
      <c r="AG441" s="888"/>
      <c r="AH441" s="888"/>
      <c r="AI441" s="888"/>
      <c r="AJ441" s="888"/>
      <c r="AK441" s="888"/>
      <c r="AL441" s="888"/>
      <c r="AM441" s="888"/>
      <c r="AN441" s="888"/>
      <c r="AO441" s="888"/>
      <c r="AP441" s="888"/>
      <c r="AQ441" s="888"/>
      <c r="AR441" s="888"/>
      <c r="AS441" s="888"/>
      <c r="AT441" s="888"/>
      <c r="AU441" s="888"/>
      <c r="AV441" s="888"/>
      <c r="AW441" s="888"/>
      <c r="AX441" s="888"/>
      <c r="AY441" s="888"/>
      <c r="AZ441" s="567"/>
      <c r="BA441" s="567"/>
      <c r="BB441" s="567"/>
      <c r="BC441" s="567"/>
      <c r="BD441" s="567"/>
      <c r="BE441" s="567"/>
      <c r="BF441" s="567"/>
      <c r="BG441" s="567"/>
      <c r="BH441" s="567"/>
      <c r="BI441" s="567"/>
      <c r="BJ441" s="567"/>
      <c r="BK441" s="567"/>
      <c r="BL441" s="567"/>
      <c r="BM441" s="567"/>
      <c r="BN441" s="567"/>
      <c r="BO441" s="567"/>
      <c r="BP441" s="567"/>
      <c r="BQ441" s="567"/>
      <c r="BR441" s="567"/>
      <c r="BS441" s="567"/>
      <c r="BT441" s="567"/>
      <c r="BU441" s="567"/>
      <c r="BV441" s="567"/>
      <c r="BW441" s="567"/>
      <c r="BX441" s="567"/>
      <c r="BY441" s="567"/>
      <c r="BZ441" s="567"/>
      <c r="CA441" s="567"/>
      <c r="CB441" s="567"/>
      <c r="CC441" s="567"/>
      <c r="CD441" s="567"/>
      <c r="CE441" s="567"/>
      <c r="CF441" s="567"/>
      <c r="CG441" s="567"/>
      <c r="CH441" s="567"/>
      <c r="CI441" s="567"/>
      <c r="CJ441" s="567"/>
      <c r="CK441" s="567"/>
      <c r="CL441" s="567"/>
      <c r="CM441" s="567"/>
      <c r="CN441" s="567"/>
      <c r="CO441" s="567"/>
      <c r="CP441" s="567"/>
      <c r="CQ441" s="567"/>
      <c r="CR441" s="567"/>
      <c r="CS441" s="567"/>
      <c r="CT441" s="567"/>
      <c r="CU441" s="567"/>
      <c r="CV441" s="567"/>
      <c r="CW441" s="567"/>
      <c r="CX441" s="567"/>
      <c r="CY441" s="567"/>
      <c r="CZ441" s="567"/>
      <c r="DA441" s="567"/>
      <c r="DB441" s="567"/>
      <c r="DC441" s="567"/>
      <c r="DD441" s="567"/>
      <c r="DE441" s="567"/>
      <c r="DF441" s="567"/>
      <c r="DG441" s="567"/>
      <c r="DH441" s="567"/>
      <c r="DI441" s="567"/>
      <c r="DJ441" s="567"/>
      <c r="DK441" s="567"/>
      <c r="DL441" s="567"/>
      <c r="DM441" s="567"/>
      <c r="DN441" s="567"/>
      <c r="DO441" s="567"/>
      <c r="DP441" s="567"/>
      <c r="DQ441" s="567"/>
    </row>
    <row r="442" spans="1:121" s="487" customFormat="1">
      <c r="A442" s="588"/>
      <c r="B442" s="588"/>
      <c r="C442" s="588"/>
      <c r="D442" s="588"/>
      <c r="E442" s="588"/>
      <c r="F442" s="588"/>
      <c r="G442" s="588"/>
      <c r="H442" s="588"/>
      <c r="I442" s="588"/>
      <c r="J442" s="588"/>
      <c r="K442" s="588"/>
      <c r="L442" s="702"/>
      <c r="M442" s="888"/>
      <c r="N442" s="888"/>
      <c r="O442" s="888"/>
      <c r="P442" s="888"/>
      <c r="Q442" s="888"/>
      <c r="R442" s="888"/>
      <c r="S442" s="888"/>
      <c r="T442" s="888"/>
      <c r="U442" s="888"/>
      <c r="V442" s="888"/>
      <c r="W442" s="888"/>
      <c r="X442" s="888"/>
      <c r="Y442" s="888"/>
      <c r="Z442" s="888"/>
      <c r="AA442" s="888"/>
      <c r="AB442" s="888"/>
      <c r="AC442" s="888"/>
      <c r="AD442" s="888"/>
      <c r="AE442" s="888"/>
      <c r="AF442" s="888"/>
      <c r="AG442" s="888"/>
      <c r="AH442" s="888"/>
      <c r="AI442" s="888"/>
      <c r="AJ442" s="888"/>
      <c r="AK442" s="888"/>
      <c r="AL442" s="888"/>
      <c r="AM442" s="888"/>
      <c r="AN442" s="888"/>
      <c r="AO442" s="888"/>
      <c r="AP442" s="888"/>
      <c r="AQ442" s="888"/>
      <c r="AR442" s="888"/>
      <c r="AS442" s="888"/>
      <c r="AT442" s="888"/>
      <c r="AU442" s="888"/>
      <c r="AV442" s="888"/>
      <c r="AW442" s="888"/>
      <c r="AX442" s="888"/>
      <c r="AY442" s="888"/>
      <c r="AZ442" s="567"/>
      <c r="BA442" s="567"/>
      <c r="BB442" s="567"/>
      <c r="BC442" s="567"/>
      <c r="BD442" s="567"/>
      <c r="BE442" s="567"/>
      <c r="BF442" s="567"/>
      <c r="BG442" s="567"/>
      <c r="BH442" s="567"/>
      <c r="BI442" s="567"/>
      <c r="BJ442" s="567"/>
      <c r="BK442" s="567"/>
      <c r="BL442" s="567"/>
      <c r="BM442" s="567"/>
      <c r="BN442" s="567"/>
      <c r="BO442" s="567"/>
      <c r="BP442" s="567"/>
      <c r="BQ442" s="567"/>
      <c r="BR442" s="567"/>
      <c r="BS442" s="567"/>
      <c r="BT442" s="567"/>
      <c r="BU442" s="567"/>
      <c r="BV442" s="567"/>
      <c r="BW442" s="567"/>
      <c r="BX442" s="567"/>
      <c r="BY442" s="567"/>
      <c r="BZ442" s="567"/>
      <c r="CA442" s="567"/>
      <c r="CB442" s="567"/>
      <c r="CC442" s="567"/>
      <c r="CD442" s="567"/>
      <c r="CE442" s="567"/>
      <c r="CF442" s="567"/>
      <c r="CG442" s="567"/>
      <c r="CH442" s="567"/>
      <c r="CI442" s="567"/>
      <c r="CJ442" s="567"/>
      <c r="CK442" s="567"/>
      <c r="CL442" s="567"/>
      <c r="CM442" s="567"/>
      <c r="CN442" s="567"/>
      <c r="CO442" s="567"/>
      <c r="CP442" s="567"/>
      <c r="CQ442" s="567"/>
      <c r="CR442" s="567"/>
      <c r="CS442" s="567"/>
      <c r="CT442" s="567"/>
      <c r="CU442" s="567"/>
      <c r="CV442" s="567"/>
      <c r="CW442" s="567"/>
      <c r="CX442" s="567"/>
      <c r="CY442" s="567"/>
      <c r="CZ442" s="567"/>
      <c r="DA442" s="567"/>
      <c r="DB442" s="567"/>
      <c r="DC442" s="567"/>
      <c r="DD442" s="567"/>
      <c r="DE442" s="567"/>
      <c r="DF442" s="567"/>
      <c r="DG442" s="567"/>
      <c r="DH442" s="567"/>
      <c r="DI442" s="567"/>
      <c r="DJ442" s="567"/>
      <c r="DK442" s="567"/>
      <c r="DL442" s="567"/>
      <c r="DM442" s="567"/>
      <c r="DN442" s="567"/>
      <c r="DO442" s="567"/>
      <c r="DP442" s="567"/>
      <c r="DQ442" s="567"/>
    </row>
    <row r="443" spans="1:121" s="487" customFormat="1">
      <c r="A443" s="588"/>
      <c r="B443" s="588"/>
      <c r="C443" s="588"/>
      <c r="D443" s="588"/>
      <c r="E443" s="588"/>
      <c r="F443" s="588"/>
      <c r="G443" s="588"/>
      <c r="H443" s="588"/>
      <c r="I443" s="588"/>
      <c r="J443" s="588"/>
      <c r="K443" s="588"/>
      <c r="L443" s="702"/>
      <c r="M443" s="888"/>
      <c r="N443" s="888"/>
      <c r="O443" s="888"/>
      <c r="P443" s="888"/>
      <c r="Q443" s="888"/>
      <c r="R443" s="888"/>
      <c r="S443" s="888"/>
      <c r="T443" s="888"/>
      <c r="U443" s="888"/>
      <c r="V443" s="888"/>
      <c r="W443" s="888"/>
      <c r="X443" s="888"/>
      <c r="Y443" s="888"/>
      <c r="Z443" s="888"/>
      <c r="AA443" s="888"/>
      <c r="AB443" s="888"/>
      <c r="AC443" s="888"/>
      <c r="AD443" s="888"/>
      <c r="AE443" s="888"/>
      <c r="AF443" s="888"/>
      <c r="AG443" s="888"/>
      <c r="AH443" s="888"/>
      <c r="AI443" s="888"/>
      <c r="AJ443" s="888"/>
      <c r="AK443" s="888"/>
      <c r="AL443" s="888"/>
      <c r="AM443" s="888"/>
      <c r="AN443" s="888"/>
      <c r="AO443" s="888"/>
      <c r="AP443" s="888"/>
      <c r="AQ443" s="888"/>
      <c r="AR443" s="888"/>
      <c r="AS443" s="888"/>
      <c r="AT443" s="888"/>
      <c r="AU443" s="888"/>
      <c r="AV443" s="888"/>
      <c r="AW443" s="888"/>
      <c r="AX443" s="888"/>
      <c r="AY443" s="888"/>
      <c r="AZ443" s="567"/>
      <c r="BA443" s="567"/>
      <c r="BB443" s="567"/>
      <c r="BC443" s="567"/>
      <c r="BD443" s="567"/>
      <c r="BE443" s="567"/>
      <c r="BF443" s="567"/>
      <c r="BG443" s="567"/>
      <c r="BH443" s="567"/>
      <c r="BI443" s="567"/>
      <c r="BJ443" s="567"/>
      <c r="BK443" s="567"/>
      <c r="BL443" s="567"/>
      <c r="BM443" s="567"/>
      <c r="BN443" s="567"/>
      <c r="BO443" s="567"/>
      <c r="BP443" s="567"/>
      <c r="BQ443" s="567"/>
      <c r="BR443" s="567"/>
      <c r="BS443" s="567"/>
      <c r="BT443" s="567"/>
      <c r="BU443" s="567"/>
      <c r="BV443" s="567"/>
      <c r="BW443" s="567"/>
      <c r="BX443" s="567"/>
      <c r="BY443" s="567"/>
      <c r="BZ443" s="567"/>
      <c r="CA443" s="567"/>
      <c r="CB443" s="567"/>
      <c r="CC443" s="567"/>
      <c r="CD443" s="567"/>
      <c r="CE443" s="567"/>
      <c r="CF443" s="567"/>
      <c r="CG443" s="567"/>
      <c r="CH443" s="567"/>
      <c r="CI443" s="567"/>
      <c r="CJ443" s="567"/>
      <c r="CK443" s="567"/>
      <c r="CL443" s="567"/>
      <c r="CM443" s="567"/>
      <c r="CN443" s="567"/>
      <c r="CO443" s="567"/>
      <c r="CP443" s="567"/>
      <c r="CQ443" s="567"/>
      <c r="CR443" s="567"/>
      <c r="CS443" s="567"/>
      <c r="CT443" s="567"/>
      <c r="CU443" s="567"/>
      <c r="CV443" s="567"/>
      <c r="CW443" s="567"/>
      <c r="CX443" s="567"/>
      <c r="CY443" s="567"/>
      <c r="CZ443" s="567"/>
      <c r="DA443" s="567"/>
      <c r="DB443" s="567"/>
      <c r="DC443" s="567"/>
      <c r="DD443" s="567"/>
      <c r="DE443" s="567"/>
      <c r="DF443" s="567"/>
      <c r="DG443" s="567"/>
      <c r="DH443" s="567"/>
      <c r="DI443" s="567"/>
      <c r="DJ443" s="567"/>
      <c r="DK443" s="567"/>
      <c r="DL443" s="567"/>
      <c r="DM443" s="567"/>
      <c r="DN443" s="567"/>
      <c r="DO443" s="567"/>
      <c r="DP443" s="567"/>
      <c r="DQ443" s="567"/>
    </row>
    <row r="444" spans="1:121" s="487" customFormat="1">
      <c r="A444" s="588"/>
      <c r="B444" s="588"/>
      <c r="C444" s="588"/>
      <c r="D444" s="588"/>
      <c r="E444" s="588"/>
      <c r="F444" s="588"/>
      <c r="G444" s="588"/>
      <c r="H444" s="588"/>
      <c r="I444" s="588"/>
      <c r="J444" s="588"/>
      <c r="K444" s="588"/>
      <c r="L444" s="702"/>
      <c r="M444" s="888"/>
      <c r="N444" s="888"/>
      <c r="O444" s="888"/>
      <c r="P444" s="888"/>
      <c r="Q444" s="888"/>
      <c r="R444" s="888"/>
      <c r="S444" s="888"/>
      <c r="T444" s="888"/>
      <c r="U444" s="888"/>
      <c r="V444" s="888"/>
      <c r="W444" s="888"/>
      <c r="X444" s="888"/>
      <c r="Y444" s="888"/>
      <c r="Z444" s="888"/>
      <c r="AA444" s="888"/>
      <c r="AB444" s="888"/>
      <c r="AC444" s="888"/>
      <c r="AD444" s="888"/>
      <c r="AE444" s="888"/>
      <c r="AF444" s="888"/>
      <c r="AG444" s="888"/>
      <c r="AH444" s="888"/>
      <c r="AI444" s="888"/>
      <c r="AJ444" s="888"/>
      <c r="AK444" s="888"/>
      <c r="AL444" s="888"/>
      <c r="AM444" s="888"/>
      <c r="AN444" s="888"/>
      <c r="AO444" s="888"/>
      <c r="AP444" s="888"/>
      <c r="AQ444" s="888"/>
      <c r="AR444" s="888"/>
      <c r="AS444" s="888"/>
      <c r="AT444" s="888"/>
      <c r="AU444" s="888"/>
      <c r="AV444" s="888"/>
      <c r="AW444" s="888"/>
      <c r="AX444" s="888"/>
      <c r="AY444" s="888"/>
      <c r="AZ444" s="567"/>
      <c r="BA444" s="567"/>
      <c r="BB444" s="567"/>
      <c r="BC444" s="567"/>
      <c r="BD444" s="567"/>
      <c r="BE444" s="567"/>
      <c r="BF444" s="567"/>
      <c r="BG444" s="567"/>
      <c r="BH444" s="567"/>
      <c r="BI444" s="567"/>
      <c r="BJ444" s="567"/>
      <c r="BK444" s="567"/>
      <c r="BL444" s="567"/>
      <c r="BM444" s="567"/>
      <c r="BN444" s="567"/>
      <c r="BO444" s="567"/>
      <c r="BP444" s="567"/>
      <c r="BQ444" s="567"/>
      <c r="BR444" s="567"/>
      <c r="BS444" s="567"/>
      <c r="BT444" s="567"/>
      <c r="BU444" s="567"/>
      <c r="BV444" s="567"/>
      <c r="BW444" s="567"/>
      <c r="BX444" s="567"/>
      <c r="BY444" s="567"/>
      <c r="BZ444" s="567"/>
      <c r="CA444" s="567"/>
      <c r="CB444" s="567"/>
      <c r="CC444" s="567"/>
      <c r="CD444" s="567"/>
      <c r="CE444" s="567"/>
      <c r="CF444" s="567"/>
      <c r="CG444" s="567"/>
      <c r="CH444" s="567"/>
      <c r="CI444" s="567"/>
      <c r="CJ444" s="567"/>
      <c r="CK444" s="567"/>
      <c r="CL444" s="567"/>
      <c r="CM444" s="567"/>
      <c r="CN444" s="567"/>
      <c r="CO444" s="567"/>
      <c r="CP444" s="567"/>
      <c r="CQ444" s="567"/>
      <c r="CR444" s="567"/>
      <c r="CS444" s="567"/>
      <c r="CT444" s="567"/>
      <c r="CU444" s="567"/>
      <c r="CV444" s="567"/>
      <c r="CW444" s="567"/>
      <c r="CX444" s="567"/>
      <c r="CY444" s="567"/>
      <c r="CZ444" s="567"/>
      <c r="DA444" s="567"/>
      <c r="DB444" s="567"/>
      <c r="DC444" s="567"/>
      <c r="DD444" s="567"/>
      <c r="DE444" s="567"/>
      <c r="DF444" s="567"/>
      <c r="DG444" s="567"/>
      <c r="DH444" s="567"/>
      <c r="DI444" s="567"/>
      <c r="DJ444" s="567"/>
      <c r="DK444" s="567"/>
      <c r="DL444" s="567"/>
      <c r="DM444" s="567"/>
      <c r="DN444" s="567"/>
      <c r="DO444" s="567"/>
      <c r="DP444" s="567"/>
      <c r="DQ444" s="567"/>
    </row>
    <row r="445" spans="1:121" s="487" customFormat="1">
      <c r="A445" s="588"/>
      <c r="B445" s="588"/>
      <c r="C445" s="588"/>
      <c r="D445" s="588"/>
      <c r="E445" s="588"/>
      <c r="F445" s="588"/>
      <c r="G445" s="588"/>
      <c r="H445" s="588"/>
      <c r="I445" s="588"/>
      <c r="J445" s="588"/>
      <c r="K445" s="588"/>
      <c r="L445" s="702"/>
      <c r="M445" s="888"/>
      <c r="N445" s="888"/>
      <c r="O445" s="888"/>
      <c r="P445" s="888"/>
      <c r="Q445" s="888"/>
      <c r="R445" s="888"/>
      <c r="S445" s="888"/>
      <c r="T445" s="888"/>
      <c r="U445" s="888"/>
      <c r="V445" s="888"/>
      <c r="W445" s="888"/>
      <c r="X445" s="888"/>
      <c r="Y445" s="888"/>
      <c r="Z445" s="888"/>
      <c r="AA445" s="888"/>
      <c r="AB445" s="888"/>
      <c r="AC445" s="888"/>
      <c r="AD445" s="888"/>
      <c r="AE445" s="888"/>
      <c r="AF445" s="888"/>
      <c r="AG445" s="888"/>
      <c r="AH445" s="888"/>
      <c r="AI445" s="888"/>
      <c r="AJ445" s="888"/>
      <c r="AK445" s="888"/>
      <c r="AL445" s="888"/>
      <c r="AM445" s="888"/>
      <c r="AN445" s="888"/>
      <c r="AO445" s="888"/>
      <c r="AP445" s="888"/>
      <c r="AQ445" s="888"/>
      <c r="AR445" s="888"/>
      <c r="AS445" s="888"/>
      <c r="AT445" s="888"/>
      <c r="AU445" s="888"/>
      <c r="AV445" s="888"/>
      <c r="AW445" s="888"/>
      <c r="AX445" s="888"/>
      <c r="AY445" s="888"/>
      <c r="AZ445" s="567"/>
      <c r="BA445" s="567"/>
      <c r="BB445" s="567"/>
      <c r="BC445" s="567"/>
      <c r="BD445" s="567"/>
      <c r="BE445" s="567"/>
      <c r="BF445" s="567"/>
      <c r="BG445" s="567"/>
      <c r="BH445" s="567"/>
      <c r="BI445" s="567"/>
      <c r="BJ445" s="567"/>
      <c r="BK445" s="567"/>
      <c r="BL445" s="567"/>
      <c r="BM445" s="567"/>
      <c r="BN445" s="567"/>
      <c r="BO445" s="567"/>
      <c r="BP445" s="567"/>
      <c r="BQ445" s="567"/>
      <c r="BR445" s="567"/>
      <c r="BS445" s="567"/>
      <c r="BT445" s="567"/>
      <c r="BU445" s="567"/>
      <c r="BV445" s="567"/>
      <c r="BW445" s="567"/>
      <c r="BX445" s="567"/>
      <c r="BY445" s="567"/>
      <c r="BZ445" s="567"/>
      <c r="CA445" s="567"/>
      <c r="CB445" s="567"/>
      <c r="CC445" s="567"/>
      <c r="CD445" s="567"/>
      <c r="CE445" s="567"/>
      <c r="CF445" s="567"/>
      <c r="CG445" s="567"/>
      <c r="CH445" s="567"/>
      <c r="CI445" s="567"/>
      <c r="CJ445" s="567"/>
      <c r="CK445" s="567"/>
      <c r="CL445" s="567"/>
      <c r="CM445" s="567"/>
      <c r="CN445" s="567"/>
      <c r="CO445" s="567"/>
      <c r="CP445" s="567"/>
      <c r="CQ445" s="567"/>
      <c r="CR445" s="567"/>
      <c r="CS445" s="567"/>
      <c r="CT445" s="567"/>
      <c r="CU445" s="567"/>
      <c r="CV445" s="567"/>
      <c r="CW445" s="567"/>
      <c r="CX445" s="567"/>
      <c r="CY445" s="567"/>
      <c r="CZ445" s="567"/>
      <c r="DA445" s="567"/>
      <c r="DB445" s="567"/>
      <c r="DC445" s="567"/>
      <c r="DD445" s="567"/>
      <c r="DE445" s="567"/>
      <c r="DF445" s="567"/>
      <c r="DG445" s="567"/>
      <c r="DH445" s="567"/>
      <c r="DI445" s="567"/>
      <c r="DJ445" s="567"/>
      <c r="DK445" s="567"/>
      <c r="DL445" s="567"/>
      <c r="DM445" s="567"/>
      <c r="DN445" s="567"/>
      <c r="DO445" s="567"/>
      <c r="DP445" s="567"/>
      <c r="DQ445" s="567"/>
    </row>
    <row r="446" spans="1:121" s="487" customFormat="1">
      <c r="A446" s="588"/>
      <c r="B446" s="588"/>
      <c r="C446" s="588"/>
      <c r="D446" s="588"/>
      <c r="E446" s="588"/>
      <c r="F446" s="588"/>
      <c r="G446" s="588"/>
      <c r="H446" s="588"/>
      <c r="I446" s="588"/>
      <c r="J446" s="588"/>
      <c r="K446" s="588"/>
      <c r="L446" s="702"/>
      <c r="M446" s="888"/>
      <c r="N446" s="888"/>
      <c r="O446" s="888"/>
      <c r="P446" s="888"/>
      <c r="Q446" s="888"/>
      <c r="R446" s="888"/>
      <c r="S446" s="888"/>
      <c r="T446" s="888"/>
      <c r="U446" s="888"/>
      <c r="V446" s="888"/>
      <c r="W446" s="888"/>
      <c r="X446" s="888"/>
      <c r="Y446" s="888"/>
      <c r="Z446" s="888"/>
      <c r="AA446" s="888"/>
      <c r="AB446" s="888"/>
      <c r="AC446" s="888"/>
      <c r="AD446" s="888"/>
      <c r="AE446" s="888"/>
      <c r="AF446" s="888"/>
      <c r="AG446" s="888"/>
      <c r="AH446" s="888"/>
      <c r="AI446" s="888"/>
      <c r="AJ446" s="888"/>
      <c r="AK446" s="888"/>
      <c r="AL446" s="888"/>
      <c r="AM446" s="888"/>
      <c r="AN446" s="888"/>
      <c r="AO446" s="888"/>
      <c r="AP446" s="888"/>
      <c r="AQ446" s="888"/>
      <c r="AR446" s="888"/>
      <c r="AS446" s="888"/>
      <c r="AT446" s="888"/>
      <c r="AU446" s="888"/>
      <c r="AV446" s="888"/>
      <c r="AW446" s="888"/>
      <c r="AX446" s="888"/>
      <c r="AY446" s="888"/>
      <c r="AZ446" s="567"/>
      <c r="BA446" s="567"/>
      <c r="BB446" s="567"/>
      <c r="BC446" s="567"/>
      <c r="BD446" s="567"/>
      <c r="BE446" s="567"/>
      <c r="BF446" s="567"/>
      <c r="BG446" s="567"/>
      <c r="BH446" s="567"/>
      <c r="BI446" s="567"/>
      <c r="BJ446" s="567"/>
      <c r="BK446" s="567"/>
      <c r="BL446" s="567"/>
      <c r="BM446" s="567"/>
      <c r="BN446" s="567"/>
      <c r="BO446" s="567"/>
      <c r="BP446" s="567"/>
      <c r="BQ446" s="567"/>
      <c r="BR446" s="567"/>
      <c r="BS446" s="567"/>
      <c r="BT446" s="567"/>
      <c r="BU446" s="567"/>
      <c r="BV446" s="567"/>
      <c r="BW446" s="567"/>
      <c r="BX446" s="567"/>
      <c r="BY446" s="567"/>
      <c r="BZ446" s="567"/>
      <c r="CA446" s="567"/>
      <c r="CB446" s="567"/>
      <c r="CC446" s="567"/>
      <c r="CD446" s="567"/>
      <c r="CE446" s="567"/>
      <c r="CF446" s="567"/>
      <c r="CG446" s="567"/>
      <c r="CH446" s="567"/>
      <c r="CI446" s="567"/>
      <c r="CJ446" s="567"/>
      <c r="CK446" s="567"/>
      <c r="CL446" s="567"/>
      <c r="CM446" s="567"/>
      <c r="CN446" s="567"/>
      <c r="CO446" s="567"/>
      <c r="CP446" s="567"/>
      <c r="CQ446" s="567"/>
      <c r="CR446" s="567"/>
      <c r="CS446" s="567"/>
      <c r="CT446" s="567"/>
      <c r="CU446" s="567"/>
      <c r="CV446" s="567"/>
      <c r="CW446" s="567"/>
      <c r="CX446" s="567"/>
      <c r="CY446" s="567"/>
      <c r="CZ446" s="567"/>
      <c r="DA446" s="567"/>
      <c r="DB446" s="567"/>
      <c r="DC446" s="567"/>
      <c r="DD446" s="567"/>
      <c r="DE446" s="567"/>
      <c r="DF446" s="567"/>
      <c r="DG446" s="567"/>
      <c r="DH446" s="567"/>
      <c r="DI446" s="567"/>
      <c r="DJ446" s="567"/>
      <c r="DK446" s="567"/>
      <c r="DL446" s="567"/>
      <c r="DM446" s="567"/>
      <c r="DN446" s="567"/>
      <c r="DO446" s="567"/>
      <c r="DP446" s="567"/>
      <c r="DQ446" s="567"/>
    </row>
    <row r="447" spans="1:121" s="487" customFormat="1">
      <c r="A447" s="588"/>
      <c r="B447" s="588"/>
      <c r="C447" s="588"/>
      <c r="D447" s="588"/>
      <c r="E447" s="588"/>
      <c r="F447" s="588"/>
      <c r="G447" s="588"/>
      <c r="H447" s="588"/>
      <c r="I447" s="588"/>
      <c r="J447" s="588"/>
      <c r="K447" s="588"/>
      <c r="L447" s="702"/>
      <c r="M447" s="888"/>
      <c r="N447" s="888"/>
      <c r="O447" s="888"/>
      <c r="P447" s="888"/>
      <c r="Q447" s="888"/>
      <c r="R447" s="888"/>
      <c r="S447" s="888"/>
      <c r="T447" s="888"/>
      <c r="U447" s="888"/>
      <c r="V447" s="888"/>
      <c r="W447" s="888"/>
      <c r="X447" s="888"/>
      <c r="Y447" s="888"/>
      <c r="Z447" s="888"/>
      <c r="AA447" s="888"/>
      <c r="AB447" s="888"/>
      <c r="AC447" s="888"/>
      <c r="AD447" s="888"/>
      <c r="AE447" s="888"/>
      <c r="AF447" s="888"/>
      <c r="AG447" s="888"/>
      <c r="AH447" s="888"/>
      <c r="AI447" s="888"/>
      <c r="AJ447" s="888"/>
      <c r="AK447" s="888"/>
      <c r="AL447" s="888"/>
      <c r="AM447" s="888"/>
      <c r="AN447" s="888"/>
      <c r="AO447" s="888"/>
      <c r="AP447" s="888"/>
      <c r="AQ447" s="888"/>
      <c r="AR447" s="888"/>
      <c r="AS447" s="888"/>
      <c r="AT447" s="888"/>
      <c r="AU447" s="888"/>
      <c r="AV447" s="888"/>
      <c r="AW447" s="888"/>
      <c r="AX447" s="888"/>
      <c r="AY447" s="888"/>
      <c r="AZ447" s="567"/>
      <c r="BA447" s="567"/>
      <c r="BB447" s="567"/>
      <c r="BC447" s="567"/>
      <c r="BD447" s="567"/>
      <c r="BE447" s="567"/>
      <c r="BF447" s="567"/>
      <c r="BG447" s="567"/>
      <c r="BH447" s="567"/>
      <c r="BI447" s="567"/>
      <c r="BJ447" s="567"/>
      <c r="BK447" s="567"/>
      <c r="BL447" s="567"/>
      <c r="BM447" s="567"/>
      <c r="BN447" s="567"/>
      <c r="BO447" s="567"/>
      <c r="BP447" s="567"/>
      <c r="BQ447" s="567"/>
      <c r="BR447" s="567"/>
      <c r="BS447" s="567"/>
      <c r="BT447" s="567"/>
      <c r="BU447" s="567"/>
      <c r="BV447" s="567"/>
      <c r="BW447" s="567"/>
      <c r="BX447" s="567"/>
      <c r="BY447" s="567"/>
      <c r="BZ447" s="567"/>
      <c r="CA447" s="567"/>
      <c r="CB447" s="567"/>
      <c r="CC447" s="567"/>
      <c r="CD447" s="567"/>
      <c r="CE447" s="567"/>
      <c r="CF447" s="567"/>
      <c r="CG447" s="567"/>
      <c r="CH447" s="567"/>
      <c r="CI447" s="567"/>
      <c r="CJ447" s="567"/>
      <c r="CK447" s="567"/>
      <c r="CL447" s="567"/>
      <c r="CM447" s="567"/>
      <c r="CN447" s="567"/>
      <c r="CO447" s="567"/>
      <c r="CP447" s="567"/>
      <c r="CQ447" s="567"/>
      <c r="CR447" s="567"/>
      <c r="CS447" s="567"/>
      <c r="CT447" s="567"/>
      <c r="CU447" s="567"/>
      <c r="CV447" s="567"/>
      <c r="CW447" s="567"/>
      <c r="CX447" s="567"/>
      <c r="CY447" s="567"/>
      <c r="CZ447" s="567"/>
      <c r="DA447" s="567"/>
      <c r="DB447" s="567"/>
      <c r="DC447" s="567"/>
      <c r="DD447" s="567"/>
      <c r="DE447" s="567"/>
      <c r="DF447" s="567"/>
      <c r="DG447" s="567"/>
      <c r="DH447" s="567"/>
      <c r="DI447" s="567"/>
      <c r="DJ447" s="567"/>
      <c r="DK447" s="567"/>
      <c r="DL447" s="567"/>
      <c r="DM447" s="567"/>
      <c r="DN447" s="567"/>
      <c r="DO447" s="567"/>
      <c r="DP447" s="567"/>
      <c r="DQ447" s="567"/>
    </row>
    <row r="448" spans="1:121" s="487" customFormat="1">
      <c r="A448" s="588"/>
      <c r="B448" s="588"/>
      <c r="C448" s="588"/>
      <c r="D448" s="588"/>
      <c r="E448" s="588"/>
      <c r="F448" s="588"/>
      <c r="G448" s="588"/>
      <c r="H448" s="588"/>
      <c r="I448" s="588"/>
      <c r="J448" s="588"/>
      <c r="K448" s="588"/>
      <c r="L448" s="702"/>
      <c r="M448" s="888"/>
      <c r="N448" s="888"/>
      <c r="O448" s="888"/>
      <c r="P448" s="888"/>
      <c r="Q448" s="888"/>
      <c r="R448" s="888"/>
      <c r="S448" s="888"/>
      <c r="T448" s="888"/>
      <c r="U448" s="888"/>
      <c r="V448" s="888"/>
      <c r="W448" s="888"/>
      <c r="X448" s="888"/>
      <c r="Y448" s="888"/>
      <c r="Z448" s="888"/>
      <c r="AA448" s="888"/>
      <c r="AB448" s="888"/>
      <c r="AC448" s="888"/>
      <c r="AD448" s="888"/>
      <c r="AE448" s="888"/>
      <c r="AF448" s="888"/>
      <c r="AG448" s="888"/>
      <c r="AH448" s="888"/>
      <c r="AI448" s="888"/>
      <c r="AJ448" s="888"/>
      <c r="AK448" s="888"/>
      <c r="AL448" s="888"/>
      <c r="AM448" s="888"/>
      <c r="AN448" s="888"/>
      <c r="AO448" s="888"/>
      <c r="AP448" s="888"/>
      <c r="AQ448" s="888"/>
      <c r="AR448" s="888"/>
      <c r="AS448" s="888"/>
      <c r="AT448" s="888"/>
      <c r="AU448" s="888"/>
      <c r="AV448" s="888"/>
      <c r="AW448" s="888"/>
      <c r="AX448" s="888"/>
      <c r="AY448" s="888"/>
      <c r="AZ448" s="567"/>
      <c r="BA448" s="567"/>
      <c r="BB448" s="567"/>
      <c r="BC448" s="567"/>
      <c r="BD448" s="567"/>
      <c r="BE448" s="567"/>
      <c r="BF448" s="567"/>
      <c r="BG448" s="567"/>
      <c r="BH448" s="567"/>
      <c r="BI448" s="567"/>
      <c r="BJ448" s="567"/>
      <c r="BK448" s="567"/>
      <c r="BL448" s="567"/>
      <c r="BM448" s="567"/>
      <c r="BN448" s="567"/>
      <c r="BO448" s="567"/>
      <c r="BP448" s="567"/>
      <c r="BQ448" s="567"/>
      <c r="BR448" s="567"/>
      <c r="BS448" s="567"/>
      <c r="BT448" s="567"/>
      <c r="BU448" s="567"/>
      <c r="BV448" s="567"/>
      <c r="BW448" s="567"/>
      <c r="BX448" s="567"/>
      <c r="BY448" s="567"/>
      <c r="BZ448" s="567"/>
      <c r="CA448" s="567"/>
      <c r="CB448" s="567"/>
      <c r="CC448" s="567"/>
      <c r="CD448" s="567"/>
      <c r="CE448" s="567"/>
      <c r="CF448" s="567"/>
      <c r="CG448" s="567"/>
      <c r="CH448" s="567"/>
      <c r="CI448" s="567"/>
      <c r="CJ448" s="567"/>
      <c r="CK448" s="567"/>
      <c r="CL448" s="567"/>
      <c r="CM448" s="567"/>
      <c r="CN448" s="567"/>
      <c r="CO448" s="567"/>
      <c r="CP448" s="567"/>
      <c r="CQ448" s="567"/>
      <c r="CR448" s="567"/>
      <c r="CS448" s="567"/>
      <c r="CT448" s="567"/>
      <c r="CU448" s="567"/>
      <c r="CV448" s="567"/>
      <c r="CW448" s="567"/>
      <c r="CX448" s="567"/>
      <c r="CY448" s="567"/>
      <c r="CZ448" s="567"/>
      <c r="DA448" s="567"/>
      <c r="DB448" s="567"/>
      <c r="DC448" s="567"/>
      <c r="DD448" s="567"/>
      <c r="DE448" s="567"/>
      <c r="DF448" s="567"/>
      <c r="DG448" s="567"/>
      <c r="DH448" s="567"/>
      <c r="DI448" s="567"/>
      <c r="DJ448" s="567"/>
      <c r="DK448" s="567"/>
      <c r="DL448" s="567"/>
      <c r="DM448" s="567"/>
      <c r="DN448" s="567"/>
      <c r="DO448" s="567"/>
      <c r="DP448" s="567"/>
      <c r="DQ448" s="567"/>
    </row>
    <row r="449" spans="1:121" s="487" customFormat="1">
      <c r="A449" s="588"/>
      <c r="B449" s="588"/>
      <c r="C449" s="588"/>
      <c r="D449" s="588"/>
      <c r="E449" s="588"/>
      <c r="F449" s="588"/>
      <c r="G449" s="588"/>
      <c r="H449" s="588"/>
      <c r="I449" s="588"/>
      <c r="J449" s="588"/>
      <c r="K449" s="588"/>
      <c r="L449" s="702"/>
      <c r="M449" s="888"/>
      <c r="N449" s="888"/>
      <c r="O449" s="888"/>
      <c r="P449" s="888"/>
      <c r="Q449" s="888"/>
      <c r="R449" s="888"/>
      <c r="S449" s="888"/>
      <c r="T449" s="888"/>
      <c r="U449" s="888"/>
      <c r="V449" s="888"/>
      <c r="W449" s="888"/>
      <c r="X449" s="888"/>
      <c r="Y449" s="888"/>
      <c r="Z449" s="888"/>
      <c r="AA449" s="888"/>
      <c r="AB449" s="888"/>
      <c r="AC449" s="888"/>
      <c r="AD449" s="888"/>
      <c r="AE449" s="888"/>
      <c r="AF449" s="888"/>
      <c r="AG449" s="888"/>
      <c r="AH449" s="888"/>
      <c r="AI449" s="888"/>
      <c r="AJ449" s="888"/>
      <c r="AK449" s="888"/>
      <c r="AL449" s="888"/>
      <c r="AM449" s="888"/>
      <c r="AN449" s="888"/>
      <c r="AO449" s="888"/>
      <c r="AP449" s="888"/>
      <c r="AQ449" s="888"/>
      <c r="AR449" s="888"/>
      <c r="AS449" s="888"/>
      <c r="AT449" s="888"/>
      <c r="AU449" s="888"/>
      <c r="AV449" s="888"/>
      <c r="AW449" s="888"/>
      <c r="AX449" s="888"/>
      <c r="AY449" s="888"/>
      <c r="AZ449" s="567"/>
      <c r="BA449" s="567"/>
      <c r="BB449" s="567"/>
      <c r="BC449" s="567"/>
      <c r="BD449" s="567"/>
      <c r="BE449" s="567"/>
      <c r="BF449" s="567"/>
      <c r="BG449" s="567"/>
      <c r="BH449" s="567"/>
      <c r="BI449" s="567"/>
      <c r="BJ449" s="567"/>
      <c r="BK449" s="567"/>
      <c r="BL449" s="567"/>
      <c r="BM449" s="567"/>
      <c r="BN449" s="567"/>
      <c r="BO449" s="567"/>
      <c r="BP449" s="567"/>
      <c r="BQ449" s="567"/>
      <c r="BR449" s="567"/>
      <c r="BS449" s="567"/>
      <c r="BT449" s="567"/>
      <c r="BU449" s="567"/>
      <c r="BV449" s="567"/>
      <c r="BW449" s="567"/>
      <c r="BX449" s="567"/>
      <c r="BY449" s="567"/>
      <c r="BZ449" s="567"/>
      <c r="CA449" s="567"/>
      <c r="CB449" s="567"/>
      <c r="CC449" s="567"/>
      <c r="CD449" s="567"/>
      <c r="CE449" s="567"/>
      <c r="CF449" s="567"/>
      <c r="CG449" s="567"/>
      <c r="CH449" s="567"/>
      <c r="CI449" s="567"/>
      <c r="CJ449" s="567"/>
      <c r="CK449" s="567"/>
      <c r="CL449" s="567"/>
      <c r="CM449" s="567"/>
      <c r="CN449" s="567"/>
      <c r="CO449" s="567"/>
      <c r="CP449" s="567"/>
      <c r="CQ449" s="567"/>
      <c r="CR449" s="567"/>
      <c r="CS449" s="567"/>
      <c r="CT449" s="567"/>
      <c r="CU449" s="567"/>
      <c r="CV449" s="567"/>
      <c r="CW449" s="567"/>
      <c r="CX449" s="567"/>
      <c r="CY449" s="567"/>
      <c r="CZ449" s="567"/>
      <c r="DA449" s="567"/>
      <c r="DB449" s="567"/>
      <c r="DC449" s="567"/>
      <c r="DD449" s="567"/>
      <c r="DE449" s="567"/>
      <c r="DF449" s="567"/>
      <c r="DG449" s="567"/>
      <c r="DH449" s="567"/>
      <c r="DI449" s="567"/>
      <c r="DJ449" s="567"/>
      <c r="DK449" s="567"/>
      <c r="DL449" s="567"/>
      <c r="DM449" s="567"/>
      <c r="DN449" s="567"/>
      <c r="DO449" s="567"/>
      <c r="DP449" s="567"/>
      <c r="DQ449" s="567"/>
    </row>
    <row r="450" spans="1:121" s="487" customFormat="1">
      <c r="A450" s="588"/>
      <c r="B450" s="588"/>
      <c r="C450" s="588"/>
      <c r="D450" s="588"/>
      <c r="E450" s="588"/>
      <c r="F450" s="588"/>
      <c r="G450" s="588"/>
      <c r="H450" s="588"/>
      <c r="I450" s="588"/>
      <c r="J450" s="588"/>
      <c r="K450" s="588"/>
      <c r="L450" s="702"/>
      <c r="M450" s="888"/>
      <c r="N450" s="888"/>
      <c r="O450" s="888"/>
      <c r="P450" s="888"/>
      <c r="Q450" s="888"/>
      <c r="R450" s="888"/>
      <c r="S450" s="888"/>
      <c r="T450" s="888"/>
      <c r="U450" s="888"/>
      <c r="V450" s="888"/>
      <c r="W450" s="888"/>
      <c r="X450" s="888"/>
      <c r="Y450" s="888"/>
      <c r="Z450" s="888"/>
      <c r="AA450" s="888"/>
      <c r="AB450" s="888"/>
      <c r="AC450" s="888"/>
      <c r="AD450" s="888"/>
      <c r="AE450" s="888"/>
      <c r="AF450" s="888"/>
      <c r="AG450" s="888"/>
      <c r="AH450" s="888"/>
      <c r="AI450" s="888"/>
      <c r="AJ450" s="888"/>
      <c r="AK450" s="888"/>
      <c r="AL450" s="888"/>
      <c r="AM450" s="888"/>
      <c r="AN450" s="888"/>
      <c r="AO450" s="888"/>
      <c r="AP450" s="888"/>
      <c r="AQ450" s="888"/>
      <c r="AR450" s="888"/>
      <c r="AS450" s="888"/>
      <c r="AT450" s="888"/>
      <c r="AU450" s="888"/>
      <c r="AV450" s="888"/>
      <c r="AW450" s="888"/>
      <c r="AX450" s="888"/>
      <c r="AY450" s="888"/>
      <c r="AZ450" s="567"/>
      <c r="BA450" s="567"/>
      <c r="BB450" s="567"/>
      <c r="BC450" s="567"/>
      <c r="BD450" s="567"/>
      <c r="BE450" s="567"/>
      <c r="BF450" s="567"/>
      <c r="BG450" s="567"/>
      <c r="BH450" s="567"/>
      <c r="BI450" s="567"/>
      <c r="BJ450" s="567"/>
      <c r="BK450" s="567"/>
      <c r="BL450" s="567"/>
      <c r="BM450" s="567"/>
      <c r="BN450" s="567"/>
      <c r="BO450" s="567"/>
      <c r="BP450" s="567"/>
      <c r="BQ450" s="567"/>
      <c r="BR450" s="567"/>
      <c r="BS450" s="567"/>
      <c r="BT450" s="567"/>
      <c r="BU450" s="567"/>
      <c r="BV450" s="567"/>
      <c r="BW450" s="567"/>
      <c r="BX450" s="567"/>
      <c r="BY450" s="567"/>
      <c r="BZ450" s="567"/>
      <c r="CA450" s="567"/>
      <c r="CB450" s="567"/>
      <c r="CC450" s="567"/>
      <c r="CD450" s="567"/>
      <c r="CE450" s="567"/>
      <c r="CF450" s="567"/>
      <c r="CG450" s="567"/>
      <c r="CH450" s="567"/>
      <c r="CI450" s="567"/>
      <c r="CJ450" s="567"/>
      <c r="CK450" s="567"/>
      <c r="CL450" s="567"/>
      <c r="CM450" s="567"/>
      <c r="CN450" s="567"/>
      <c r="CO450" s="567"/>
      <c r="CP450" s="567"/>
      <c r="CQ450" s="567"/>
      <c r="CR450" s="567"/>
      <c r="CS450" s="567"/>
      <c r="CT450" s="567"/>
      <c r="CU450" s="567"/>
      <c r="CV450" s="567"/>
      <c r="CW450" s="567"/>
      <c r="CX450" s="567"/>
      <c r="CY450" s="567"/>
      <c r="CZ450" s="567"/>
      <c r="DA450" s="567"/>
      <c r="DB450" s="567"/>
      <c r="DC450" s="567"/>
      <c r="DD450" s="567"/>
      <c r="DE450" s="567"/>
      <c r="DF450" s="567"/>
      <c r="DG450" s="567"/>
      <c r="DH450" s="567"/>
      <c r="DI450" s="567"/>
      <c r="DJ450" s="567"/>
      <c r="DK450" s="567"/>
      <c r="DL450" s="567"/>
      <c r="DM450" s="567"/>
      <c r="DN450" s="567"/>
      <c r="DO450" s="567"/>
      <c r="DP450" s="567"/>
      <c r="DQ450" s="567"/>
    </row>
    <row r="451" spans="1:121" s="487" customFormat="1">
      <c r="A451" s="588"/>
      <c r="B451" s="588"/>
      <c r="C451" s="588"/>
      <c r="D451" s="588"/>
      <c r="E451" s="588"/>
      <c r="F451" s="588"/>
      <c r="G451" s="588"/>
      <c r="H451" s="588"/>
      <c r="I451" s="588"/>
      <c r="J451" s="588"/>
      <c r="K451" s="588"/>
      <c r="L451" s="702"/>
      <c r="M451" s="888"/>
      <c r="N451" s="888"/>
      <c r="O451" s="888"/>
      <c r="P451" s="888"/>
      <c r="Q451" s="888"/>
      <c r="R451" s="888"/>
      <c r="S451" s="888"/>
      <c r="T451" s="888"/>
      <c r="U451" s="888"/>
      <c r="V451" s="888"/>
      <c r="W451" s="888"/>
      <c r="X451" s="888"/>
      <c r="Y451" s="888"/>
      <c r="Z451" s="888"/>
      <c r="AA451" s="888"/>
      <c r="AB451" s="888"/>
      <c r="AC451" s="888"/>
      <c r="AD451" s="888"/>
      <c r="AE451" s="888"/>
      <c r="AF451" s="888"/>
      <c r="AG451" s="888"/>
      <c r="AH451" s="888"/>
      <c r="AI451" s="888"/>
      <c r="AJ451" s="888"/>
      <c r="AK451" s="888"/>
      <c r="AL451" s="888"/>
      <c r="AM451" s="888"/>
      <c r="AN451" s="888"/>
      <c r="AO451" s="888"/>
      <c r="AP451" s="888"/>
      <c r="AQ451" s="888"/>
      <c r="AR451" s="888"/>
      <c r="AS451" s="888"/>
      <c r="AT451" s="888"/>
      <c r="AU451" s="888"/>
      <c r="AV451" s="888"/>
      <c r="AW451" s="888"/>
      <c r="AX451" s="888"/>
      <c r="AY451" s="888"/>
      <c r="AZ451" s="567"/>
      <c r="BA451" s="567"/>
      <c r="BB451" s="567"/>
      <c r="BC451" s="567"/>
      <c r="BD451" s="567"/>
      <c r="BE451" s="567"/>
      <c r="BF451" s="567"/>
      <c r="BG451" s="567"/>
      <c r="BH451" s="567"/>
      <c r="BI451" s="567"/>
      <c r="BJ451" s="567"/>
      <c r="BK451" s="567"/>
      <c r="BL451" s="567"/>
      <c r="BM451" s="567"/>
      <c r="BN451" s="567"/>
      <c r="BO451" s="567"/>
      <c r="BP451" s="567"/>
      <c r="BQ451" s="567"/>
      <c r="BR451" s="567"/>
      <c r="BS451" s="567"/>
      <c r="BT451" s="567"/>
      <c r="BU451" s="567"/>
      <c r="BV451" s="567"/>
      <c r="BW451" s="567"/>
      <c r="BX451" s="567"/>
      <c r="BY451" s="567"/>
      <c r="BZ451" s="567"/>
      <c r="CA451" s="567"/>
      <c r="CB451" s="567"/>
      <c r="CC451" s="567"/>
      <c r="CD451" s="567"/>
      <c r="CE451" s="567"/>
      <c r="CF451" s="567"/>
      <c r="CG451" s="567"/>
      <c r="CH451" s="567"/>
      <c r="CI451" s="567"/>
      <c r="CJ451" s="567"/>
      <c r="CK451" s="567"/>
      <c r="CL451" s="567"/>
      <c r="CM451" s="567"/>
      <c r="CN451" s="567"/>
      <c r="CO451" s="567"/>
      <c r="CP451" s="567"/>
      <c r="CQ451" s="567"/>
      <c r="CR451" s="567"/>
      <c r="CS451" s="567"/>
      <c r="CT451" s="567"/>
      <c r="CU451" s="567"/>
      <c r="CV451" s="567"/>
      <c r="CW451" s="567"/>
      <c r="CX451" s="567"/>
      <c r="CY451" s="567"/>
      <c r="CZ451" s="567"/>
      <c r="DA451" s="567"/>
      <c r="DB451" s="567"/>
      <c r="DC451" s="567"/>
      <c r="DD451" s="567"/>
      <c r="DE451" s="567"/>
      <c r="DF451" s="567"/>
      <c r="DG451" s="567"/>
      <c r="DH451" s="567"/>
      <c r="DI451" s="567"/>
      <c r="DJ451" s="567"/>
      <c r="DK451" s="567"/>
      <c r="DL451" s="567"/>
      <c r="DM451" s="567"/>
      <c r="DN451" s="567"/>
      <c r="DO451" s="567"/>
      <c r="DP451" s="567"/>
      <c r="DQ451" s="567"/>
    </row>
    <row r="452" spans="1:121" s="487" customFormat="1">
      <c r="A452" s="588"/>
      <c r="B452" s="588"/>
      <c r="C452" s="588"/>
      <c r="D452" s="588"/>
      <c r="E452" s="588"/>
      <c r="F452" s="588"/>
      <c r="G452" s="588"/>
      <c r="H452" s="588"/>
      <c r="I452" s="588"/>
      <c r="J452" s="588"/>
      <c r="K452" s="588"/>
      <c r="L452" s="702"/>
      <c r="M452" s="888"/>
      <c r="N452" s="888"/>
      <c r="O452" s="888"/>
      <c r="P452" s="888"/>
      <c r="Q452" s="888"/>
      <c r="R452" s="888"/>
      <c r="S452" s="888"/>
      <c r="T452" s="888"/>
      <c r="U452" s="888"/>
      <c r="V452" s="888"/>
      <c r="W452" s="888"/>
      <c r="X452" s="888"/>
      <c r="Y452" s="888"/>
      <c r="Z452" s="888"/>
      <c r="AA452" s="888"/>
      <c r="AB452" s="888"/>
      <c r="AC452" s="888"/>
      <c r="AD452" s="888"/>
      <c r="AE452" s="888"/>
      <c r="AF452" s="888"/>
      <c r="AG452" s="888"/>
      <c r="AH452" s="888"/>
      <c r="AI452" s="888"/>
      <c r="AJ452" s="888"/>
      <c r="AK452" s="888"/>
      <c r="AL452" s="888"/>
      <c r="AM452" s="888"/>
      <c r="AN452" s="888"/>
      <c r="AO452" s="888"/>
      <c r="AP452" s="888"/>
      <c r="AQ452" s="888"/>
      <c r="AR452" s="888"/>
      <c r="AS452" s="888"/>
      <c r="AT452" s="888"/>
      <c r="AU452" s="888"/>
      <c r="AV452" s="888"/>
      <c r="AW452" s="888"/>
      <c r="AX452" s="888"/>
      <c r="AY452" s="888"/>
      <c r="AZ452" s="567"/>
      <c r="BA452" s="567"/>
      <c r="BB452" s="567"/>
      <c r="BC452" s="567"/>
      <c r="BD452" s="567"/>
      <c r="BE452" s="567"/>
      <c r="BF452" s="567"/>
      <c r="BG452" s="567"/>
      <c r="BH452" s="567"/>
      <c r="BI452" s="567"/>
      <c r="BJ452" s="567"/>
      <c r="BK452" s="567"/>
      <c r="BL452" s="567"/>
      <c r="BM452" s="567"/>
      <c r="BN452" s="567"/>
      <c r="BO452" s="567"/>
      <c r="BP452" s="567"/>
      <c r="BQ452" s="567"/>
      <c r="BR452" s="567"/>
      <c r="BS452" s="567"/>
      <c r="BT452" s="567"/>
      <c r="BU452" s="567"/>
      <c r="BV452" s="567"/>
      <c r="BW452" s="567"/>
      <c r="BX452" s="567"/>
      <c r="BY452" s="567"/>
      <c r="BZ452" s="567"/>
      <c r="CA452" s="567"/>
      <c r="CB452" s="567"/>
      <c r="CC452" s="567"/>
      <c r="CD452" s="567"/>
      <c r="CE452" s="567"/>
      <c r="CF452" s="567"/>
      <c r="CG452" s="567"/>
      <c r="CH452" s="567"/>
      <c r="CI452" s="567"/>
      <c r="CJ452" s="567"/>
      <c r="CK452" s="567"/>
      <c r="CL452" s="567"/>
      <c r="CM452" s="567"/>
      <c r="CN452" s="567"/>
      <c r="CO452" s="567"/>
      <c r="CP452" s="567"/>
      <c r="CQ452" s="567"/>
      <c r="CR452" s="567"/>
      <c r="CS452" s="567"/>
      <c r="CT452" s="567"/>
      <c r="CU452" s="567"/>
      <c r="CV452" s="567"/>
      <c r="CW452" s="567"/>
      <c r="CX452" s="567"/>
      <c r="CY452" s="567"/>
      <c r="CZ452" s="567"/>
      <c r="DA452" s="567"/>
      <c r="DB452" s="567"/>
      <c r="DC452" s="567"/>
      <c r="DD452" s="567"/>
      <c r="DE452" s="567"/>
      <c r="DF452" s="567"/>
      <c r="DG452" s="567"/>
      <c r="DH452" s="567"/>
      <c r="DI452" s="567"/>
      <c r="DJ452" s="567"/>
      <c r="DK452" s="567"/>
      <c r="DL452" s="567"/>
      <c r="DM452" s="567"/>
      <c r="DN452" s="567"/>
      <c r="DO452" s="567"/>
      <c r="DP452" s="567"/>
      <c r="DQ452" s="567"/>
    </row>
    <row r="453" spans="1:121" s="487" customFormat="1">
      <c r="A453" s="588"/>
      <c r="B453" s="588"/>
      <c r="C453" s="588"/>
      <c r="D453" s="588"/>
      <c r="E453" s="588"/>
      <c r="F453" s="588"/>
      <c r="G453" s="588"/>
      <c r="H453" s="588"/>
      <c r="I453" s="588"/>
      <c r="J453" s="588"/>
      <c r="K453" s="588"/>
      <c r="L453" s="702"/>
      <c r="M453" s="888"/>
      <c r="N453" s="888"/>
      <c r="O453" s="888"/>
      <c r="P453" s="888"/>
      <c r="Q453" s="888"/>
      <c r="R453" s="888"/>
      <c r="S453" s="888"/>
      <c r="T453" s="888"/>
      <c r="U453" s="888"/>
      <c r="V453" s="888"/>
      <c r="W453" s="888"/>
      <c r="X453" s="888"/>
      <c r="Y453" s="888"/>
      <c r="Z453" s="888"/>
      <c r="AA453" s="888"/>
      <c r="AB453" s="888"/>
      <c r="AC453" s="888"/>
      <c r="AD453" s="888"/>
      <c r="AE453" s="888"/>
      <c r="AF453" s="888"/>
      <c r="AG453" s="888"/>
      <c r="AH453" s="888"/>
      <c r="AI453" s="888"/>
      <c r="AJ453" s="888"/>
      <c r="AK453" s="888"/>
      <c r="AL453" s="888"/>
      <c r="AM453" s="888"/>
      <c r="AN453" s="888"/>
      <c r="AO453" s="888"/>
      <c r="AP453" s="888"/>
      <c r="AQ453" s="888"/>
      <c r="AR453" s="888"/>
      <c r="AS453" s="888"/>
      <c r="AT453" s="888"/>
      <c r="AU453" s="888"/>
      <c r="AV453" s="888"/>
      <c r="AW453" s="888"/>
      <c r="AX453" s="888"/>
      <c r="AY453" s="888"/>
      <c r="AZ453" s="567"/>
      <c r="BA453" s="567"/>
      <c r="BB453" s="567"/>
      <c r="BC453" s="567"/>
      <c r="BD453" s="567"/>
      <c r="BE453" s="567"/>
      <c r="BF453" s="567"/>
      <c r="BG453" s="567"/>
      <c r="BH453" s="567"/>
      <c r="BI453" s="567"/>
      <c r="BJ453" s="567"/>
      <c r="BK453" s="567"/>
      <c r="BL453" s="567"/>
      <c r="BM453" s="567"/>
      <c r="BN453" s="567"/>
      <c r="BO453" s="567"/>
      <c r="BP453" s="567"/>
      <c r="BQ453" s="567"/>
      <c r="BR453" s="567"/>
      <c r="BS453" s="567"/>
      <c r="BT453" s="567"/>
      <c r="BU453" s="567"/>
      <c r="BV453" s="567"/>
      <c r="BW453" s="567"/>
      <c r="BX453" s="567"/>
      <c r="BY453" s="567"/>
      <c r="BZ453" s="567"/>
      <c r="CA453" s="567"/>
      <c r="CB453" s="567"/>
      <c r="CC453" s="567"/>
      <c r="CD453" s="567"/>
      <c r="CE453" s="567"/>
      <c r="CF453" s="567"/>
      <c r="CG453" s="567"/>
      <c r="CH453" s="567"/>
      <c r="CI453" s="567"/>
      <c r="CJ453" s="567"/>
      <c r="CK453" s="567"/>
      <c r="CL453" s="567"/>
      <c r="CM453" s="567"/>
      <c r="CN453" s="567"/>
      <c r="CO453" s="567"/>
      <c r="CP453" s="567"/>
      <c r="CQ453" s="567"/>
      <c r="CR453" s="567"/>
      <c r="CS453" s="567"/>
      <c r="CT453" s="567"/>
      <c r="CU453" s="567"/>
      <c r="CV453" s="567"/>
      <c r="CW453" s="567"/>
      <c r="CX453" s="567"/>
      <c r="CY453" s="567"/>
      <c r="CZ453" s="567"/>
      <c r="DA453" s="567"/>
      <c r="DB453" s="567"/>
      <c r="DC453" s="567"/>
      <c r="DD453" s="567"/>
      <c r="DE453" s="567"/>
      <c r="DF453" s="567"/>
      <c r="DG453" s="567"/>
      <c r="DH453" s="567"/>
      <c r="DI453" s="567"/>
      <c r="DJ453" s="567"/>
      <c r="DK453" s="567"/>
      <c r="DL453" s="567"/>
      <c r="DM453" s="567"/>
      <c r="DN453" s="567"/>
      <c r="DO453" s="567"/>
      <c r="DP453" s="567"/>
      <c r="DQ453" s="567"/>
    </row>
    <row r="454" spans="1:121" s="487" customFormat="1">
      <c r="A454" s="588"/>
      <c r="B454" s="588"/>
      <c r="C454" s="588"/>
      <c r="D454" s="588"/>
      <c r="E454" s="588"/>
      <c r="F454" s="588"/>
      <c r="G454" s="588"/>
      <c r="H454" s="588"/>
      <c r="I454" s="588"/>
      <c r="J454" s="588"/>
      <c r="K454" s="588"/>
      <c r="L454" s="702"/>
      <c r="M454" s="888"/>
      <c r="N454" s="888"/>
      <c r="O454" s="888"/>
      <c r="P454" s="888"/>
      <c r="Q454" s="888"/>
      <c r="R454" s="888"/>
      <c r="S454" s="888"/>
      <c r="T454" s="888"/>
      <c r="U454" s="888"/>
      <c r="V454" s="888"/>
      <c r="W454" s="888"/>
      <c r="X454" s="888"/>
      <c r="Y454" s="888"/>
      <c r="Z454" s="888"/>
      <c r="AA454" s="888"/>
      <c r="AB454" s="888"/>
      <c r="AC454" s="888"/>
      <c r="AD454" s="888"/>
      <c r="AE454" s="888"/>
      <c r="AF454" s="888"/>
      <c r="AG454" s="888"/>
      <c r="AH454" s="888"/>
      <c r="AI454" s="888"/>
      <c r="AJ454" s="888"/>
      <c r="AK454" s="888"/>
      <c r="AL454" s="888"/>
      <c r="AM454" s="888"/>
      <c r="AN454" s="888"/>
      <c r="AO454" s="888"/>
      <c r="AP454" s="888"/>
      <c r="AQ454" s="888"/>
      <c r="AR454" s="888"/>
      <c r="AS454" s="888"/>
      <c r="AT454" s="888"/>
      <c r="AU454" s="888"/>
      <c r="AV454" s="888"/>
      <c r="AW454" s="888"/>
      <c r="AX454" s="888"/>
      <c r="AY454" s="888"/>
      <c r="AZ454" s="567"/>
      <c r="BA454" s="567"/>
      <c r="BB454" s="567"/>
      <c r="BC454" s="567"/>
      <c r="BD454" s="567"/>
      <c r="BE454" s="567"/>
      <c r="BF454" s="567"/>
      <c r="BG454" s="567"/>
      <c r="BH454" s="567"/>
      <c r="BI454" s="567"/>
      <c r="BJ454" s="567"/>
      <c r="BK454" s="567"/>
      <c r="BL454" s="567"/>
      <c r="BM454" s="567"/>
      <c r="BN454" s="567"/>
      <c r="BO454" s="567"/>
      <c r="BP454" s="567"/>
      <c r="BQ454" s="567"/>
      <c r="BR454" s="567"/>
      <c r="BS454" s="567"/>
      <c r="BT454" s="567"/>
      <c r="BU454" s="567"/>
      <c r="BV454" s="567"/>
      <c r="BW454" s="567"/>
      <c r="BX454" s="567"/>
      <c r="BY454" s="567"/>
      <c r="BZ454" s="567"/>
      <c r="CA454" s="567"/>
      <c r="CB454" s="567"/>
      <c r="CC454" s="567"/>
      <c r="CD454" s="567"/>
      <c r="CE454" s="567"/>
      <c r="CF454" s="567"/>
      <c r="CG454" s="567"/>
      <c r="CH454" s="567"/>
      <c r="CI454" s="567"/>
      <c r="CJ454" s="567"/>
      <c r="CK454" s="567"/>
      <c r="CL454" s="567"/>
      <c r="CM454" s="567"/>
      <c r="CN454" s="567"/>
      <c r="CO454" s="567"/>
      <c r="CP454" s="567"/>
      <c r="CQ454" s="567"/>
      <c r="CR454" s="567"/>
      <c r="CS454" s="567"/>
      <c r="CT454" s="567"/>
      <c r="CU454" s="567"/>
      <c r="CV454" s="567"/>
      <c r="CW454" s="567"/>
      <c r="CX454" s="567"/>
      <c r="CY454" s="567"/>
      <c r="CZ454" s="567"/>
      <c r="DA454" s="567"/>
      <c r="DB454" s="567"/>
      <c r="DC454" s="567"/>
      <c r="DD454" s="567"/>
      <c r="DE454" s="567"/>
      <c r="DF454" s="567"/>
      <c r="DG454" s="567"/>
      <c r="DH454" s="567"/>
      <c r="DI454" s="567"/>
      <c r="DJ454" s="567"/>
      <c r="DK454" s="567"/>
      <c r="DL454" s="567"/>
      <c r="DM454" s="567"/>
      <c r="DN454" s="567"/>
      <c r="DO454" s="567"/>
      <c r="DP454" s="567"/>
      <c r="DQ454" s="567"/>
    </row>
    <row r="455" spans="1:121" s="487" customFormat="1">
      <c r="A455" s="588"/>
      <c r="B455" s="588"/>
      <c r="C455" s="588"/>
      <c r="D455" s="588"/>
      <c r="E455" s="588"/>
      <c r="F455" s="588"/>
      <c r="G455" s="588"/>
      <c r="H455" s="588"/>
      <c r="I455" s="588"/>
      <c r="J455" s="588"/>
      <c r="K455" s="588"/>
      <c r="L455" s="702"/>
      <c r="M455" s="888"/>
      <c r="N455" s="888"/>
      <c r="O455" s="888"/>
      <c r="P455" s="888"/>
      <c r="Q455" s="888"/>
      <c r="R455" s="888"/>
      <c r="S455" s="888"/>
      <c r="T455" s="888"/>
      <c r="U455" s="888"/>
      <c r="V455" s="888"/>
      <c r="W455" s="888"/>
      <c r="X455" s="888"/>
      <c r="Y455" s="888"/>
      <c r="Z455" s="888"/>
      <c r="AA455" s="888"/>
      <c r="AB455" s="888"/>
      <c r="AC455" s="888"/>
      <c r="AD455" s="888"/>
      <c r="AE455" s="888"/>
      <c r="AF455" s="888"/>
      <c r="AG455" s="888"/>
      <c r="AH455" s="888"/>
      <c r="AI455" s="888"/>
      <c r="AJ455" s="888"/>
      <c r="AK455" s="888"/>
      <c r="AL455" s="888"/>
      <c r="AM455" s="888"/>
      <c r="AN455" s="888"/>
      <c r="AO455" s="888"/>
      <c r="AP455" s="888"/>
      <c r="AQ455" s="888"/>
      <c r="AR455" s="888"/>
      <c r="AS455" s="888"/>
      <c r="AT455" s="888"/>
      <c r="AU455" s="888"/>
      <c r="AV455" s="888"/>
      <c r="AW455" s="888"/>
      <c r="AX455" s="888"/>
      <c r="AY455" s="888"/>
      <c r="AZ455" s="567"/>
      <c r="BA455" s="567"/>
      <c r="BB455" s="567"/>
      <c r="BC455" s="567"/>
      <c r="BD455" s="567"/>
      <c r="BE455" s="567"/>
      <c r="BF455" s="567"/>
      <c r="BG455" s="567"/>
      <c r="BH455" s="567"/>
      <c r="BI455" s="567"/>
      <c r="BJ455" s="567"/>
      <c r="BK455" s="567"/>
      <c r="BL455" s="567"/>
      <c r="BM455" s="567"/>
      <c r="BN455" s="567"/>
      <c r="BO455" s="567"/>
      <c r="BP455" s="567"/>
      <c r="BQ455" s="567"/>
      <c r="BR455" s="567"/>
      <c r="BS455" s="567"/>
      <c r="BT455" s="567"/>
      <c r="BU455" s="567"/>
      <c r="BV455" s="567"/>
      <c r="BW455" s="567"/>
      <c r="BX455" s="567"/>
      <c r="BY455" s="567"/>
      <c r="BZ455" s="567"/>
      <c r="CA455" s="567"/>
      <c r="CB455" s="567"/>
      <c r="CC455" s="567"/>
      <c r="CD455" s="567"/>
      <c r="CE455" s="567"/>
      <c r="CF455" s="567"/>
      <c r="CG455" s="567"/>
      <c r="CH455" s="567"/>
      <c r="CI455" s="567"/>
      <c r="CJ455" s="567"/>
      <c r="CK455" s="567"/>
      <c r="CL455" s="567"/>
      <c r="CM455" s="567"/>
      <c r="CN455" s="567"/>
      <c r="CO455" s="567"/>
      <c r="CP455" s="567"/>
      <c r="CQ455" s="567"/>
      <c r="CR455" s="567"/>
      <c r="CS455" s="567"/>
      <c r="CT455" s="567"/>
      <c r="CU455" s="567"/>
      <c r="CV455" s="567"/>
      <c r="CW455" s="567"/>
      <c r="CX455" s="567"/>
      <c r="CY455" s="567"/>
      <c r="CZ455" s="567"/>
      <c r="DA455" s="567"/>
      <c r="DB455" s="567"/>
      <c r="DC455" s="567"/>
      <c r="DD455" s="567"/>
      <c r="DE455" s="567"/>
      <c r="DF455" s="567"/>
      <c r="DG455" s="567"/>
      <c r="DH455" s="567"/>
      <c r="DI455" s="567"/>
      <c r="DJ455" s="567"/>
      <c r="DK455" s="567"/>
      <c r="DL455" s="567"/>
      <c r="DM455" s="567"/>
      <c r="DN455" s="567"/>
      <c r="DO455" s="567"/>
      <c r="DP455" s="567"/>
      <c r="DQ455" s="567"/>
    </row>
    <row r="456" spans="1:121" s="487" customFormat="1">
      <c r="A456" s="588"/>
      <c r="B456" s="588"/>
      <c r="C456" s="588"/>
      <c r="D456" s="588"/>
      <c r="E456" s="588"/>
      <c r="F456" s="588"/>
      <c r="G456" s="588"/>
      <c r="H456" s="588"/>
      <c r="I456" s="588"/>
      <c r="J456" s="588"/>
      <c r="K456" s="588"/>
      <c r="L456" s="702"/>
      <c r="M456" s="888"/>
      <c r="N456" s="888"/>
      <c r="O456" s="888"/>
      <c r="P456" s="888"/>
      <c r="Q456" s="888"/>
      <c r="R456" s="888"/>
      <c r="S456" s="888"/>
      <c r="T456" s="888"/>
      <c r="U456" s="888"/>
      <c r="V456" s="888"/>
      <c r="W456" s="888"/>
      <c r="X456" s="888"/>
      <c r="Y456" s="888"/>
      <c r="Z456" s="888"/>
      <c r="AA456" s="888"/>
      <c r="AB456" s="888"/>
      <c r="AC456" s="888"/>
      <c r="AD456" s="888"/>
      <c r="AE456" s="888"/>
      <c r="AF456" s="888"/>
      <c r="AG456" s="888"/>
      <c r="AH456" s="888"/>
      <c r="AI456" s="888"/>
      <c r="AJ456" s="888"/>
      <c r="AK456" s="888"/>
      <c r="AL456" s="888"/>
      <c r="AM456" s="888"/>
      <c r="AN456" s="888"/>
      <c r="AO456" s="888"/>
      <c r="AP456" s="888"/>
      <c r="AQ456" s="888"/>
      <c r="AR456" s="888"/>
      <c r="AS456" s="888"/>
      <c r="AT456" s="888"/>
      <c r="AU456" s="888"/>
      <c r="AV456" s="888"/>
      <c r="AW456" s="888"/>
      <c r="AX456" s="888"/>
      <c r="AY456" s="888"/>
      <c r="AZ456" s="567"/>
      <c r="BA456" s="567"/>
      <c r="BB456" s="567"/>
      <c r="BC456" s="567"/>
      <c r="BD456" s="567"/>
      <c r="BE456" s="567"/>
      <c r="BF456" s="567"/>
      <c r="BG456" s="567"/>
      <c r="BH456" s="567"/>
      <c r="BI456" s="567"/>
      <c r="BJ456" s="567"/>
      <c r="BK456" s="567"/>
      <c r="BL456" s="567"/>
      <c r="BM456" s="567"/>
      <c r="BN456" s="567"/>
      <c r="BO456" s="567"/>
      <c r="BP456" s="567"/>
      <c r="BQ456" s="567"/>
      <c r="BR456" s="567"/>
      <c r="BS456" s="567"/>
      <c r="BT456" s="567"/>
      <c r="BU456" s="567"/>
      <c r="BV456" s="567"/>
      <c r="BW456" s="567"/>
      <c r="BX456" s="567"/>
      <c r="BY456" s="567"/>
      <c r="BZ456" s="567"/>
      <c r="CA456" s="567"/>
      <c r="CB456" s="567"/>
      <c r="CC456" s="567"/>
      <c r="CD456" s="567"/>
      <c r="CE456" s="567"/>
      <c r="CF456" s="567"/>
      <c r="CG456" s="567"/>
      <c r="CH456" s="567"/>
      <c r="CI456" s="567"/>
      <c r="CJ456" s="567"/>
      <c r="CK456" s="567"/>
      <c r="CL456" s="567"/>
      <c r="CM456" s="567"/>
      <c r="CN456" s="567"/>
      <c r="CO456" s="567"/>
      <c r="CP456" s="567"/>
      <c r="CQ456" s="567"/>
      <c r="CR456" s="567"/>
      <c r="CS456" s="567"/>
      <c r="CT456" s="567"/>
      <c r="CU456" s="567"/>
      <c r="CV456" s="567"/>
      <c r="CW456" s="567"/>
      <c r="CX456" s="567"/>
      <c r="CY456" s="567"/>
      <c r="CZ456" s="567"/>
      <c r="DA456" s="567"/>
      <c r="DB456" s="567"/>
      <c r="DC456" s="567"/>
      <c r="DD456" s="567"/>
      <c r="DE456" s="567"/>
      <c r="DF456" s="567"/>
      <c r="DG456" s="567"/>
      <c r="DH456" s="567"/>
      <c r="DI456" s="567"/>
      <c r="DJ456" s="567"/>
      <c r="DK456" s="567"/>
      <c r="DL456" s="567"/>
      <c r="DM456" s="567"/>
      <c r="DN456" s="567"/>
      <c r="DO456" s="567"/>
      <c r="DP456" s="567"/>
      <c r="DQ456" s="567"/>
    </row>
    <row r="457" spans="1:121" s="487" customFormat="1">
      <c r="A457" s="588"/>
      <c r="B457" s="588"/>
      <c r="C457" s="588"/>
      <c r="D457" s="588"/>
      <c r="E457" s="588"/>
      <c r="F457" s="588"/>
      <c r="G457" s="588"/>
      <c r="H457" s="588"/>
      <c r="I457" s="588"/>
      <c r="J457" s="588"/>
      <c r="K457" s="588"/>
      <c r="L457" s="702"/>
      <c r="M457" s="888"/>
      <c r="N457" s="888"/>
      <c r="O457" s="888"/>
      <c r="P457" s="888"/>
      <c r="Q457" s="888"/>
      <c r="R457" s="888"/>
      <c r="S457" s="888"/>
      <c r="T457" s="888"/>
      <c r="U457" s="888"/>
      <c r="V457" s="888"/>
      <c r="W457" s="888"/>
      <c r="X457" s="888"/>
      <c r="Y457" s="888"/>
      <c r="Z457" s="888"/>
      <c r="AA457" s="888"/>
      <c r="AB457" s="888"/>
      <c r="AC457" s="888"/>
      <c r="AD457" s="888"/>
      <c r="AE457" s="888"/>
      <c r="AF457" s="888"/>
      <c r="AG457" s="888"/>
      <c r="AH457" s="888"/>
      <c r="AI457" s="888"/>
      <c r="AJ457" s="888"/>
      <c r="AK457" s="888"/>
      <c r="AL457" s="888"/>
      <c r="AM457" s="888"/>
      <c r="AN457" s="888"/>
      <c r="AO457" s="888"/>
      <c r="AP457" s="888"/>
      <c r="AQ457" s="888"/>
      <c r="AR457" s="888"/>
      <c r="AS457" s="888"/>
      <c r="AT457" s="888"/>
      <c r="AU457" s="888"/>
      <c r="AV457" s="888"/>
      <c r="AW457" s="888"/>
      <c r="AX457" s="888"/>
      <c r="AY457" s="888"/>
      <c r="AZ457" s="567"/>
      <c r="BA457" s="567"/>
      <c r="BB457" s="567"/>
      <c r="BC457" s="567"/>
      <c r="BD457" s="567"/>
      <c r="BE457" s="567"/>
      <c r="BF457" s="567"/>
      <c r="BG457" s="567"/>
      <c r="BH457" s="567"/>
      <c r="BI457" s="567"/>
      <c r="BJ457" s="567"/>
      <c r="BK457" s="567"/>
      <c r="BL457" s="567"/>
      <c r="BM457" s="567"/>
      <c r="BN457" s="567"/>
      <c r="BO457" s="567"/>
      <c r="BP457" s="567"/>
      <c r="BQ457" s="567"/>
      <c r="BR457" s="567"/>
      <c r="BS457" s="567"/>
      <c r="BT457" s="567"/>
      <c r="BU457" s="567"/>
      <c r="BV457" s="567"/>
      <c r="BW457" s="567"/>
      <c r="BX457" s="567"/>
      <c r="BY457" s="567"/>
      <c r="BZ457" s="567"/>
      <c r="CA457" s="567"/>
      <c r="CB457" s="567"/>
      <c r="CC457" s="567"/>
      <c r="CD457" s="567"/>
      <c r="CE457" s="567"/>
      <c r="CF457" s="567"/>
      <c r="CG457" s="567"/>
      <c r="CH457" s="567"/>
      <c r="CI457" s="567"/>
      <c r="CJ457" s="567"/>
      <c r="CK457" s="567"/>
      <c r="CL457" s="567"/>
      <c r="CM457" s="567"/>
      <c r="CN457" s="567"/>
      <c r="CO457" s="567"/>
      <c r="CP457" s="567"/>
      <c r="CQ457" s="567"/>
      <c r="CR457" s="567"/>
      <c r="CS457" s="567"/>
      <c r="CT457" s="567"/>
      <c r="CU457" s="567"/>
      <c r="CV457" s="567"/>
      <c r="CW457" s="567"/>
      <c r="CX457" s="567"/>
      <c r="CY457" s="567"/>
      <c r="CZ457" s="567"/>
      <c r="DA457" s="567"/>
      <c r="DB457" s="567"/>
      <c r="DC457" s="567"/>
      <c r="DD457" s="567"/>
      <c r="DE457" s="567"/>
      <c r="DF457" s="567"/>
      <c r="DG457" s="567"/>
      <c r="DH457" s="567"/>
      <c r="DI457" s="567"/>
      <c r="DJ457" s="567"/>
      <c r="DK457" s="567"/>
      <c r="DL457" s="567"/>
      <c r="DM457" s="567"/>
      <c r="DN457" s="567"/>
      <c r="DO457" s="567"/>
      <c r="DP457" s="567"/>
      <c r="DQ457" s="567"/>
    </row>
    <row r="458" spans="1:121" s="487" customFormat="1">
      <c r="A458" s="588"/>
      <c r="B458" s="588"/>
      <c r="C458" s="588"/>
      <c r="D458" s="588"/>
      <c r="E458" s="588"/>
      <c r="F458" s="588"/>
      <c r="G458" s="588"/>
      <c r="H458" s="588"/>
      <c r="I458" s="588"/>
      <c r="J458" s="588"/>
      <c r="K458" s="588"/>
      <c r="L458" s="702"/>
      <c r="M458" s="888"/>
      <c r="N458" s="888"/>
      <c r="O458" s="888"/>
      <c r="P458" s="888"/>
      <c r="Q458" s="888"/>
      <c r="R458" s="888"/>
      <c r="S458" s="888"/>
      <c r="T458" s="888"/>
      <c r="U458" s="888"/>
      <c r="V458" s="888"/>
      <c r="W458" s="888"/>
      <c r="X458" s="888"/>
      <c r="Y458" s="888"/>
      <c r="Z458" s="888"/>
      <c r="AA458" s="888"/>
      <c r="AB458" s="888"/>
      <c r="AC458" s="888"/>
      <c r="AD458" s="888"/>
      <c r="AE458" s="888"/>
      <c r="AF458" s="888"/>
      <c r="AG458" s="888"/>
      <c r="AH458" s="888"/>
      <c r="AI458" s="888"/>
      <c r="AJ458" s="888"/>
      <c r="AK458" s="888"/>
      <c r="AL458" s="888"/>
      <c r="AM458" s="888"/>
      <c r="AN458" s="888"/>
      <c r="AO458" s="888"/>
      <c r="AP458" s="888"/>
      <c r="AQ458" s="888"/>
      <c r="AR458" s="888"/>
      <c r="AS458" s="888"/>
      <c r="AT458" s="888"/>
      <c r="AU458" s="888"/>
      <c r="AV458" s="888"/>
      <c r="AW458" s="888"/>
      <c r="AX458" s="888"/>
      <c r="AY458" s="888"/>
      <c r="AZ458" s="567"/>
      <c r="BA458" s="567"/>
      <c r="BB458" s="567"/>
      <c r="BC458" s="567"/>
      <c r="BD458" s="567"/>
      <c r="BE458" s="567"/>
      <c r="BF458" s="567"/>
      <c r="BG458" s="567"/>
      <c r="BH458" s="567"/>
      <c r="BI458" s="567"/>
      <c r="BJ458" s="567"/>
      <c r="BK458" s="567"/>
      <c r="BL458" s="567"/>
      <c r="BM458" s="567"/>
      <c r="BN458" s="567"/>
      <c r="BO458" s="567"/>
      <c r="BP458" s="567"/>
      <c r="BQ458" s="567"/>
      <c r="BR458" s="567"/>
      <c r="BS458" s="567"/>
      <c r="BT458" s="567"/>
      <c r="BU458" s="567"/>
      <c r="BV458" s="567"/>
      <c r="BW458" s="567"/>
      <c r="BX458" s="567"/>
      <c r="BY458" s="567"/>
      <c r="BZ458" s="567"/>
      <c r="CA458" s="567"/>
      <c r="CB458" s="567"/>
      <c r="CC458" s="567"/>
      <c r="CD458" s="567"/>
      <c r="CE458" s="567"/>
      <c r="CF458" s="567"/>
      <c r="CG458" s="567"/>
      <c r="CH458" s="567"/>
      <c r="CI458" s="567"/>
      <c r="CJ458" s="567"/>
      <c r="CK458" s="567"/>
      <c r="CL458" s="567"/>
      <c r="CM458" s="567"/>
      <c r="CN458" s="567"/>
      <c r="CO458" s="567"/>
      <c r="CP458" s="567"/>
      <c r="CQ458" s="567"/>
      <c r="CR458" s="567"/>
      <c r="CS458" s="567"/>
      <c r="CT458" s="567"/>
      <c r="CU458" s="567"/>
      <c r="CV458" s="567"/>
      <c r="CW458" s="567"/>
      <c r="CX458" s="567"/>
      <c r="CY458" s="567"/>
      <c r="CZ458" s="567"/>
      <c r="DA458" s="567"/>
      <c r="DB458" s="567"/>
      <c r="DC458" s="567"/>
      <c r="DD458" s="567"/>
      <c r="DE458" s="567"/>
      <c r="DF458" s="567"/>
      <c r="DG458" s="567"/>
      <c r="DH458" s="567"/>
      <c r="DI458" s="567"/>
      <c r="DJ458" s="567"/>
      <c r="DK458" s="567"/>
      <c r="DL458" s="567"/>
      <c r="DM458" s="567"/>
      <c r="DN458" s="567"/>
      <c r="DO458" s="567"/>
      <c r="DP458" s="567"/>
      <c r="DQ458" s="567"/>
    </row>
    <row r="459" spans="1:121" s="487" customFormat="1">
      <c r="A459" s="588"/>
      <c r="B459" s="588"/>
      <c r="C459" s="588"/>
      <c r="D459" s="588"/>
      <c r="E459" s="588"/>
      <c r="F459" s="588"/>
      <c r="G459" s="588"/>
      <c r="H459" s="588"/>
      <c r="I459" s="588"/>
      <c r="J459" s="588"/>
      <c r="K459" s="588"/>
      <c r="L459" s="702"/>
      <c r="M459" s="888"/>
      <c r="N459" s="888"/>
      <c r="O459" s="888"/>
      <c r="P459" s="888"/>
      <c r="Q459" s="888"/>
      <c r="R459" s="888"/>
      <c r="S459" s="888"/>
      <c r="T459" s="888"/>
      <c r="U459" s="888"/>
      <c r="V459" s="888"/>
      <c r="W459" s="888"/>
      <c r="X459" s="888"/>
      <c r="Y459" s="888"/>
      <c r="Z459" s="888"/>
      <c r="AA459" s="888"/>
      <c r="AB459" s="888"/>
      <c r="AC459" s="888"/>
      <c r="AD459" s="888"/>
      <c r="AE459" s="888"/>
      <c r="AF459" s="888"/>
      <c r="AG459" s="888"/>
      <c r="AH459" s="888"/>
      <c r="AI459" s="888"/>
      <c r="AJ459" s="888"/>
      <c r="AK459" s="888"/>
      <c r="AL459" s="888"/>
      <c r="AM459" s="888"/>
      <c r="AN459" s="888"/>
      <c r="AO459" s="888"/>
      <c r="AP459" s="888"/>
      <c r="AQ459" s="888"/>
      <c r="AR459" s="888"/>
      <c r="AS459" s="888"/>
      <c r="AT459" s="888"/>
      <c r="AU459" s="888"/>
      <c r="AV459" s="888"/>
      <c r="AW459" s="888"/>
      <c r="AX459" s="888"/>
      <c r="AY459" s="888"/>
      <c r="AZ459" s="567"/>
      <c r="BA459" s="567"/>
      <c r="BB459" s="567"/>
      <c r="BC459" s="567"/>
      <c r="BD459" s="567"/>
      <c r="BE459" s="567"/>
      <c r="BF459" s="567"/>
      <c r="BG459" s="567"/>
      <c r="BH459" s="567"/>
      <c r="BI459" s="567"/>
      <c r="BJ459" s="567"/>
      <c r="BK459" s="567"/>
      <c r="BL459" s="567"/>
      <c r="BM459" s="567"/>
      <c r="BN459" s="567"/>
      <c r="BO459" s="567"/>
      <c r="BP459" s="567"/>
      <c r="BQ459" s="567"/>
      <c r="BR459" s="567"/>
      <c r="BS459" s="567"/>
      <c r="BT459" s="567"/>
      <c r="BU459" s="567"/>
      <c r="BV459" s="567"/>
      <c r="BW459" s="567"/>
      <c r="BX459" s="567"/>
      <c r="BY459" s="567"/>
      <c r="BZ459" s="567"/>
      <c r="CA459" s="567"/>
      <c r="CB459" s="567"/>
      <c r="CC459" s="567"/>
      <c r="CD459" s="567"/>
      <c r="CE459" s="567"/>
      <c r="CF459" s="567"/>
      <c r="CG459" s="567"/>
      <c r="CH459" s="567"/>
      <c r="CI459" s="567"/>
      <c r="CJ459" s="567"/>
      <c r="CK459" s="567"/>
      <c r="CL459" s="567"/>
      <c r="CM459" s="567"/>
      <c r="CN459" s="567"/>
      <c r="CO459" s="567"/>
      <c r="CP459" s="567"/>
      <c r="CQ459" s="567"/>
      <c r="CR459" s="567"/>
      <c r="CS459" s="567"/>
      <c r="CT459" s="567"/>
      <c r="CU459" s="567"/>
      <c r="CV459" s="567"/>
      <c r="CW459" s="567"/>
      <c r="CX459" s="567"/>
      <c r="CY459" s="567"/>
      <c r="CZ459" s="567"/>
      <c r="DA459" s="567"/>
      <c r="DB459" s="567"/>
      <c r="DC459" s="567"/>
      <c r="DD459" s="567"/>
      <c r="DE459" s="567"/>
      <c r="DF459" s="567"/>
      <c r="DG459" s="567"/>
      <c r="DH459" s="567"/>
      <c r="DI459" s="567"/>
      <c r="DJ459" s="567"/>
      <c r="DK459" s="567"/>
      <c r="DL459" s="567"/>
      <c r="DM459" s="567"/>
      <c r="DN459" s="567"/>
      <c r="DO459" s="567"/>
      <c r="DP459" s="567"/>
      <c r="DQ459" s="567"/>
    </row>
    <row r="460" spans="1:121" s="487" customFormat="1">
      <c r="A460" s="588"/>
      <c r="B460" s="588"/>
      <c r="C460" s="588"/>
      <c r="D460" s="588"/>
      <c r="E460" s="588"/>
      <c r="F460" s="588"/>
      <c r="G460" s="588"/>
      <c r="H460" s="588"/>
      <c r="I460" s="588"/>
      <c r="J460" s="588"/>
      <c r="K460" s="588"/>
      <c r="L460" s="702"/>
      <c r="M460" s="888"/>
      <c r="N460" s="888"/>
      <c r="O460" s="888"/>
      <c r="P460" s="888"/>
      <c r="Q460" s="888"/>
      <c r="R460" s="888"/>
      <c r="S460" s="888"/>
      <c r="T460" s="888"/>
      <c r="U460" s="888"/>
      <c r="V460" s="888"/>
      <c r="W460" s="888"/>
      <c r="X460" s="888"/>
      <c r="Y460" s="888"/>
      <c r="Z460" s="888"/>
      <c r="AA460" s="888"/>
      <c r="AB460" s="888"/>
      <c r="AC460" s="888"/>
      <c r="AD460" s="888"/>
      <c r="AE460" s="888"/>
      <c r="AF460" s="888"/>
      <c r="AG460" s="888"/>
      <c r="AH460" s="888"/>
      <c r="AI460" s="888"/>
      <c r="AJ460" s="888"/>
      <c r="AK460" s="888"/>
      <c r="AL460" s="888"/>
      <c r="AM460" s="888"/>
      <c r="AN460" s="888"/>
      <c r="AO460" s="888"/>
      <c r="AP460" s="888"/>
      <c r="AQ460" s="888"/>
      <c r="AR460" s="888"/>
      <c r="AS460" s="888"/>
      <c r="AT460" s="888"/>
      <c r="AU460" s="888"/>
      <c r="AV460" s="888"/>
      <c r="AW460" s="888"/>
      <c r="AX460" s="888"/>
      <c r="AY460" s="888"/>
      <c r="AZ460" s="567"/>
      <c r="BA460" s="567"/>
      <c r="BB460" s="567"/>
      <c r="BC460" s="567"/>
      <c r="BD460" s="567"/>
      <c r="BE460" s="567"/>
      <c r="BF460" s="567"/>
      <c r="BG460" s="567"/>
      <c r="BH460" s="567"/>
      <c r="BI460" s="567"/>
      <c r="BJ460" s="567"/>
      <c r="BK460" s="567"/>
      <c r="BL460" s="567"/>
      <c r="BM460" s="567"/>
      <c r="BN460" s="567"/>
      <c r="BO460" s="567"/>
      <c r="BP460" s="567"/>
      <c r="BQ460" s="567"/>
      <c r="BR460" s="567"/>
      <c r="BS460" s="567"/>
      <c r="BT460" s="567"/>
      <c r="BU460" s="567"/>
      <c r="BV460" s="567"/>
      <c r="BW460" s="567"/>
      <c r="BX460" s="567"/>
      <c r="BY460" s="567"/>
      <c r="BZ460" s="567"/>
      <c r="CA460" s="567"/>
      <c r="CB460" s="567"/>
      <c r="CC460" s="567"/>
      <c r="CD460" s="567"/>
      <c r="CE460" s="567"/>
      <c r="CF460" s="567"/>
      <c r="CG460" s="567"/>
      <c r="CH460" s="567"/>
      <c r="CI460" s="567"/>
      <c r="CJ460" s="567"/>
      <c r="CK460" s="567"/>
      <c r="CL460" s="567"/>
      <c r="CM460" s="567"/>
      <c r="CN460" s="567"/>
      <c r="CO460" s="567"/>
      <c r="CP460" s="567"/>
      <c r="CQ460" s="567"/>
      <c r="CR460" s="567"/>
      <c r="CS460" s="567"/>
      <c r="CT460" s="567"/>
      <c r="CU460" s="567"/>
      <c r="CV460" s="567"/>
      <c r="CW460" s="567"/>
      <c r="CX460" s="567"/>
      <c r="CY460" s="567"/>
      <c r="CZ460" s="567"/>
      <c r="DA460" s="567"/>
      <c r="DB460" s="567"/>
      <c r="DC460" s="567"/>
      <c r="DD460" s="567"/>
      <c r="DE460" s="567"/>
      <c r="DF460" s="567"/>
      <c r="DG460" s="567"/>
      <c r="DH460" s="567"/>
      <c r="DI460" s="567"/>
      <c r="DJ460" s="567"/>
      <c r="DK460" s="567"/>
      <c r="DL460" s="567"/>
      <c r="DM460" s="567"/>
      <c r="DN460" s="567"/>
      <c r="DO460" s="567"/>
      <c r="DP460" s="567"/>
      <c r="DQ460" s="567"/>
    </row>
    <row r="461" spans="1:121" s="487" customFormat="1">
      <c r="A461" s="588"/>
      <c r="B461" s="588"/>
      <c r="C461" s="588"/>
      <c r="D461" s="588"/>
      <c r="E461" s="588"/>
      <c r="F461" s="588"/>
      <c r="G461" s="588"/>
      <c r="H461" s="588"/>
      <c r="I461" s="588"/>
      <c r="J461" s="588"/>
      <c r="K461" s="588"/>
      <c r="L461" s="702"/>
      <c r="M461" s="888"/>
      <c r="N461" s="888"/>
      <c r="O461" s="888"/>
      <c r="P461" s="888"/>
      <c r="Q461" s="888"/>
      <c r="R461" s="888"/>
      <c r="S461" s="888"/>
      <c r="T461" s="888"/>
      <c r="U461" s="888"/>
      <c r="V461" s="888"/>
      <c r="W461" s="888"/>
      <c r="X461" s="888"/>
      <c r="Y461" s="888"/>
      <c r="Z461" s="888"/>
      <c r="AA461" s="888"/>
      <c r="AB461" s="888"/>
      <c r="AC461" s="888"/>
      <c r="AD461" s="888"/>
      <c r="AE461" s="888"/>
      <c r="AF461" s="888"/>
      <c r="AG461" s="888"/>
      <c r="AH461" s="888"/>
      <c r="AI461" s="888"/>
      <c r="AJ461" s="888"/>
      <c r="AK461" s="888"/>
      <c r="AL461" s="888"/>
      <c r="AM461" s="888"/>
      <c r="AN461" s="888"/>
      <c r="AO461" s="888"/>
      <c r="AP461" s="888"/>
      <c r="AQ461" s="888"/>
      <c r="AR461" s="888"/>
      <c r="AS461" s="888"/>
      <c r="AT461" s="888"/>
      <c r="AU461" s="888"/>
      <c r="AV461" s="888"/>
      <c r="AW461" s="888"/>
      <c r="AX461" s="888"/>
      <c r="AY461" s="888"/>
      <c r="AZ461" s="567"/>
      <c r="BA461" s="567"/>
      <c r="BB461" s="567"/>
      <c r="BC461" s="567"/>
      <c r="BD461" s="567"/>
      <c r="BE461" s="567"/>
      <c r="BF461" s="567"/>
      <c r="BG461" s="567"/>
      <c r="BH461" s="567"/>
      <c r="BI461" s="567"/>
      <c r="BJ461" s="567"/>
      <c r="BK461" s="567"/>
      <c r="BL461" s="567"/>
      <c r="BM461" s="567"/>
      <c r="BN461" s="567"/>
      <c r="BO461" s="567"/>
      <c r="BP461" s="567"/>
      <c r="BQ461" s="567"/>
      <c r="BR461" s="567"/>
      <c r="BS461" s="567"/>
      <c r="BT461" s="567"/>
      <c r="BU461" s="567"/>
      <c r="BV461" s="567"/>
      <c r="BW461" s="567"/>
      <c r="BX461" s="567"/>
      <c r="BY461" s="567"/>
      <c r="BZ461" s="567"/>
      <c r="CA461" s="567"/>
      <c r="CB461" s="567"/>
      <c r="CC461" s="567"/>
      <c r="CD461" s="567"/>
      <c r="CE461" s="567"/>
      <c r="CF461" s="567"/>
      <c r="CG461" s="567"/>
      <c r="CH461" s="567"/>
      <c r="CI461" s="567"/>
      <c r="CJ461" s="567"/>
      <c r="CK461" s="567"/>
      <c r="CL461" s="567"/>
      <c r="CM461" s="567"/>
      <c r="CN461" s="567"/>
      <c r="CO461" s="567"/>
      <c r="CP461" s="567"/>
      <c r="CQ461" s="567"/>
      <c r="CR461" s="567"/>
      <c r="CS461" s="567"/>
      <c r="CT461" s="567"/>
      <c r="CU461" s="567"/>
      <c r="CV461" s="567"/>
      <c r="CW461" s="567"/>
      <c r="CX461" s="567"/>
      <c r="CY461" s="567"/>
      <c r="CZ461" s="567"/>
      <c r="DA461" s="567"/>
      <c r="DB461" s="567"/>
      <c r="DC461" s="567"/>
      <c r="DD461" s="567"/>
      <c r="DE461" s="567"/>
      <c r="DF461" s="567"/>
      <c r="DG461" s="567"/>
      <c r="DH461" s="567"/>
      <c r="DI461" s="567"/>
      <c r="DJ461" s="567"/>
      <c r="DK461" s="567"/>
      <c r="DL461" s="567"/>
      <c r="DM461" s="567"/>
      <c r="DN461" s="567"/>
      <c r="DO461" s="567"/>
      <c r="DP461" s="567"/>
      <c r="DQ461" s="567"/>
    </row>
    <row r="462" spans="1:121" s="487" customFormat="1">
      <c r="A462" s="588"/>
      <c r="B462" s="588"/>
      <c r="C462" s="588"/>
      <c r="D462" s="588"/>
      <c r="E462" s="588"/>
      <c r="F462" s="588"/>
      <c r="G462" s="588"/>
      <c r="H462" s="588"/>
      <c r="I462" s="588"/>
      <c r="J462" s="588"/>
      <c r="K462" s="588"/>
      <c r="L462" s="702"/>
      <c r="M462" s="888"/>
      <c r="N462" s="888"/>
      <c r="O462" s="888"/>
      <c r="P462" s="888"/>
      <c r="Q462" s="888"/>
      <c r="R462" s="888"/>
      <c r="S462" s="888"/>
      <c r="T462" s="888"/>
      <c r="U462" s="888"/>
      <c r="V462" s="888"/>
      <c r="W462" s="888"/>
      <c r="X462" s="888"/>
      <c r="Y462" s="888"/>
      <c r="Z462" s="888"/>
      <c r="AA462" s="888"/>
      <c r="AB462" s="888"/>
      <c r="AC462" s="888"/>
      <c r="AD462" s="888"/>
      <c r="AE462" s="888"/>
      <c r="AF462" s="888"/>
      <c r="AG462" s="888"/>
      <c r="AH462" s="888"/>
      <c r="AI462" s="888"/>
      <c r="AJ462" s="888"/>
      <c r="AK462" s="888"/>
      <c r="AL462" s="888"/>
      <c r="AM462" s="888"/>
      <c r="AN462" s="888"/>
      <c r="AO462" s="888"/>
      <c r="AP462" s="888"/>
      <c r="AQ462" s="888"/>
      <c r="AR462" s="888"/>
      <c r="AS462" s="888"/>
      <c r="AT462" s="888"/>
      <c r="AU462" s="888"/>
      <c r="AV462" s="888"/>
      <c r="AW462" s="888"/>
      <c r="AX462" s="888"/>
      <c r="AY462" s="888"/>
      <c r="AZ462" s="567"/>
      <c r="BA462" s="567"/>
      <c r="BB462" s="567"/>
      <c r="BC462" s="567"/>
      <c r="BD462" s="567"/>
      <c r="BE462" s="567"/>
      <c r="BF462" s="567"/>
      <c r="BG462" s="567"/>
      <c r="BH462" s="567"/>
      <c r="BI462" s="567"/>
      <c r="BJ462" s="567"/>
      <c r="BK462" s="567"/>
      <c r="BL462" s="567"/>
      <c r="BM462" s="567"/>
      <c r="BN462" s="567"/>
      <c r="BO462" s="567"/>
      <c r="BP462" s="567"/>
      <c r="BQ462" s="567"/>
      <c r="BR462" s="567"/>
      <c r="BS462" s="567"/>
      <c r="BT462" s="567"/>
      <c r="BU462" s="567"/>
      <c r="BV462" s="567"/>
      <c r="BW462" s="567"/>
      <c r="BX462" s="567"/>
      <c r="BY462" s="567"/>
      <c r="BZ462" s="567"/>
      <c r="CA462" s="567"/>
      <c r="CB462" s="567"/>
      <c r="CC462" s="567"/>
      <c r="CD462" s="567"/>
      <c r="CE462" s="567"/>
      <c r="CF462" s="567"/>
      <c r="CG462" s="567"/>
      <c r="CH462" s="567"/>
      <c r="CI462" s="567"/>
      <c r="CJ462" s="567"/>
      <c r="CK462" s="567"/>
      <c r="CL462" s="567"/>
      <c r="CM462" s="567"/>
      <c r="CN462" s="567"/>
      <c r="CO462" s="567"/>
      <c r="CP462" s="567"/>
      <c r="CQ462" s="567"/>
      <c r="CR462" s="567"/>
      <c r="CS462" s="567"/>
      <c r="CT462" s="567"/>
      <c r="CU462" s="567"/>
      <c r="CV462" s="567"/>
      <c r="CW462" s="567"/>
      <c r="CX462" s="567"/>
      <c r="CY462" s="567"/>
      <c r="CZ462" s="567"/>
      <c r="DA462" s="567"/>
      <c r="DB462" s="567"/>
      <c r="DC462" s="567"/>
      <c r="DD462" s="567"/>
      <c r="DE462" s="567"/>
      <c r="DF462" s="567"/>
      <c r="DG462" s="567"/>
      <c r="DH462" s="567"/>
      <c r="DI462" s="567"/>
      <c r="DJ462" s="567"/>
      <c r="DK462" s="567"/>
      <c r="DL462" s="567"/>
      <c r="DM462" s="567"/>
      <c r="DN462" s="567"/>
      <c r="DO462" s="567"/>
      <c r="DP462" s="567"/>
      <c r="DQ462" s="567"/>
    </row>
    <row r="463" spans="1:121" s="487" customFormat="1">
      <c r="A463" s="588"/>
      <c r="B463" s="588"/>
      <c r="C463" s="588"/>
      <c r="D463" s="588"/>
      <c r="E463" s="588"/>
      <c r="F463" s="588"/>
      <c r="G463" s="588"/>
      <c r="H463" s="588"/>
      <c r="I463" s="588"/>
      <c r="J463" s="588"/>
      <c r="K463" s="588"/>
      <c r="L463" s="702"/>
      <c r="M463" s="888"/>
      <c r="N463" s="888"/>
      <c r="O463" s="888"/>
      <c r="P463" s="888"/>
      <c r="Q463" s="888"/>
      <c r="R463" s="888"/>
      <c r="S463" s="888"/>
      <c r="T463" s="888"/>
      <c r="U463" s="888"/>
      <c r="V463" s="888"/>
      <c r="W463" s="888"/>
      <c r="X463" s="888"/>
      <c r="Y463" s="888"/>
      <c r="Z463" s="888"/>
      <c r="AA463" s="888"/>
      <c r="AB463" s="888"/>
      <c r="AC463" s="888"/>
      <c r="AD463" s="888"/>
      <c r="AE463" s="888"/>
      <c r="AF463" s="888"/>
      <c r="AG463" s="888"/>
      <c r="AH463" s="888"/>
      <c r="AI463" s="888"/>
      <c r="AJ463" s="888"/>
      <c r="AK463" s="888"/>
      <c r="AL463" s="888"/>
      <c r="AM463" s="888"/>
      <c r="AN463" s="888"/>
      <c r="AO463" s="888"/>
      <c r="AP463" s="888"/>
      <c r="AQ463" s="888"/>
      <c r="AR463" s="888"/>
      <c r="AS463" s="888"/>
      <c r="AT463" s="888"/>
      <c r="AU463" s="888"/>
      <c r="AV463" s="888"/>
      <c r="AW463" s="888"/>
      <c r="AX463" s="888"/>
      <c r="AY463" s="888"/>
      <c r="AZ463" s="567"/>
      <c r="BA463" s="567"/>
      <c r="BB463" s="567"/>
      <c r="BC463" s="567"/>
      <c r="BD463" s="567"/>
      <c r="BE463" s="567"/>
      <c r="BF463" s="567"/>
      <c r="BG463" s="567"/>
      <c r="BH463" s="567"/>
      <c r="BI463" s="567"/>
      <c r="BJ463" s="567"/>
      <c r="BK463" s="567"/>
      <c r="BL463" s="567"/>
      <c r="BM463" s="567"/>
      <c r="BN463" s="567"/>
      <c r="BO463" s="567"/>
      <c r="BP463" s="567"/>
      <c r="BQ463" s="567"/>
      <c r="BR463" s="567"/>
      <c r="BS463" s="567"/>
      <c r="BT463" s="567"/>
      <c r="BU463" s="567"/>
      <c r="BV463" s="567"/>
      <c r="BW463" s="567"/>
      <c r="BX463" s="567"/>
      <c r="BY463" s="567"/>
      <c r="BZ463" s="567"/>
      <c r="CA463" s="567"/>
      <c r="CB463" s="567"/>
      <c r="CC463" s="567"/>
      <c r="CD463" s="567"/>
      <c r="CE463" s="567"/>
      <c r="CF463" s="567"/>
      <c r="CG463" s="567"/>
      <c r="CH463" s="567"/>
      <c r="CI463" s="567"/>
      <c r="CJ463" s="567"/>
      <c r="CK463" s="567"/>
      <c r="CL463" s="567"/>
      <c r="CM463" s="567"/>
      <c r="CN463" s="567"/>
      <c r="CO463" s="567"/>
      <c r="CP463" s="567"/>
      <c r="CQ463" s="567"/>
      <c r="CR463" s="567"/>
      <c r="CS463" s="567"/>
      <c r="CT463" s="567"/>
      <c r="CU463" s="567"/>
      <c r="CV463" s="567"/>
      <c r="CW463" s="567"/>
      <c r="CX463" s="567"/>
      <c r="CY463" s="567"/>
      <c r="CZ463" s="567"/>
      <c r="DA463" s="567"/>
      <c r="DB463" s="567"/>
      <c r="DC463" s="567"/>
      <c r="DD463" s="567"/>
      <c r="DE463" s="567"/>
      <c r="DF463" s="567"/>
      <c r="DG463" s="567"/>
      <c r="DH463" s="567"/>
      <c r="DI463" s="567"/>
      <c r="DJ463" s="567"/>
      <c r="DK463" s="567"/>
      <c r="DL463" s="567"/>
      <c r="DM463" s="567"/>
      <c r="DN463" s="567"/>
      <c r="DO463" s="567"/>
      <c r="DP463" s="567"/>
      <c r="DQ463" s="567"/>
    </row>
    <row r="464" spans="1:121" s="487" customFormat="1">
      <c r="A464" s="588"/>
      <c r="B464" s="588"/>
      <c r="C464" s="588"/>
      <c r="D464" s="588"/>
      <c r="E464" s="588"/>
      <c r="F464" s="588"/>
      <c r="G464" s="588"/>
      <c r="H464" s="588"/>
      <c r="I464" s="588"/>
      <c r="J464" s="588"/>
      <c r="K464" s="588"/>
      <c r="L464" s="702"/>
      <c r="M464" s="888"/>
      <c r="N464" s="888"/>
      <c r="O464" s="888"/>
      <c r="P464" s="888"/>
      <c r="Q464" s="888"/>
      <c r="R464" s="888"/>
      <c r="S464" s="888"/>
      <c r="T464" s="888"/>
      <c r="U464" s="888"/>
      <c r="V464" s="888"/>
      <c r="W464" s="888"/>
      <c r="X464" s="888"/>
      <c r="Y464" s="888"/>
      <c r="Z464" s="888"/>
      <c r="AA464" s="888"/>
      <c r="AB464" s="888"/>
      <c r="AC464" s="888"/>
      <c r="AD464" s="888"/>
      <c r="AE464" s="888"/>
      <c r="AF464" s="888"/>
      <c r="AG464" s="888"/>
      <c r="AH464" s="888"/>
      <c r="AI464" s="888"/>
      <c r="AJ464" s="888"/>
      <c r="AK464" s="888"/>
      <c r="AL464" s="888"/>
      <c r="AM464" s="888"/>
      <c r="AN464" s="888"/>
      <c r="AO464" s="888"/>
      <c r="AP464" s="888"/>
      <c r="AQ464" s="888"/>
      <c r="AR464" s="888"/>
      <c r="AS464" s="888"/>
      <c r="AT464" s="888"/>
      <c r="AU464" s="888"/>
      <c r="AV464" s="888"/>
      <c r="AW464" s="888"/>
      <c r="AX464" s="888"/>
      <c r="AY464" s="888"/>
      <c r="AZ464" s="567"/>
      <c r="BA464" s="567"/>
      <c r="BB464" s="567"/>
      <c r="BC464" s="567"/>
      <c r="BD464" s="567"/>
      <c r="BE464" s="567"/>
      <c r="BF464" s="567"/>
      <c r="BG464" s="567"/>
      <c r="BH464" s="567"/>
      <c r="BI464" s="567"/>
      <c r="BJ464" s="567"/>
      <c r="BK464" s="567"/>
      <c r="BL464" s="567"/>
      <c r="BM464" s="567"/>
      <c r="BN464" s="567"/>
      <c r="BO464" s="567"/>
      <c r="BP464" s="567"/>
      <c r="BQ464" s="567"/>
      <c r="BR464" s="567"/>
      <c r="BS464" s="567"/>
      <c r="BT464" s="567"/>
      <c r="BU464" s="567"/>
      <c r="BV464" s="567"/>
      <c r="BW464" s="567"/>
      <c r="BX464" s="567"/>
      <c r="BY464" s="567"/>
      <c r="BZ464" s="567"/>
      <c r="CA464" s="567"/>
      <c r="CB464" s="567"/>
      <c r="CC464" s="567"/>
      <c r="CD464" s="567"/>
      <c r="CE464" s="567"/>
      <c r="CF464" s="567"/>
      <c r="CG464" s="567"/>
      <c r="CH464" s="567"/>
      <c r="CI464" s="567"/>
      <c r="CJ464" s="567"/>
      <c r="CK464" s="567"/>
      <c r="CL464" s="567"/>
      <c r="CM464" s="567"/>
      <c r="CN464" s="567"/>
      <c r="CO464" s="567"/>
      <c r="CP464" s="567"/>
      <c r="CQ464" s="567"/>
      <c r="CR464" s="567"/>
      <c r="CS464" s="567"/>
      <c r="CT464" s="567"/>
      <c r="CU464" s="567"/>
      <c r="CV464" s="567"/>
      <c r="CW464" s="567"/>
      <c r="CX464" s="567"/>
      <c r="CY464" s="567"/>
      <c r="CZ464" s="567"/>
      <c r="DA464" s="567"/>
      <c r="DB464" s="567"/>
      <c r="DC464" s="567"/>
      <c r="DD464" s="567"/>
      <c r="DE464" s="567"/>
      <c r="DF464" s="567"/>
      <c r="DG464" s="567"/>
      <c r="DH464" s="567"/>
      <c r="DI464" s="567"/>
      <c r="DJ464" s="567"/>
      <c r="DK464" s="567"/>
      <c r="DL464" s="567"/>
      <c r="DM464" s="567"/>
      <c r="DN464" s="567"/>
      <c r="DO464" s="567"/>
      <c r="DP464" s="567"/>
      <c r="DQ464" s="567"/>
    </row>
    <row r="465" spans="1:121" s="487" customFormat="1">
      <c r="A465" s="588"/>
      <c r="B465" s="588"/>
      <c r="C465" s="588"/>
      <c r="D465" s="588"/>
      <c r="E465" s="588"/>
      <c r="F465" s="588"/>
      <c r="G465" s="588"/>
      <c r="H465" s="588"/>
      <c r="I465" s="588"/>
      <c r="J465" s="588"/>
      <c r="K465" s="588"/>
      <c r="L465" s="702"/>
      <c r="M465" s="888"/>
      <c r="N465" s="888"/>
      <c r="O465" s="888"/>
      <c r="P465" s="888"/>
      <c r="Q465" s="888"/>
      <c r="R465" s="888"/>
      <c r="S465" s="888"/>
      <c r="T465" s="888"/>
      <c r="U465" s="888"/>
      <c r="V465" s="888"/>
      <c r="W465" s="888"/>
      <c r="X465" s="888"/>
      <c r="Y465" s="888"/>
      <c r="Z465" s="888"/>
      <c r="AA465" s="888"/>
      <c r="AB465" s="888"/>
      <c r="AC465" s="888"/>
      <c r="AD465" s="888"/>
      <c r="AE465" s="888"/>
      <c r="AF465" s="888"/>
      <c r="AG465" s="888"/>
      <c r="AH465" s="888"/>
      <c r="AI465" s="888"/>
      <c r="AJ465" s="888"/>
      <c r="AK465" s="888"/>
      <c r="AL465" s="888"/>
      <c r="AM465" s="888"/>
      <c r="AN465" s="888"/>
      <c r="AO465" s="888"/>
      <c r="AP465" s="888"/>
      <c r="AQ465" s="888"/>
      <c r="AR465" s="888"/>
      <c r="AS465" s="888"/>
      <c r="AT465" s="888"/>
      <c r="AU465" s="888"/>
      <c r="AV465" s="888"/>
      <c r="AW465" s="888"/>
      <c r="AX465" s="888"/>
      <c r="AY465" s="888"/>
      <c r="AZ465" s="567"/>
      <c r="BA465" s="567"/>
      <c r="BB465" s="567"/>
      <c r="BC465" s="567"/>
      <c r="BD465" s="567"/>
      <c r="BE465" s="567"/>
      <c r="BF465" s="567"/>
      <c r="BG465" s="567"/>
      <c r="BH465" s="567"/>
      <c r="BI465" s="567"/>
      <c r="BJ465" s="567"/>
      <c r="BK465" s="567"/>
      <c r="BL465" s="567"/>
      <c r="BM465" s="567"/>
      <c r="BN465" s="567"/>
      <c r="BO465" s="567"/>
      <c r="BP465" s="567"/>
      <c r="BQ465" s="567"/>
      <c r="BR465" s="567"/>
      <c r="BS465" s="567"/>
      <c r="BT465" s="567"/>
      <c r="BU465" s="567"/>
      <c r="BV465" s="567"/>
      <c r="BW465" s="567"/>
      <c r="BX465" s="567"/>
      <c r="BY465" s="567"/>
      <c r="BZ465" s="567"/>
      <c r="CA465" s="567"/>
      <c r="CB465" s="567"/>
      <c r="CC465" s="567"/>
      <c r="CD465" s="567"/>
      <c r="CE465" s="567"/>
      <c r="CF465" s="567"/>
      <c r="CG465" s="567"/>
      <c r="CH465" s="567"/>
      <c r="CI465" s="567"/>
      <c r="CJ465" s="567"/>
      <c r="CK465" s="567"/>
      <c r="CL465" s="567"/>
      <c r="CM465" s="567"/>
      <c r="CN465" s="567"/>
      <c r="CO465" s="567"/>
      <c r="CP465" s="567"/>
      <c r="CQ465" s="567"/>
      <c r="CR465" s="567"/>
      <c r="CS465" s="567"/>
      <c r="CT465" s="567"/>
      <c r="CU465" s="567"/>
      <c r="CV465" s="567"/>
      <c r="CW465" s="567"/>
      <c r="CX465" s="567"/>
      <c r="CY465" s="567"/>
      <c r="CZ465" s="567"/>
      <c r="DA465" s="567"/>
      <c r="DB465" s="567"/>
      <c r="DC465" s="567"/>
      <c r="DD465" s="567"/>
      <c r="DE465" s="567"/>
      <c r="DF465" s="567"/>
      <c r="DG465" s="567"/>
      <c r="DH465" s="567"/>
      <c r="DI465" s="567"/>
      <c r="DJ465" s="567"/>
      <c r="DK465" s="567"/>
      <c r="DL465" s="567"/>
      <c r="DM465" s="567"/>
      <c r="DN465" s="567"/>
      <c r="DO465" s="567"/>
      <c r="DP465" s="567"/>
      <c r="DQ465" s="567"/>
    </row>
    <row r="466" spans="1:121" s="487" customFormat="1">
      <c r="A466" s="588"/>
      <c r="B466" s="588"/>
      <c r="C466" s="588"/>
      <c r="D466" s="588"/>
      <c r="E466" s="588"/>
      <c r="F466" s="588"/>
      <c r="G466" s="588"/>
      <c r="H466" s="588"/>
      <c r="I466" s="588"/>
      <c r="J466" s="588"/>
      <c r="K466" s="588"/>
      <c r="L466" s="702"/>
      <c r="M466" s="888"/>
      <c r="N466" s="888"/>
      <c r="O466" s="888"/>
      <c r="P466" s="888"/>
      <c r="Q466" s="888"/>
      <c r="R466" s="888"/>
      <c r="S466" s="888"/>
      <c r="T466" s="888"/>
      <c r="U466" s="888"/>
      <c r="V466" s="888"/>
      <c r="W466" s="888"/>
      <c r="X466" s="888"/>
      <c r="Y466" s="888"/>
      <c r="Z466" s="888"/>
      <c r="AA466" s="888"/>
      <c r="AB466" s="888"/>
      <c r="AC466" s="888"/>
      <c r="AD466" s="888"/>
      <c r="AE466" s="888"/>
      <c r="AF466" s="888"/>
      <c r="AG466" s="888"/>
      <c r="AH466" s="888"/>
      <c r="AI466" s="888"/>
      <c r="AJ466" s="888"/>
      <c r="AK466" s="888"/>
      <c r="AL466" s="888"/>
      <c r="AM466" s="888"/>
      <c r="AN466" s="888"/>
      <c r="AO466" s="888"/>
      <c r="AP466" s="888"/>
      <c r="AQ466" s="888"/>
      <c r="AR466" s="888"/>
      <c r="AS466" s="888"/>
      <c r="AT466" s="888"/>
      <c r="AU466" s="888"/>
      <c r="AV466" s="888"/>
      <c r="AW466" s="888"/>
      <c r="AX466" s="888"/>
      <c r="AY466" s="888"/>
      <c r="AZ466" s="567"/>
      <c r="BA466" s="567"/>
      <c r="BB466" s="567"/>
      <c r="BC466" s="567"/>
      <c r="BD466" s="567"/>
      <c r="BE466" s="567"/>
      <c r="BF466" s="567"/>
      <c r="BG466" s="567"/>
      <c r="BH466" s="567"/>
      <c r="BI466" s="567"/>
      <c r="BJ466" s="567"/>
      <c r="BK466" s="567"/>
      <c r="BL466" s="567"/>
      <c r="BM466" s="567"/>
      <c r="BN466" s="567"/>
      <c r="BO466" s="567"/>
      <c r="BP466" s="567"/>
      <c r="BQ466" s="567"/>
      <c r="BR466" s="567"/>
      <c r="BS466" s="567"/>
      <c r="BT466" s="567"/>
      <c r="BU466" s="567"/>
      <c r="BV466" s="567"/>
      <c r="BW466" s="567"/>
      <c r="BX466" s="567"/>
      <c r="BY466" s="567"/>
      <c r="BZ466" s="567"/>
      <c r="CA466" s="567"/>
      <c r="CB466" s="567"/>
      <c r="CC466" s="567"/>
      <c r="CD466" s="567"/>
      <c r="CE466" s="567"/>
      <c r="CF466" s="567"/>
      <c r="CG466" s="567"/>
      <c r="CH466" s="567"/>
      <c r="CI466" s="567"/>
      <c r="CJ466" s="567"/>
      <c r="CK466" s="567"/>
      <c r="CL466" s="567"/>
      <c r="CM466" s="567"/>
      <c r="CN466" s="567"/>
      <c r="CO466" s="567"/>
      <c r="CP466" s="567"/>
      <c r="CQ466" s="567"/>
      <c r="CR466" s="567"/>
      <c r="CS466" s="567"/>
      <c r="CT466" s="567"/>
      <c r="CU466" s="567"/>
      <c r="CV466" s="567"/>
      <c r="CW466" s="567"/>
      <c r="CX466" s="567"/>
      <c r="CY466" s="567"/>
      <c r="CZ466" s="567"/>
      <c r="DA466" s="567"/>
      <c r="DB466" s="567"/>
      <c r="DC466" s="567"/>
      <c r="DD466" s="567"/>
      <c r="DE466" s="567"/>
      <c r="DF466" s="567"/>
      <c r="DG466" s="567"/>
      <c r="DH466" s="567"/>
      <c r="DI466" s="567"/>
      <c r="DJ466" s="567"/>
      <c r="DK466" s="567"/>
      <c r="DL466" s="567"/>
      <c r="DM466" s="567"/>
      <c r="DN466" s="567"/>
      <c r="DO466" s="567"/>
      <c r="DP466" s="567"/>
      <c r="DQ466" s="567"/>
    </row>
    <row r="467" spans="1:121" s="487" customFormat="1">
      <c r="A467" s="588"/>
      <c r="B467" s="588"/>
      <c r="C467" s="588"/>
      <c r="D467" s="588"/>
      <c r="E467" s="588"/>
      <c r="F467" s="588"/>
      <c r="G467" s="588"/>
      <c r="H467" s="588"/>
      <c r="I467" s="588"/>
      <c r="J467" s="588"/>
      <c r="K467" s="588"/>
      <c r="L467" s="702"/>
      <c r="M467" s="888"/>
      <c r="N467" s="888"/>
      <c r="O467" s="888"/>
      <c r="P467" s="888"/>
      <c r="Q467" s="888"/>
      <c r="R467" s="888"/>
      <c r="S467" s="888"/>
      <c r="T467" s="888"/>
      <c r="U467" s="888"/>
      <c r="V467" s="888"/>
      <c r="W467" s="888"/>
      <c r="X467" s="888"/>
      <c r="Y467" s="888"/>
      <c r="Z467" s="888"/>
      <c r="AA467" s="888"/>
      <c r="AB467" s="888"/>
      <c r="AC467" s="888"/>
      <c r="AD467" s="888"/>
      <c r="AE467" s="888"/>
      <c r="AF467" s="888"/>
      <c r="AG467" s="888"/>
      <c r="AH467" s="888"/>
      <c r="AI467" s="888"/>
      <c r="AJ467" s="888"/>
      <c r="AK467" s="888"/>
      <c r="AL467" s="888"/>
      <c r="AM467" s="888"/>
      <c r="AN467" s="888"/>
      <c r="AO467" s="888"/>
      <c r="AP467" s="888"/>
      <c r="AQ467" s="888"/>
      <c r="AR467" s="888"/>
      <c r="AS467" s="888"/>
      <c r="AT467" s="888"/>
      <c r="AU467" s="888"/>
      <c r="AV467" s="888"/>
      <c r="AW467" s="888"/>
      <c r="AX467" s="888"/>
      <c r="AY467" s="888"/>
      <c r="AZ467" s="567"/>
      <c r="BA467" s="567"/>
      <c r="BB467" s="567"/>
      <c r="BC467" s="567"/>
      <c r="BD467" s="567"/>
      <c r="BE467" s="567"/>
      <c r="BF467" s="567"/>
      <c r="BG467" s="567"/>
      <c r="BH467" s="567"/>
      <c r="BI467" s="567"/>
      <c r="BJ467" s="567"/>
      <c r="BK467" s="567"/>
      <c r="BL467" s="567"/>
      <c r="BM467" s="567"/>
      <c r="BN467" s="567"/>
      <c r="BO467" s="567"/>
      <c r="BP467" s="567"/>
      <c r="BQ467" s="567"/>
      <c r="BR467" s="567"/>
      <c r="BS467" s="567"/>
      <c r="BT467" s="567"/>
      <c r="BU467" s="567"/>
      <c r="BV467" s="567"/>
      <c r="BW467" s="567"/>
      <c r="BX467" s="567"/>
      <c r="BY467" s="567"/>
      <c r="BZ467" s="567"/>
      <c r="CA467" s="567"/>
      <c r="CB467" s="567"/>
      <c r="CC467" s="567"/>
      <c r="CD467" s="567"/>
      <c r="CE467" s="567"/>
      <c r="CF467" s="567"/>
      <c r="CG467" s="567"/>
      <c r="CH467" s="567"/>
      <c r="CI467" s="567"/>
      <c r="CJ467" s="567"/>
      <c r="CK467" s="567"/>
      <c r="CL467" s="567"/>
      <c r="CM467" s="567"/>
      <c r="CN467" s="567"/>
      <c r="CO467" s="567"/>
      <c r="CP467" s="567"/>
      <c r="CQ467" s="567"/>
      <c r="CR467" s="567"/>
      <c r="CS467" s="567"/>
      <c r="CT467" s="567"/>
      <c r="CU467" s="567"/>
      <c r="CV467" s="567"/>
      <c r="CW467" s="567"/>
      <c r="CX467" s="567"/>
      <c r="CY467" s="567"/>
      <c r="CZ467" s="567"/>
      <c r="DA467" s="567"/>
      <c r="DB467" s="567"/>
      <c r="DC467" s="567"/>
      <c r="DD467" s="567"/>
      <c r="DE467" s="567"/>
      <c r="DF467" s="567"/>
      <c r="DG467" s="567"/>
      <c r="DH467" s="567"/>
      <c r="DI467" s="567"/>
      <c r="DJ467" s="567"/>
      <c r="DK467" s="567"/>
      <c r="DL467" s="567"/>
      <c r="DM467" s="567"/>
      <c r="DN467" s="567"/>
      <c r="DO467" s="567"/>
      <c r="DP467" s="567"/>
      <c r="DQ467" s="567"/>
    </row>
    <row r="468" spans="1:121" s="487" customFormat="1">
      <c r="A468" s="588"/>
      <c r="B468" s="588"/>
      <c r="C468" s="588"/>
      <c r="D468" s="588"/>
      <c r="E468" s="588"/>
      <c r="F468" s="588"/>
      <c r="G468" s="588"/>
      <c r="H468" s="588"/>
      <c r="I468" s="588"/>
      <c r="J468" s="588"/>
      <c r="K468" s="588"/>
      <c r="L468" s="702"/>
      <c r="M468" s="888"/>
      <c r="N468" s="888"/>
      <c r="O468" s="888"/>
      <c r="P468" s="888"/>
      <c r="Q468" s="888"/>
      <c r="R468" s="888"/>
      <c r="S468" s="888"/>
      <c r="T468" s="888"/>
      <c r="U468" s="888"/>
      <c r="V468" s="888"/>
      <c r="W468" s="888"/>
      <c r="X468" s="888"/>
      <c r="Y468" s="888"/>
      <c r="Z468" s="888"/>
      <c r="AA468" s="888"/>
      <c r="AB468" s="888"/>
      <c r="AC468" s="888"/>
      <c r="AD468" s="888"/>
      <c r="AE468" s="888"/>
      <c r="AF468" s="888"/>
      <c r="AG468" s="888"/>
      <c r="AH468" s="888"/>
      <c r="AI468" s="888"/>
      <c r="AJ468" s="888"/>
      <c r="AK468" s="888"/>
      <c r="AL468" s="888"/>
      <c r="AM468" s="888"/>
      <c r="AN468" s="888"/>
      <c r="AO468" s="888"/>
      <c r="AP468" s="888"/>
      <c r="AQ468" s="888"/>
      <c r="AR468" s="888"/>
      <c r="AS468" s="888"/>
      <c r="AT468" s="888"/>
      <c r="AU468" s="888"/>
      <c r="AV468" s="888"/>
      <c r="AW468" s="888"/>
      <c r="AX468" s="888"/>
      <c r="AY468" s="888"/>
      <c r="AZ468" s="567"/>
      <c r="BA468" s="567"/>
      <c r="BB468" s="567"/>
      <c r="BC468" s="567"/>
      <c r="BD468" s="567"/>
      <c r="BE468" s="567"/>
      <c r="BF468" s="567"/>
      <c r="BG468" s="567"/>
      <c r="BH468" s="567"/>
      <c r="BI468" s="567"/>
      <c r="BJ468" s="567"/>
      <c r="BK468" s="567"/>
      <c r="BL468" s="567"/>
      <c r="BM468" s="567"/>
      <c r="BN468" s="567"/>
      <c r="BO468" s="567"/>
      <c r="BP468" s="567"/>
      <c r="BQ468" s="567"/>
      <c r="BR468" s="567"/>
      <c r="BS468" s="567"/>
      <c r="BT468" s="567"/>
      <c r="BU468" s="567"/>
      <c r="BV468" s="567"/>
      <c r="BW468" s="567"/>
      <c r="BX468" s="567"/>
      <c r="BY468" s="567"/>
      <c r="BZ468" s="567"/>
      <c r="CA468" s="567"/>
      <c r="CB468" s="567"/>
      <c r="CC468" s="567"/>
      <c r="CD468" s="567"/>
      <c r="CE468" s="567"/>
      <c r="CF468" s="567"/>
      <c r="CG468" s="567"/>
      <c r="CH468" s="567"/>
      <c r="CI468" s="567"/>
      <c r="CJ468" s="567"/>
      <c r="CK468" s="567"/>
      <c r="CL468" s="567"/>
      <c r="CM468" s="567"/>
      <c r="CN468" s="567"/>
      <c r="CO468" s="567"/>
      <c r="CP468" s="567"/>
      <c r="CQ468" s="567"/>
      <c r="CR468" s="567"/>
      <c r="CS468" s="567"/>
      <c r="CT468" s="567"/>
      <c r="CU468" s="567"/>
      <c r="CV468" s="567"/>
      <c r="CW468" s="567"/>
      <c r="CX468" s="567"/>
      <c r="CY468" s="567"/>
      <c r="CZ468" s="567"/>
      <c r="DA468" s="567"/>
      <c r="DB468" s="567"/>
      <c r="DC468" s="567"/>
      <c r="DD468" s="567"/>
      <c r="DE468" s="567"/>
      <c r="DF468" s="567"/>
      <c r="DG468" s="567"/>
      <c r="DH468" s="567"/>
      <c r="DI468" s="567"/>
      <c r="DJ468" s="567"/>
      <c r="DK468" s="567"/>
      <c r="DL468" s="567"/>
      <c r="DM468" s="567"/>
      <c r="DN468" s="567"/>
      <c r="DO468" s="567"/>
      <c r="DP468" s="567"/>
      <c r="DQ468" s="567"/>
    </row>
    <row r="469" spans="1:121" s="487" customFormat="1">
      <c r="A469" s="588"/>
      <c r="B469" s="588"/>
      <c r="C469" s="588"/>
      <c r="D469" s="588"/>
      <c r="E469" s="588"/>
      <c r="F469" s="588"/>
      <c r="G469" s="588"/>
      <c r="H469" s="588"/>
      <c r="I469" s="588"/>
      <c r="J469" s="588"/>
      <c r="K469" s="588"/>
      <c r="L469" s="702"/>
      <c r="M469" s="888"/>
      <c r="N469" s="888"/>
      <c r="O469" s="888"/>
      <c r="P469" s="888"/>
      <c r="Q469" s="888"/>
      <c r="R469" s="888"/>
      <c r="S469" s="888"/>
      <c r="T469" s="888"/>
      <c r="U469" s="888"/>
      <c r="V469" s="888"/>
      <c r="W469" s="888"/>
      <c r="X469" s="888"/>
      <c r="Y469" s="888"/>
      <c r="Z469" s="888"/>
      <c r="AA469" s="888"/>
      <c r="AB469" s="888"/>
      <c r="AC469" s="888"/>
      <c r="AD469" s="888"/>
      <c r="AE469" s="888"/>
      <c r="AF469" s="888"/>
      <c r="AG469" s="888"/>
      <c r="AH469" s="888"/>
      <c r="AI469" s="888"/>
      <c r="AJ469" s="888"/>
      <c r="AK469" s="888"/>
      <c r="AL469" s="888"/>
      <c r="AM469" s="888"/>
      <c r="AN469" s="888"/>
      <c r="AO469" s="888"/>
      <c r="AP469" s="888"/>
      <c r="AQ469" s="888"/>
      <c r="AR469" s="888"/>
      <c r="AS469" s="888"/>
      <c r="AT469" s="888"/>
      <c r="AU469" s="888"/>
      <c r="AV469" s="888"/>
      <c r="AW469" s="888"/>
      <c r="AX469" s="888"/>
      <c r="AY469" s="888"/>
      <c r="AZ469" s="567"/>
      <c r="BA469" s="567"/>
      <c r="BB469" s="567"/>
      <c r="BC469" s="567"/>
      <c r="BD469" s="567"/>
      <c r="BE469" s="567"/>
      <c r="BF469" s="567"/>
      <c r="BG469" s="567"/>
      <c r="BH469" s="567"/>
      <c r="BI469" s="567"/>
      <c r="BJ469" s="567"/>
      <c r="BK469" s="567"/>
      <c r="BL469" s="567"/>
      <c r="BM469" s="567"/>
      <c r="BN469" s="567"/>
      <c r="BO469" s="567"/>
      <c r="BP469" s="567"/>
      <c r="BQ469" s="567"/>
      <c r="BR469" s="567"/>
      <c r="BS469" s="567"/>
      <c r="BT469" s="567"/>
      <c r="BU469" s="567"/>
      <c r="BV469" s="567"/>
      <c r="BW469" s="567"/>
      <c r="BX469" s="567"/>
      <c r="BY469" s="567"/>
      <c r="BZ469" s="567"/>
      <c r="CA469" s="567"/>
      <c r="CB469" s="567"/>
      <c r="CC469" s="567"/>
      <c r="CD469" s="567"/>
      <c r="CE469" s="567"/>
      <c r="CF469" s="567"/>
      <c r="CG469" s="567"/>
      <c r="CH469" s="567"/>
      <c r="CI469" s="567"/>
      <c r="CJ469" s="567"/>
      <c r="CK469" s="567"/>
      <c r="CL469" s="567"/>
      <c r="CM469" s="567"/>
      <c r="CN469" s="567"/>
      <c r="CO469" s="567"/>
      <c r="CP469" s="567"/>
      <c r="CQ469" s="567"/>
      <c r="CR469" s="567"/>
      <c r="CS469" s="567"/>
      <c r="CT469" s="567"/>
      <c r="CU469" s="567"/>
      <c r="CV469" s="567"/>
      <c r="CW469" s="567"/>
      <c r="CX469" s="567"/>
      <c r="CY469" s="567"/>
      <c r="CZ469" s="567"/>
      <c r="DA469" s="567"/>
      <c r="DB469" s="567"/>
      <c r="DC469" s="567"/>
      <c r="DD469" s="567"/>
      <c r="DE469" s="567"/>
      <c r="DF469" s="567"/>
      <c r="DG469" s="567"/>
      <c r="DH469" s="567"/>
      <c r="DI469" s="567"/>
      <c r="DJ469" s="567"/>
      <c r="DK469" s="567"/>
      <c r="DL469" s="567"/>
      <c r="DM469" s="567"/>
      <c r="DN469" s="567"/>
      <c r="DO469" s="567"/>
      <c r="DP469" s="567"/>
      <c r="DQ469" s="567"/>
    </row>
    <row r="470" spans="1:121" s="487" customFormat="1">
      <c r="A470" s="588"/>
      <c r="B470" s="588"/>
      <c r="C470" s="588"/>
      <c r="D470" s="588"/>
      <c r="E470" s="588"/>
      <c r="F470" s="588"/>
      <c r="G470" s="588"/>
      <c r="H470" s="588"/>
      <c r="I470" s="588"/>
      <c r="J470" s="588"/>
      <c r="K470" s="588"/>
      <c r="L470" s="702"/>
      <c r="M470" s="888"/>
      <c r="N470" s="888"/>
      <c r="O470" s="888"/>
      <c r="P470" s="888"/>
      <c r="Q470" s="888"/>
      <c r="R470" s="888"/>
      <c r="S470" s="888"/>
      <c r="T470" s="888"/>
      <c r="U470" s="888"/>
      <c r="V470" s="888"/>
      <c r="W470" s="888"/>
      <c r="X470" s="888"/>
      <c r="Y470" s="888"/>
      <c r="Z470" s="888"/>
      <c r="AA470" s="888"/>
      <c r="AB470" s="888"/>
      <c r="AC470" s="888"/>
      <c r="AD470" s="888"/>
      <c r="AE470" s="888"/>
      <c r="AF470" s="888"/>
      <c r="AG470" s="888"/>
      <c r="AH470" s="888"/>
      <c r="AI470" s="888"/>
      <c r="AJ470" s="888"/>
      <c r="AK470" s="888"/>
      <c r="AL470" s="888"/>
      <c r="AM470" s="888"/>
      <c r="AN470" s="888"/>
      <c r="AO470" s="888"/>
      <c r="AP470" s="888"/>
      <c r="AQ470" s="888"/>
      <c r="AR470" s="888"/>
      <c r="AS470" s="888"/>
      <c r="AT470" s="888"/>
      <c r="AU470" s="888"/>
      <c r="AV470" s="888"/>
      <c r="AW470" s="888"/>
      <c r="AX470" s="888"/>
      <c r="AY470" s="888"/>
      <c r="AZ470" s="567"/>
      <c r="BA470" s="567"/>
      <c r="BB470" s="567"/>
      <c r="BC470" s="567"/>
      <c r="BD470" s="567"/>
      <c r="BE470" s="567"/>
      <c r="BF470" s="567"/>
      <c r="BG470" s="567"/>
      <c r="BH470" s="567"/>
      <c r="BI470" s="567"/>
      <c r="BJ470" s="567"/>
      <c r="BK470" s="567"/>
      <c r="BL470" s="567"/>
      <c r="BM470" s="567"/>
      <c r="BN470" s="567"/>
      <c r="BO470" s="567"/>
      <c r="BP470" s="567"/>
      <c r="BQ470" s="567"/>
      <c r="BR470" s="567"/>
      <c r="BS470" s="567"/>
      <c r="BT470" s="567"/>
      <c r="BU470" s="567"/>
      <c r="BV470" s="567"/>
      <c r="BW470" s="567"/>
      <c r="BX470" s="567"/>
      <c r="BY470" s="567"/>
      <c r="BZ470" s="567"/>
      <c r="CA470" s="567"/>
      <c r="CB470" s="567"/>
      <c r="CC470" s="567"/>
      <c r="CD470" s="567"/>
      <c r="CE470" s="567"/>
      <c r="CF470" s="567"/>
      <c r="CG470" s="567"/>
      <c r="CH470" s="567"/>
      <c r="CI470" s="567"/>
      <c r="CJ470" s="567"/>
      <c r="CK470" s="567"/>
      <c r="CL470" s="567"/>
      <c r="CM470" s="567"/>
      <c r="CN470" s="567"/>
      <c r="CO470" s="567"/>
      <c r="CP470" s="567"/>
      <c r="CQ470" s="567"/>
      <c r="CR470" s="567"/>
      <c r="CS470" s="567"/>
      <c r="CT470" s="567"/>
      <c r="CU470" s="567"/>
      <c r="CV470" s="567"/>
      <c r="CW470" s="567"/>
      <c r="CX470" s="567"/>
      <c r="CY470" s="567"/>
      <c r="CZ470" s="567"/>
      <c r="DA470" s="567"/>
      <c r="DB470" s="567"/>
      <c r="DC470" s="567"/>
      <c r="DD470" s="567"/>
      <c r="DE470" s="567"/>
      <c r="DF470" s="567"/>
      <c r="DG470" s="567"/>
      <c r="DH470" s="567"/>
      <c r="DI470" s="567"/>
      <c r="DJ470" s="567"/>
      <c r="DK470" s="567"/>
      <c r="DL470" s="567"/>
      <c r="DM470" s="567"/>
      <c r="DN470" s="567"/>
      <c r="DO470" s="567"/>
      <c r="DP470" s="567"/>
      <c r="DQ470" s="567"/>
    </row>
    <row r="471" spans="1:121" s="487" customFormat="1">
      <c r="A471" s="588"/>
      <c r="B471" s="588"/>
      <c r="C471" s="588"/>
      <c r="D471" s="588"/>
      <c r="E471" s="588"/>
      <c r="F471" s="588"/>
      <c r="G471" s="588"/>
      <c r="H471" s="588"/>
      <c r="I471" s="588"/>
      <c r="J471" s="588"/>
      <c r="K471" s="588"/>
      <c r="L471" s="702"/>
      <c r="M471" s="888"/>
      <c r="N471" s="888"/>
      <c r="O471" s="888"/>
      <c r="P471" s="888"/>
      <c r="Q471" s="888"/>
      <c r="R471" s="888"/>
      <c r="S471" s="888"/>
      <c r="T471" s="888"/>
      <c r="U471" s="888"/>
      <c r="V471" s="888"/>
      <c r="W471" s="888"/>
      <c r="X471" s="888"/>
      <c r="Y471" s="888"/>
      <c r="Z471" s="888"/>
      <c r="AA471" s="888"/>
      <c r="AB471" s="888"/>
      <c r="AC471" s="888"/>
      <c r="AD471" s="888"/>
      <c r="AE471" s="888"/>
      <c r="AF471" s="888"/>
      <c r="AG471" s="888"/>
      <c r="AH471" s="888"/>
      <c r="AI471" s="888"/>
      <c r="AJ471" s="888"/>
      <c r="AK471" s="888"/>
      <c r="AL471" s="888"/>
      <c r="AM471" s="888"/>
      <c r="AN471" s="888"/>
      <c r="AO471" s="888"/>
      <c r="AP471" s="888"/>
      <c r="AQ471" s="888"/>
      <c r="AR471" s="888"/>
      <c r="AS471" s="888"/>
      <c r="AT471" s="888"/>
      <c r="AU471" s="888"/>
      <c r="AV471" s="888"/>
      <c r="AW471" s="888"/>
      <c r="AX471" s="888"/>
      <c r="AY471" s="888"/>
      <c r="AZ471" s="567"/>
      <c r="BA471" s="567"/>
      <c r="BB471" s="567"/>
      <c r="BC471" s="567"/>
      <c r="BD471" s="567"/>
      <c r="BE471" s="567"/>
      <c r="BF471" s="567"/>
      <c r="BG471" s="567"/>
      <c r="BH471" s="567"/>
      <c r="BI471" s="567"/>
      <c r="BJ471" s="567"/>
      <c r="BK471" s="567"/>
      <c r="BL471" s="567"/>
      <c r="BM471" s="567"/>
      <c r="BN471" s="567"/>
      <c r="BO471" s="567"/>
      <c r="BP471" s="567"/>
      <c r="BQ471" s="567"/>
      <c r="BR471" s="567"/>
      <c r="BS471" s="567"/>
      <c r="BT471" s="567"/>
      <c r="BU471" s="567"/>
      <c r="BV471" s="567"/>
      <c r="BW471" s="567"/>
      <c r="BX471" s="567"/>
      <c r="BY471" s="567"/>
      <c r="BZ471" s="567"/>
      <c r="CA471" s="567"/>
      <c r="CB471" s="567"/>
      <c r="CC471" s="567"/>
      <c r="CD471" s="567"/>
      <c r="CE471" s="567"/>
      <c r="CF471" s="567"/>
      <c r="CG471" s="567"/>
      <c r="CH471" s="567"/>
      <c r="CI471" s="567"/>
      <c r="CJ471" s="567"/>
      <c r="CK471" s="567"/>
      <c r="CL471" s="567"/>
      <c r="CM471" s="567"/>
      <c r="CN471" s="567"/>
      <c r="CO471" s="567"/>
      <c r="CP471" s="567"/>
      <c r="CQ471" s="567"/>
      <c r="CR471" s="567"/>
      <c r="CS471" s="567"/>
      <c r="CT471" s="567"/>
      <c r="CU471" s="567"/>
      <c r="CV471" s="567"/>
      <c r="CW471" s="567"/>
      <c r="CX471" s="567"/>
      <c r="CY471" s="567"/>
      <c r="CZ471" s="567"/>
      <c r="DA471" s="567"/>
      <c r="DB471" s="567"/>
      <c r="DC471" s="567"/>
      <c r="DD471" s="567"/>
      <c r="DE471" s="567"/>
      <c r="DF471" s="567"/>
      <c r="DG471" s="567"/>
      <c r="DH471" s="567"/>
      <c r="DI471" s="567"/>
      <c r="DJ471" s="567"/>
      <c r="DK471" s="567"/>
      <c r="DL471" s="567"/>
      <c r="DM471" s="567"/>
      <c r="DN471" s="567"/>
      <c r="DO471" s="567"/>
      <c r="DP471" s="567"/>
      <c r="DQ471" s="567"/>
    </row>
    <row r="472" spans="1:121" s="487" customFormat="1">
      <c r="A472" s="588"/>
      <c r="B472" s="588"/>
      <c r="C472" s="588"/>
      <c r="D472" s="588"/>
      <c r="E472" s="588"/>
      <c r="F472" s="588"/>
      <c r="G472" s="588"/>
      <c r="H472" s="588"/>
      <c r="I472" s="588"/>
      <c r="J472" s="588"/>
      <c r="K472" s="588"/>
      <c r="L472" s="702"/>
      <c r="M472" s="888"/>
      <c r="N472" s="888"/>
      <c r="O472" s="888"/>
      <c r="P472" s="888"/>
      <c r="Q472" s="888"/>
      <c r="R472" s="888"/>
      <c r="S472" s="888"/>
      <c r="T472" s="888"/>
      <c r="U472" s="888"/>
      <c r="V472" s="888"/>
      <c r="W472" s="888"/>
      <c r="X472" s="888"/>
      <c r="Y472" s="888"/>
      <c r="Z472" s="888"/>
      <c r="AA472" s="888"/>
      <c r="AB472" s="888"/>
      <c r="AC472" s="888"/>
      <c r="AD472" s="888"/>
      <c r="AE472" s="888"/>
      <c r="AF472" s="888"/>
      <c r="AG472" s="888"/>
      <c r="AH472" s="888"/>
      <c r="AI472" s="888"/>
      <c r="AJ472" s="888"/>
      <c r="AK472" s="888"/>
      <c r="AL472" s="888"/>
      <c r="AM472" s="888"/>
      <c r="AN472" s="888"/>
      <c r="AO472" s="888"/>
      <c r="AP472" s="888"/>
      <c r="AQ472" s="888"/>
      <c r="AR472" s="888"/>
      <c r="AS472" s="888"/>
      <c r="AT472" s="888"/>
      <c r="AU472" s="888"/>
      <c r="AV472" s="888"/>
      <c r="AW472" s="888"/>
      <c r="AX472" s="888"/>
      <c r="AY472" s="888"/>
      <c r="AZ472" s="567"/>
      <c r="BA472" s="567"/>
      <c r="BB472" s="567"/>
      <c r="BC472" s="567"/>
      <c r="BD472" s="567"/>
      <c r="BE472" s="567"/>
      <c r="BF472" s="567"/>
      <c r="BG472" s="567"/>
      <c r="BH472" s="567"/>
      <c r="BI472" s="567"/>
      <c r="BJ472" s="567"/>
      <c r="BK472" s="567"/>
      <c r="BL472" s="567"/>
      <c r="BM472" s="567"/>
      <c r="BN472" s="567"/>
      <c r="BO472" s="567"/>
      <c r="BP472" s="567"/>
      <c r="BQ472" s="567"/>
      <c r="BR472" s="567"/>
      <c r="BS472" s="567"/>
      <c r="BT472" s="567"/>
      <c r="BU472" s="567"/>
      <c r="BV472" s="567"/>
      <c r="BW472" s="567"/>
      <c r="BX472" s="567"/>
      <c r="BY472" s="567"/>
      <c r="BZ472" s="567"/>
      <c r="CA472" s="567"/>
      <c r="CB472" s="567"/>
      <c r="CC472" s="567"/>
      <c r="CD472" s="567"/>
      <c r="CE472" s="567"/>
      <c r="CF472" s="567"/>
      <c r="CG472" s="567"/>
      <c r="CH472" s="567"/>
      <c r="CI472" s="567"/>
      <c r="CJ472" s="567"/>
      <c r="CK472" s="567"/>
      <c r="CL472" s="567"/>
      <c r="CM472" s="567"/>
      <c r="CN472" s="567"/>
      <c r="CO472" s="567"/>
      <c r="CP472" s="567"/>
      <c r="CQ472" s="567"/>
      <c r="CR472" s="567"/>
      <c r="CS472" s="567"/>
      <c r="CT472" s="567"/>
      <c r="CU472" s="567"/>
      <c r="CV472" s="567"/>
      <c r="CW472" s="567"/>
      <c r="CX472" s="567"/>
      <c r="CY472" s="567"/>
      <c r="CZ472" s="567"/>
      <c r="DA472" s="567"/>
      <c r="DB472" s="567"/>
      <c r="DC472" s="567"/>
      <c r="DD472" s="567"/>
      <c r="DE472" s="567"/>
      <c r="DF472" s="567"/>
      <c r="DG472" s="567"/>
      <c r="DH472" s="567"/>
      <c r="DI472" s="567"/>
      <c r="DJ472" s="567"/>
      <c r="DK472" s="567"/>
      <c r="DL472" s="567"/>
      <c r="DM472" s="567"/>
      <c r="DN472" s="567"/>
      <c r="DO472" s="567"/>
      <c r="DP472" s="567"/>
      <c r="DQ472" s="567"/>
    </row>
    <row r="473" spans="1:121" s="487" customFormat="1">
      <c r="A473" s="588"/>
      <c r="B473" s="588"/>
      <c r="C473" s="588"/>
      <c r="D473" s="588"/>
      <c r="E473" s="588"/>
      <c r="F473" s="588"/>
      <c r="G473" s="588"/>
      <c r="H473" s="588"/>
      <c r="I473" s="588"/>
      <c r="J473" s="588"/>
      <c r="K473" s="588"/>
      <c r="L473" s="702"/>
      <c r="M473" s="888"/>
      <c r="N473" s="888"/>
      <c r="O473" s="888"/>
      <c r="P473" s="888"/>
      <c r="Q473" s="888"/>
      <c r="R473" s="888"/>
      <c r="S473" s="888"/>
      <c r="T473" s="888"/>
      <c r="U473" s="888"/>
      <c r="V473" s="888"/>
      <c r="W473" s="888"/>
      <c r="X473" s="888"/>
      <c r="Y473" s="888"/>
      <c r="Z473" s="888"/>
      <c r="AA473" s="888"/>
      <c r="AB473" s="888"/>
      <c r="AC473" s="888"/>
      <c r="AD473" s="888"/>
      <c r="AE473" s="888"/>
      <c r="AF473" s="888"/>
      <c r="AG473" s="888"/>
      <c r="AH473" s="888"/>
      <c r="AI473" s="888"/>
      <c r="AJ473" s="888"/>
      <c r="AK473" s="888"/>
      <c r="AL473" s="888"/>
      <c r="AM473" s="888"/>
      <c r="AN473" s="888"/>
      <c r="AO473" s="888"/>
      <c r="AP473" s="888"/>
      <c r="AQ473" s="888"/>
      <c r="AR473" s="888"/>
      <c r="AS473" s="888"/>
      <c r="AT473" s="888"/>
      <c r="AU473" s="888"/>
      <c r="AV473" s="888"/>
      <c r="AW473" s="888"/>
      <c r="AX473" s="888"/>
      <c r="AY473" s="888"/>
      <c r="AZ473" s="567"/>
      <c r="BA473" s="567"/>
      <c r="BB473" s="567"/>
      <c r="BC473" s="567"/>
      <c r="BD473" s="567"/>
      <c r="BE473" s="567"/>
      <c r="BF473" s="567"/>
      <c r="BG473" s="567"/>
      <c r="BH473" s="567"/>
      <c r="BI473" s="567"/>
      <c r="BJ473" s="567"/>
      <c r="BK473" s="567"/>
      <c r="BL473" s="567"/>
      <c r="BM473" s="567"/>
      <c r="BN473" s="567"/>
      <c r="BO473" s="567"/>
      <c r="BP473" s="567"/>
      <c r="BQ473" s="567"/>
      <c r="BR473" s="567"/>
      <c r="BS473" s="567"/>
      <c r="BT473" s="567"/>
      <c r="BU473" s="567"/>
      <c r="BV473" s="567"/>
      <c r="BW473" s="567"/>
      <c r="BX473" s="567"/>
      <c r="BY473" s="567"/>
      <c r="BZ473" s="567"/>
      <c r="CA473" s="567"/>
      <c r="CB473" s="567"/>
      <c r="CC473" s="567"/>
      <c r="CD473" s="567"/>
      <c r="CE473" s="567"/>
      <c r="CF473" s="567"/>
      <c r="CG473" s="567"/>
      <c r="CH473" s="567"/>
      <c r="CI473" s="567"/>
      <c r="CJ473" s="567"/>
      <c r="CK473" s="567"/>
      <c r="CL473" s="567"/>
      <c r="CM473" s="567"/>
      <c r="CN473" s="567"/>
      <c r="CO473" s="567"/>
      <c r="CP473" s="567"/>
      <c r="CQ473" s="567"/>
      <c r="CR473" s="567"/>
      <c r="CS473" s="567"/>
      <c r="CT473" s="567"/>
      <c r="CU473" s="567"/>
      <c r="CV473" s="567"/>
      <c r="CW473" s="567"/>
      <c r="CX473" s="567"/>
      <c r="CY473" s="567"/>
      <c r="CZ473" s="567"/>
      <c r="DA473" s="567"/>
      <c r="DB473" s="567"/>
      <c r="DC473" s="567"/>
      <c r="DD473" s="567"/>
      <c r="DE473" s="567"/>
      <c r="DF473" s="567"/>
      <c r="DG473" s="567"/>
      <c r="DH473" s="567"/>
      <c r="DI473" s="567"/>
      <c r="DJ473" s="567"/>
      <c r="DK473" s="567"/>
      <c r="DL473" s="567"/>
      <c r="DM473" s="567"/>
      <c r="DN473" s="567"/>
      <c r="DO473" s="567"/>
      <c r="DP473" s="567"/>
      <c r="DQ473" s="567"/>
    </row>
    <row r="474" spans="1:121" s="487" customFormat="1">
      <c r="A474" s="588"/>
      <c r="B474" s="588"/>
      <c r="C474" s="588"/>
      <c r="D474" s="588"/>
      <c r="E474" s="588"/>
      <c r="F474" s="588"/>
      <c r="G474" s="588"/>
      <c r="H474" s="588"/>
      <c r="I474" s="588"/>
      <c r="J474" s="588"/>
      <c r="K474" s="588"/>
      <c r="L474" s="702"/>
      <c r="M474" s="888"/>
      <c r="N474" s="888"/>
      <c r="O474" s="888"/>
      <c r="P474" s="888"/>
      <c r="Q474" s="888"/>
      <c r="R474" s="888"/>
      <c r="S474" s="888"/>
      <c r="T474" s="888"/>
      <c r="U474" s="888"/>
      <c r="V474" s="888"/>
      <c r="W474" s="888"/>
      <c r="X474" s="888"/>
      <c r="Y474" s="888"/>
      <c r="Z474" s="888"/>
      <c r="AA474" s="888"/>
      <c r="AB474" s="888"/>
      <c r="AC474" s="888"/>
      <c r="AD474" s="888"/>
      <c r="AE474" s="888"/>
      <c r="AF474" s="888"/>
      <c r="AG474" s="888"/>
      <c r="AH474" s="888"/>
      <c r="AI474" s="888"/>
      <c r="AJ474" s="888"/>
      <c r="AK474" s="888"/>
      <c r="AL474" s="888"/>
      <c r="AM474" s="888"/>
      <c r="AN474" s="888"/>
      <c r="AO474" s="888"/>
      <c r="AP474" s="888"/>
      <c r="AQ474" s="888"/>
      <c r="AR474" s="888"/>
      <c r="AS474" s="888"/>
      <c r="AT474" s="888"/>
      <c r="AU474" s="888"/>
      <c r="AV474" s="888"/>
      <c r="AW474" s="888"/>
      <c r="AX474" s="888"/>
      <c r="AY474" s="888"/>
      <c r="AZ474" s="567"/>
      <c r="BA474" s="567"/>
      <c r="BB474" s="567"/>
      <c r="BC474" s="567"/>
      <c r="BD474" s="567"/>
      <c r="BE474" s="567"/>
      <c r="BF474" s="567"/>
      <c r="BG474" s="567"/>
      <c r="BH474" s="567"/>
      <c r="BI474" s="567"/>
      <c r="BJ474" s="567"/>
      <c r="BK474" s="567"/>
      <c r="BL474" s="567"/>
      <c r="BM474" s="567"/>
      <c r="BN474" s="567"/>
      <c r="BO474" s="567"/>
      <c r="BP474" s="567"/>
      <c r="BQ474" s="567"/>
      <c r="BR474" s="567"/>
      <c r="BS474" s="567"/>
      <c r="BT474" s="567"/>
      <c r="BU474" s="567"/>
      <c r="BV474" s="567"/>
      <c r="BW474" s="567"/>
      <c r="BX474" s="567"/>
      <c r="BY474" s="567"/>
      <c r="BZ474" s="567"/>
      <c r="CA474" s="567"/>
      <c r="CB474" s="567"/>
      <c r="CC474" s="567"/>
      <c r="CD474" s="567"/>
      <c r="CE474" s="567"/>
      <c r="CF474" s="567"/>
      <c r="CG474" s="567"/>
      <c r="CH474" s="567"/>
      <c r="CI474" s="567"/>
      <c r="CJ474" s="567"/>
      <c r="CK474" s="567"/>
      <c r="CL474" s="567"/>
      <c r="CM474" s="567"/>
      <c r="CN474" s="567"/>
      <c r="CO474" s="567"/>
      <c r="CP474" s="567"/>
      <c r="CQ474" s="567"/>
      <c r="CR474" s="567"/>
      <c r="CS474" s="567"/>
      <c r="CT474" s="567"/>
      <c r="CU474" s="567"/>
      <c r="CV474" s="567"/>
      <c r="CW474" s="567"/>
      <c r="CX474" s="567"/>
      <c r="CY474" s="567"/>
      <c r="CZ474" s="567"/>
      <c r="DA474" s="567"/>
      <c r="DB474" s="567"/>
      <c r="DC474" s="567"/>
      <c r="DD474" s="567"/>
      <c r="DE474" s="567"/>
      <c r="DF474" s="567"/>
      <c r="DG474" s="567"/>
      <c r="DH474" s="567"/>
      <c r="DI474" s="567"/>
      <c r="DJ474" s="567"/>
      <c r="DK474" s="567"/>
      <c r="DL474" s="567"/>
      <c r="DM474" s="567"/>
      <c r="DN474" s="567"/>
      <c r="DO474" s="567"/>
      <c r="DP474" s="567"/>
      <c r="DQ474" s="567"/>
    </row>
    <row r="475" spans="1:121" s="487" customFormat="1">
      <c r="A475" s="588"/>
      <c r="B475" s="588"/>
      <c r="C475" s="588"/>
      <c r="D475" s="588"/>
      <c r="E475" s="588"/>
      <c r="F475" s="588"/>
      <c r="G475" s="588"/>
      <c r="H475" s="588"/>
      <c r="I475" s="588"/>
      <c r="J475" s="588"/>
      <c r="K475" s="588"/>
      <c r="L475" s="702"/>
      <c r="M475" s="888"/>
      <c r="N475" s="888"/>
      <c r="O475" s="888"/>
      <c r="P475" s="888"/>
      <c r="Q475" s="888"/>
      <c r="R475" s="888"/>
      <c r="S475" s="888"/>
      <c r="T475" s="888"/>
      <c r="U475" s="888"/>
      <c r="V475" s="888"/>
      <c r="W475" s="888"/>
      <c r="X475" s="888"/>
      <c r="Y475" s="888"/>
      <c r="Z475" s="888"/>
      <c r="AA475" s="888"/>
      <c r="AB475" s="888"/>
      <c r="AC475" s="888"/>
      <c r="AD475" s="888"/>
      <c r="AE475" s="888"/>
      <c r="AF475" s="888"/>
      <c r="AG475" s="888"/>
      <c r="AH475" s="888"/>
      <c r="AI475" s="888"/>
      <c r="AJ475" s="888"/>
      <c r="AK475" s="888"/>
      <c r="AL475" s="888"/>
      <c r="AM475" s="888"/>
      <c r="AN475" s="888"/>
      <c r="AO475" s="888"/>
      <c r="AP475" s="888"/>
      <c r="AQ475" s="888"/>
      <c r="AR475" s="888"/>
      <c r="AS475" s="888"/>
      <c r="AT475" s="888"/>
      <c r="AU475" s="888"/>
      <c r="AV475" s="888"/>
      <c r="AW475" s="888"/>
      <c r="AX475" s="888"/>
      <c r="AY475" s="888"/>
      <c r="AZ475" s="567"/>
      <c r="BA475" s="567"/>
      <c r="BB475" s="567"/>
      <c r="BC475" s="567"/>
      <c r="BD475" s="567"/>
      <c r="BE475" s="567"/>
      <c r="BF475" s="567"/>
      <c r="BG475" s="567"/>
      <c r="BH475" s="567"/>
      <c r="BI475" s="567"/>
      <c r="BJ475" s="567"/>
      <c r="BK475" s="567"/>
      <c r="BL475" s="567"/>
      <c r="BM475" s="567"/>
      <c r="BN475" s="567"/>
      <c r="BO475" s="567"/>
      <c r="BP475" s="567"/>
      <c r="BQ475" s="567"/>
      <c r="BR475" s="567"/>
      <c r="BS475" s="567"/>
      <c r="BT475" s="567"/>
      <c r="BU475" s="567"/>
      <c r="BV475" s="567"/>
      <c r="BW475" s="567"/>
      <c r="BX475" s="567"/>
      <c r="BY475" s="567"/>
      <c r="BZ475" s="567"/>
      <c r="CA475" s="567"/>
      <c r="CB475" s="567"/>
      <c r="CC475" s="567"/>
      <c r="CD475" s="567"/>
      <c r="CE475" s="567"/>
      <c r="CF475" s="567"/>
      <c r="CG475" s="567"/>
      <c r="CH475" s="567"/>
      <c r="CI475" s="567"/>
      <c r="CJ475" s="567"/>
      <c r="CK475" s="567"/>
      <c r="CL475" s="567"/>
      <c r="CM475" s="567"/>
      <c r="CN475" s="567"/>
      <c r="CO475" s="567"/>
      <c r="CP475" s="567"/>
      <c r="CQ475" s="567"/>
      <c r="CR475" s="567"/>
      <c r="CS475" s="567"/>
      <c r="CT475" s="567"/>
      <c r="CU475" s="567"/>
      <c r="CV475" s="567"/>
      <c r="CW475" s="567"/>
      <c r="CX475" s="567"/>
      <c r="CY475" s="567"/>
      <c r="CZ475" s="567"/>
      <c r="DA475" s="567"/>
      <c r="DB475" s="567"/>
      <c r="DC475" s="567"/>
      <c r="DD475" s="567"/>
      <c r="DE475" s="567"/>
      <c r="DF475" s="567"/>
      <c r="DG475" s="567"/>
      <c r="DH475" s="567"/>
      <c r="DI475" s="567"/>
      <c r="DJ475" s="567"/>
      <c r="DK475" s="567"/>
      <c r="DL475" s="567"/>
      <c r="DM475" s="567"/>
      <c r="DN475" s="567"/>
      <c r="DO475" s="567"/>
      <c r="DP475" s="567"/>
      <c r="DQ475" s="567"/>
    </row>
    <row r="476" spans="1:121" s="487" customFormat="1">
      <c r="A476" s="588"/>
      <c r="B476" s="588"/>
      <c r="C476" s="588"/>
      <c r="D476" s="588"/>
      <c r="E476" s="588"/>
      <c r="F476" s="588"/>
      <c r="G476" s="588"/>
      <c r="H476" s="588"/>
      <c r="I476" s="588"/>
      <c r="J476" s="588"/>
      <c r="K476" s="588"/>
      <c r="L476" s="702"/>
      <c r="M476" s="888"/>
      <c r="N476" s="888"/>
      <c r="O476" s="888"/>
      <c r="P476" s="888"/>
      <c r="Q476" s="888"/>
      <c r="R476" s="888"/>
      <c r="S476" s="888"/>
      <c r="T476" s="888"/>
      <c r="U476" s="888"/>
      <c r="V476" s="888"/>
      <c r="W476" s="888"/>
      <c r="X476" s="888"/>
      <c r="Y476" s="888"/>
      <c r="Z476" s="888"/>
      <c r="AA476" s="888"/>
      <c r="AB476" s="888"/>
      <c r="AC476" s="888"/>
      <c r="AD476" s="888"/>
      <c r="AE476" s="888"/>
      <c r="AF476" s="888"/>
      <c r="AG476" s="888"/>
      <c r="AH476" s="888"/>
      <c r="AI476" s="888"/>
      <c r="AJ476" s="888"/>
      <c r="AK476" s="888"/>
      <c r="AL476" s="888"/>
      <c r="AM476" s="888"/>
      <c r="AN476" s="888"/>
      <c r="AO476" s="888"/>
      <c r="AP476" s="888"/>
      <c r="AQ476" s="888"/>
      <c r="AR476" s="888"/>
      <c r="AS476" s="888"/>
      <c r="AT476" s="888"/>
      <c r="AU476" s="888"/>
      <c r="AV476" s="888"/>
      <c r="AW476" s="888"/>
      <c r="AX476" s="888"/>
      <c r="AY476" s="888"/>
      <c r="AZ476" s="567"/>
      <c r="BA476" s="567"/>
      <c r="BB476" s="567"/>
      <c r="BC476" s="567"/>
      <c r="BD476" s="567"/>
      <c r="BE476" s="567"/>
      <c r="BF476" s="567"/>
      <c r="BG476" s="567"/>
      <c r="BH476" s="567"/>
      <c r="BI476" s="567"/>
      <c r="BJ476" s="567"/>
      <c r="BK476" s="567"/>
      <c r="BL476" s="567"/>
      <c r="BM476" s="567"/>
      <c r="BN476" s="567"/>
      <c r="BO476" s="567"/>
      <c r="BP476" s="567"/>
      <c r="BQ476" s="567"/>
      <c r="BR476" s="567"/>
      <c r="BS476" s="567"/>
      <c r="BT476" s="567"/>
      <c r="BU476" s="567"/>
      <c r="BV476" s="567"/>
      <c r="BW476" s="567"/>
      <c r="BX476" s="567"/>
      <c r="BY476" s="567"/>
      <c r="BZ476" s="567"/>
      <c r="CA476" s="567"/>
      <c r="CB476" s="567"/>
      <c r="CC476" s="567"/>
      <c r="CD476" s="567"/>
      <c r="CE476" s="567"/>
      <c r="CF476" s="567"/>
      <c r="CG476" s="567"/>
      <c r="CH476" s="567"/>
      <c r="CI476" s="567"/>
      <c r="CJ476" s="567"/>
      <c r="CK476" s="567"/>
      <c r="CL476" s="567"/>
      <c r="CM476" s="567"/>
      <c r="CN476" s="567"/>
      <c r="CO476" s="567"/>
      <c r="CP476" s="567"/>
      <c r="CQ476" s="567"/>
      <c r="CR476" s="567"/>
      <c r="CS476" s="567"/>
      <c r="CT476" s="567"/>
      <c r="CU476" s="567"/>
      <c r="CV476" s="567"/>
      <c r="CW476" s="567"/>
      <c r="CX476" s="567"/>
      <c r="CY476" s="567"/>
      <c r="CZ476" s="567"/>
      <c r="DA476" s="567"/>
      <c r="DB476" s="567"/>
      <c r="DC476" s="567"/>
      <c r="DD476" s="567"/>
      <c r="DE476" s="567"/>
      <c r="DF476" s="567"/>
      <c r="DG476" s="567"/>
      <c r="DH476" s="567"/>
      <c r="DI476" s="567"/>
      <c r="DJ476" s="567"/>
      <c r="DK476" s="567"/>
      <c r="DL476" s="567"/>
      <c r="DM476" s="567"/>
      <c r="DN476" s="567"/>
      <c r="DO476" s="567"/>
      <c r="DP476" s="567"/>
      <c r="DQ476" s="567"/>
    </row>
    <row r="477" spans="1:121" s="487" customFormat="1">
      <c r="A477" s="588"/>
      <c r="B477" s="588"/>
      <c r="C477" s="588"/>
      <c r="D477" s="588"/>
      <c r="E477" s="588"/>
      <c r="F477" s="588"/>
      <c r="G477" s="588"/>
      <c r="H477" s="588"/>
      <c r="I477" s="588"/>
      <c r="J477" s="588"/>
      <c r="K477" s="588"/>
      <c r="L477" s="702"/>
      <c r="M477" s="888"/>
      <c r="N477" s="888"/>
      <c r="O477" s="888"/>
      <c r="P477" s="888"/>
      <c r="Q477" s="888"/>
      <c r="R477" s="888"/>
      <c r="S477" s="888"/>
      <c r="T477" s="888"/>
      <c r="U477" s="888"/>
      <c r="V477" s="888"/>
      <c r="W477" s="888"/>
      <c r="X477" s="888"/>
      <c r="Y477" s="888"/>
      <c r="Z477" s="888"/>
      <c r="AA477" s="888"/>
      <c r="AB477" s="888"/>
      <c r="AC477" s="888"/>
      <c r="AD477" s="888"/>
      <c r="AE477" s="888"/>
      <c r="AF477" s="888"/>
      <c r="AG477" s="888"/>
      <c r="AH477" s="888"/>
      <c r="AI477" s="888"/>
      <c r="AJ477" s="888"/>
      <c r="AK477" s="888"/>
      <c r="AL477" s="888"/>
      <c r="AM477" s="888"/>
      <c r="AN477" s="888"/>
      <c r="AO477" s="888"/>
      <c r="AP477" s="888"/>
      <c r="AQ477" s="888"/>
      <c r="AR477" s="888"/>
      <c r="AS477" s="888"/>
      <c r="AT477" s="888"/>
      <c r="AU477" s="888"/>
      <c r="AV477" s="888"/>
      <c r="AW477" s="888"/>
      <c r="AX477" s="888"/>
      <c r="AY477" s="888"/>
      <c r="AZ477" s="567"/>
      <c r="BA477" s="567"/>
      <c r="BB477" s="567"/>
      <c r="BC477" s="567"/>
      <c r="BD477" s="567"/>
      <c r="BE477" s="567"/>
      <c r="BF477" s="567"/>
      <c r="BG477" s="567"/>
      <c r="BH477" s="567"/>
      <c r="BI477" s="567"/>
      <c r="BJ477" s="567"/>
      <c r="BK477" s="567"/>
      <c r="BL477" s="567"/>
      <c r="BM477" s="567"/>
      <c r="BN477" s="567"/>
      <c r="BO477" s="567"/>
      <c r="BP477" s="567"/>
      <c r="BQ477" s="567"/>
      <c r="BR477" s="567"/>
      <c r="BS477" s="567"/>
      <c r="BT477" s="567"/>
      <c r="BU477" s="567"/>
      <c r="BV477" s="567"/>
      <c r="BW477" s="567"/>
      <c r="BX477" s="567"/>
      <c r="BY477" s="567"/>
      <c r="BZ477" s="567"/>
      <c r="CA477" s="567"/>
      <c r="CB477" s="567"/>
      <c r="CC477" s="567"/>
      <c r="CD477" s="567"/>
      <c r="CE477" s="567"/>
      <c r="CF477" s="567"/>
      <c r="CG477" s="567"/>
      <c r="CH477" s="567"/>
      <c r="CI477" s="567"/>
      <c r="CJ477" s="567"/>
      <c r="CK477" s="567"/>
      <c r="CL477" s="567"/>
      <c r="CM477" s="567"/>
      <c r="CN477" s="567"/>
      <c r="CO477" s="567"/>
      <c r="CP477" s="567"/>
      <c r="CQ477" s="567"/>
      <c r="CR477" s="567"/>
      <c r="CS477" s="567"/>
      <c r="CT477" s="567"/>
      <c r="CU477" s="567"/>
      <c r="CV477" s="567"/>
      <c r="CW477" s="567"/>
      <c r="CX477" s="567"/>
      <c r="CY477" s="567"/>
      <c r="CZ477" s="567"/>
      <c r="DA477" s="567"/>
      <c r="DB477" s="567"/>
      <c r="DC477" s="567"/>
      <c r="DD477" s="567"/>
      <c r="DE477" s="567"/>
      <c r="DF477" s="567"/>
      <c r="DG477" s="567"/>
      <c r="DH477" s="567"/>
      <c r="DI477" s="567"/>
      <c r="DJ477" s="567"/>
      <c r="DK477" s="567"/>
      <c r="DL477" s="567"/>
      <c r="DM477" s="567"/>
      <c r="DN477" s="567"/>
      <c r="DO477" s="567"/>
      <c r="DP477" s="567"/>
      <c r="DQ477" s="567"/>
    </row>
    <row r="478" spans="1:121" s="487" customFormat="1">
      <c r="A478" s="588"/>
      <c r="B478" s="588"/>
      <c r="C478" s="588"/>
      <c r="D478" s="588"/>
      <c r="E478" s="588"/>
      <c r="F478" s="588"/>
      <c r="G478" s="588"/>
      <c r="H478" s="588"/>
      <c r="I478" s="588"/>
      <c r="J478" s="588"/>
      <c r="K478" s="588"/>
      <c r="L478" s="702"/>
      <c r="M478" s="888"/>
      <c r="N478" s="888"/>
      <c r="O478" s="888"/>
      <c r="P478" s="888"/>
      <c r="Q478" s="888"/>
      <c r="R478" s="888"/>
      <c r="S478" s="888"/>
      <c r="T478" s="888"/>
      <c r="U478" s="888"/>
      <c r="V478" s="888"/>
      <c r="W478" s="888"/>
      <c r="X478" s="888"/>
      <c r="Y478" s="888"/>
      <c r="Z478" s="888"/>
      <c r="AA478" s="888"/>
      <c r="AB478" s="888"/>
      <c r="AC478" s="888"/>
      <c r="AD478" s="888"/>
      <c r="AE478" s="888"/>
      <c r="AF478" s="888"/>
      <c r="AG478" s="888"/>
      <c r="AH478" s="888"/>
      <c r="AI478" s="888"/>
      <c r="AJ478" s="888"/>
      <c r="AK478" s="888"/>
      <c r="AL478" s="888"/>
      <c r="AM478" s="888"/>
      <c r="AN478" s="888"/>
      <c r="AO478" s="888"/>
      <c r="AP478" s="888"/>
      <c r="AQ478" s="888"/>
      <c r="AR478" s="888"/>
      <c r="AS478" s="888"/>
      <c r="AT478" s="888"/>
      <c r="AU478" s="888"/>
      <c r="AV478" s="888"/>
      <c r="AW478" s="888"/>
      <c r="AX478" s="888"/>
      <c r="AY478" s="888"/>
      <c r="AZ478" s="567"/>
      <c r="BA478" s="567"/>
      <c r="BB478" s="567"/>
      <c r="BC478" s="567"/>
      <c r="BD478" s="567"/>
      <c r="BE478" s="567"/>
      <c r="BF478" s="567"/>
      <c r="BG478" s="567"/>
      <c r="BH478" s="567"/>
      <c r="BI478" s="567"/>
      <c r="BJ478" s="567"/>
      <c r="BK478" s="567"/>
      <c r="BL478" s="567"/>
      <c r="BM478" s="567"/>
      <c r="BN478" s="567"/>
      <c r="BO478" s="567"/>
      <c r="BP478" s="567"/>
      <c r="BQ478" s="567"/>
      <c r="BR478" s="567"/>
      <c r="BS478" s="567"/>
      <c r="BT478" s="567"/>
      <c r="BU478" s="567"/>
      <c r="BV478" s="567"/>
      <c r="BW478" s="567"/>
      <c r="BX478" s="567"/>
      <c r="BY478" s="567"/>
      <c r="BZ478" s="567"/>
      <c r="CA478" s="567"/>
      <c r="CB478" s="567"/>
      <c r="CC478" s="567"/>
      <c r="CD478" s="567"/>
      <c r="CE478" s="567"/>
      <c r="CF478" s="567"/>
      <c r="CG478" s="567"/>
      <c r="CH478" s="567"/>
      <c r="CI478" s="567"/>
      <c r="CJ478" s="567"/>
      <c r="CK478" s="567"/>
      <c r="CL478" s="567"/>
      <c r="CM478" s="567"/>
      <c r="CN478" s="567"/>
      <c r="CO478" s="567"/>
      <c r="CP478" s="567"/>
      <c r="CQ478" s="567"/>
      <c r="CR478" s="567"/>
      <c r="CS478" s="567"/>
      <c r="CT478" s="567"/>
      <c r="CU478" s="567"/>
      <c r="CV478" s="567"/>
      <c r="CW478" s="567"/>
      <c r="CX478" s="567"/>
      <c r="CY478" s="567"/>
      <c r="CZ478" s="567"/>
      <c r="DA478" s="567"/>
      <c r="DB478" s="567"/>
      <c r="DC478" s="567"/>
      <c r="DD478" s="567"/>
      <c r="DE478" s="567"/>
      <c r="DF478" s="567"/>
      <c r="DG478" s="567"/>
      <c r="DH478" s="567"/>
      <c r="DI478" s="567"/>
      <c r="DJ478" s="567"/>
      <c r="DK478" s="567"/>
      <c r="DL478" s="567"/>
      <c r="DM478" s="567"/>
      <c r="DN478" s="567"/>
      <c r="DO478" s="567"/>
      <c r="DP478" s="567"/>
      <c r="DQ478" s="567"/>
    </row>
    <row r="479" spans="1:121" s="487" customFormat="1">
      <c r="A479" s="588"/>
      <c r="B479" s="588"/>
      <c r="C479" s="588"/>
      <c r="D479" s="588"/>
      <c r="E479" s="588"/>
      <c r="F479" s="588"/>
      <c r="G479" s="588"/>
      <c r="H479" s="588"/>
      <c r="I479" s="588"/>
      <c r="J479" s="588"/>
      <c r="K479" s="588"/>
      <c r="L479" s="702"/>
      <c r="M479" s="888"/>
      <c r="N479" s="888"/>
      <c r="O479" s="888"/>
      <c r="P479" s="888"/>
      <c r="Q479" s="888"/>
      <c r="R479" s="888"/>
      <c r="S479" s="888"/>
      <c r="T479" s="888"/>
      <c r="U479" s="888"/>
      <c r="V479" s="888"/>
      <c r="W479" s="888"/>
      <c r="X479" s="888"/>
      <c r="Y479" s="888"/>
      <c r="Z479" s="888"/>
      <c r="AA479" s="888"/>
      <c r="AB479" s="888"/>
      <c r="AC479" s="888"/>
      <c r="AD479" s="888"/>
      <c r="AE479" s="888"/>
      <c r="AF479" s="888"/>
      <c r="AG479" s="888"/>
      <c r="AH479" s="888"/>
      <c r="AI479" s="888"/>
      <c r="AJ479" s="888"/>
      <c r="AK479" s="888"/>
      <c r="AL479" s="888"/>
      <c r="AM479" s="888"/>
      <c r="AN479" s="888"/>
      <c r="AO479" s="888"/>
      <c r="AP479" s="888"/>
      <c r="AQ479" s="888"/>
      <c r="AR479" s="888"/>
      <c r="AS479" s="888"/>
      <c r="AT479" s="888"/>
      <c r="AU479" s="888"/>
      <c r="AV479" s="888"/>
      <c r="AW479" s="888"/>
      <c r="AX479" s="888"/>
      <c r="AY479" s="888"/>
      <c r="AZ479" s="567"/>
      <c r="BA479" s="567"/>
      <c r="BB479" s="567"/>
      <c r="BC479" s="567"/>
      <c r="BD479" s="567"/>
      <c r="BE479" s="567"/>
      <c r="BF479" s="567"/>
      <c r="BG479" s="567"/>
      <c r="BH479" s="567"/>
      <c r="BI479" s="567"/>
      <c r="BJ479" s="567"/>
      <c r="BK479" s="567"/>
      <c r="BL479" s="567"/>
      <c r="BM479" s="567"/>
      <c r="BN479" s="567"/>
      <c r="BO479" s="567"/>
      <c r="BP479" s="567"/>
      <c r="BQ479" s="567"/>
      <c r="BR479" s="567"/>
      <c r="BS479" s="567"/>
      <c r="BT479" s="567"/>
      <c r="BU479" s="567"/>
      <c r="BV479" s="567"/>
      <c r="BW479" s="567"/>
      <c r="BX479" s="567"/>
      <c r="BY479" s="567"/>
      <c r="BZ479" s="567"/>
      <c r="CA479" s="567"/>
      <c r="CB479" s="567"/>
      <c r="CC479" s="567"/>
      <c r="CD479" s="567"/>
      <c r="CE479" s="567"/>
      <c r="CF479" s="567"/>
      <c r="CG479" s="567"/>
      <c r="CH479" s="567"/>
      <c r="CI479" s="567"/>
      <c r="CJ479" s="567"/>
      <c r="CK479" s="567"/>
      <c r="CL479" s="567"/>
      <c r="CM479" s="567"/>
      <c r="CN479" s="567"/>
      <c r="CO479" s="567"/>
      <c r="CP479" s="567"/>
      <c r="CQ479" s="567"/>
      <c r="CR479" s="567"/>
      <c r="CS479" s="567"/>
      <c r="CT479" s="567"/>
      <c r="CU479" s="567"/>
      <c r="CV479" s="567"/>
      <c r="CW479" s="567"/>
      <c r="CX479" s="567"/>
      <c r="CY479" s="567"/>
      <c r="CZ479" s="567"/>
      <c r="DA479" s="567"/>
      <c r="DB479" s="567"/>
      <c r="DC479" s="567"/>
      <c r="DD479" s="567"/>
      <c r="DE479" s="567"/>
      <c r="DF479" s="567"/>
      <c r="DG479" s="567"/>
      <c r="DH479" s="567"/>
      <c r="DI479" s="567"/>
      <c r="DJ479" s="567"/>
      <c r="DK479" s="567"/>
      <c r="DL479" s="567"/>
      <c r="DM479" s="567"/>
      <c r="DN479" s="567"/>
      <c r="DO479" s="567"/>
      <c r="DP479" s="567"/>
      <c r="DQ479" s="567"/>
    </row>
    <row r="480" spans="1:121" s="487" customFormat="1">
      <c r="A480" s="588"/>
      <c r="B480" s="588"/>
      <c r="C480" s="588"/>
      <c r="D480" s="588"/>
      <c r="E480" s="588"/>
      <c r="F480" s="588"/>
      <c r="G480" s="588"/>
      <c r="H480" s="588"/>
      <c r="I480" s="588"/>
      <c r="J480" s="588"/>
      <c r="K480" s="588"/>
      <c r="L480" s="702"/>
      <c r="M480" s="888"/>
      <c r="N480" s="888"/>
      <c r="O480" s="888"/>
      <c r="P480" s="888"/>
      <c r="Q480" s="888"/>
      <c r="R480" s="888"/>
      <c r="S480" s="888"/>
      <c r="T480" s="888"/>
      <c r="U480" s="888"/>
      <c r="V480" s="888"/>
      <c r="W480" s="888"/>
      <c r="X480" s="888"/>
      <c r="Y480" s="888"/>
      <c r="Z480" s="888"/>
      <c r="AA480" s="888"/>
      <c r="AB480" s="888"/>
      <c r="AC480" s="888"/>
      <c r="AD480" s="888"/>
      <c r="AE480" s="888"/>
      <c r="AF480" s="888"/>
      <c r="AG480" s="888"/>
      <c r="AH480" s="888"/>
      <c r="AI480" s="888"/>
      <c r="AJ480" s="888"/>
      <c r="AK480" s="888"/>
      <c r="AL480" s="888"/>
      <c r="AM480" s="888"/>
      <c r="AN480" s="888"/>
      <c r="AO480" s="888"/>
      <c r="AP480" s="888"/>
      <c r="AQ480" s="888"/>
      <c r="AR480" s="888"/>
      <c r="AS480" s="888"/>
      <c r="AT480" s="888"/>
      <c r="AU480" s="888"/>
      <c r="AV480" s="888"/>
      <c r="AW480" s="888"/>
      <c r="AX480" s="888"/>
      <c r="AY480" s="888"/>
      <c r="AZ480" s="567"/>
      <c r="BA480" s="567"/>
      <c r="BB480" s="567"/>
      <c r="BC480" s="567"/>
      <c r="BD480" s="567"/>
      <c r="BE480" s="567"/>
      <c r="BF480" s="567"/>
      <c r="BG480" s="567"/>
      <c r="BH480" s="567"/>
      <c r="BI480" s="567"/>
      <c r="BJ480" s="567"/>
      <c r="BK480" s="567"/>
      <c r="BL480" s="567"/>
      <c r="BM480" s="567"/>
      <c r="BN480" s="567"/>
      <c r="BO480" s="567"/>
      <c r="BP480" s="567"/>
      <c r="BQ480" s="567"/>
      <c r="BR480" s="567"/>
      <c r="BS480" s="567"/>
      <c r="BT480" s="567"/>
      <c r="BU480" s="567"/>
      <c r="BV480" s="567"/>
      <c r="BW480" s="567"/>
      <c r="BX480" s="567"/>
      <c r="BY480" s="567"/>
      <c r="BZ480" s="567"/>
      <c r="CA480" s="567"/>
      <c r="CB480" s="567"/>
      <c r="CC480" s="567"/>
      <c r="CD480" s="567"/>
      <c r="CE480" s="567"/>
      <c r="CF480" s="567"/>
      <c r="CG480" s="567"/>
      <c r="CH480" s="567"/>
      <c r="CI480" s="567"/>
      <c r="CJ480" s="567"/>
      <c r="CK480" s="567"/>
      <c r="CL480" s="567"/>
      <c r="CM480" s="567"/>
      <c r="CN480" s="567"/>
      <c r="CO480" s="567"/>
      <c r="CP480" s="567"/>
      <c r="CQ480" s="567"/>
      <c r="CR480" s="567"/>
      <c r="CS480" s="567"/>
      <c r="CT480" s="567"/>
      <c r="CU480" s="567"/>
      <c r="CV480" s="567"/>
      <c r="CW480" s="567"/>
      <c r="CX480" s="567"/>
      <c r="CY480" s="567"/>
      <c r="CZ480" s="567"/>
      <c r="DA480" s="567"/>
      <c r="DB480" s="567"/>
      <c r="DC480" s="567"/>
      <c r="DD480" s="567"/>
      <c r="DE480" s="567"/>
      <c r="DF480" s="567"/>
      <c r="DG480" s="567"/>
      <c r="DH480" s="567"/>
      <c r="DI480" s="567"/>
      <c r="DJ480" s="567"/>
      <c r="DK480" s="567"/>
      <c r="DL480" s="567"/>
      <c r="DM480" s="567"/>
      <c r="DN480" s="567"/>
      <c r="DO480" s="567"/>
      <c r="DP480" s="567"/>
      <c r="DQ480" s="567"/>
    </row>
    <row r="481" spans="1:121" s="487" customFormat="1">
      <c r="A481" s="588"/>
      <c r="B481" s="588"/>
      <c r="C481" s="588"/>
      <c r="D481" s="588"/>
      <c r="E481" s="588"/>
      <c r="F481" s="588"/>
      <c r="G481" s="588"/>
      <c r="H481" s="588"/>
      <c r="I481" s="588"/>
      <c r="J481" s="588"/>
      <c r="K481" s="588"/>
      <c r="L481" s="702"/>
      <c r="M481" s="888"/>
      <c r="N481" s="888"/>
      <c r="O481" s="888"/>
      <c r="P481" s="888"/>
      <c r="Q481" s="888"/>
      <c r="R481" s="888"/>
      <c r="S481" s="888"/>
      <c r="T481" s="888"/>
      <c r="U481" s="888"/>
      <c r="V481" s="888"/>
      <c r="W481" s="888"/>
      <c r="X481" s="888"/>
      <c r="Y481" s="888"/>
      <c r="Z481" s="888"/>
      <c r="AA481" s="888"/>
      <c r="AB481" s="888"/>
      <c r="AC481" s="888"/>
      <c r="AD481" s="888"/>
      <c r="AE481" s="888"/>
      <c r="AF481" s="888"/>
      <c r="AG481" s="888"/>
      <c r="AH481" s="888"/>
      <c r="AI481" s="888"/>
      <c r="AJ481" s="888"/>
      <c r="AK481" s="888"/>
      <c r="AL481" s="888"/>
      <c r="AM481" s="888"/>
      <c r="AN481" s="888"/>
      <c r="AO481" s="888"/>
      <c r="AP481" s="888"/>
      <c r="AQ481" s="888"/>
      <c r="AR481" s="888"/>
      <c r="AS481" s="888"/>
      <c r="AT481" s="888"/>
      <c r="AU481" s="888"/>
      <c r="AV481" s="888"/>
      <c r="AW481" s="888"/>
      <c r="AX481" s="888"/>
      <c r="AY481" s="888"/>
      <c r="AZ481" s="567"/>
      <c r="BA481" s="567"/>
      <c r="BB481" s="567"/>
      <c r="BC481" s="567"/>
      <c r="BD481" s="567"/>
      <c r="BE481" s="567"/>
      <c r="BF481" s="567"/>
      <c r="BG481" s="567"/>
      <c r="BH481" s="567"/>
      <c r="BI481" s="567"/>
      <c r="BJ481" s="567"/>
      <c r="BK481" s="567"/>
      <c r="BL481" s="567"/>
      <c r="BM481" s="567"/>
      <c r="BN481" s="567"/>
      <c r="BO481" s="567"/>
      <c r="BP481" s="567"/>
      <c r="BQ481" s="567"/>
      <c r="BR481" s="567"/>
      <c r="BS481" s="567"/>
      <c r="BT481" s="567"/>
      <c r="BU481" s="567"/>
      <c r="BV481" s="567"/>
      <c r="BW481" s="567"/>
      <c r="BX481" s="567"/>
      <c r="BY481" s="567"/>
      <c r="BZ481" s="567"/>
      <c r="CA481" s="567"/>
      <c r="CB481" s="567"/>
      <c r="CC481" s="567"/>
      <c r="CD481" s="567"/>
      <c r="CE481" s="567"/>
      <c r="CF481" s="567"/>
      <c r="CG481" s="567"/>
      <c r="CH481" s="567"/>
      <c r="CI481" s="567"/>
      <c r="CJ481" s="567"/>
      <c r="CK481" s="567"/>
      <c r="CL481" s="567"/>
      <c r="CM481" s="567"/>
      <c r="CN481" s="567"/>
      <c r="CO481" s="567"/>
      <c r="CP481" s="567"/>
      <c r="CQ481" s="567"/>
      <c r="CR481" s="567"/>
      <c r="CS481" s="567"/>
      <c r="CT481" s="567"/>
      <c r="CU481" s="567"/>
      <c r="CV481" s="567"/>
      <c r="CW481" s="567"/>
      <c r="CX481" s="567"/>
      <c r="CY481" s="567"/>
      <c r="CZ481" s="567"/>
      <c r="DA481" s="567"/>
      <c r="DB481" s="567"/>
      <c r="DC481" s="567"/>
      <c r="DD481" s="567"/>
      <c r="DE481" s="567"/>
      <c r="DF481" s="567"/>
      <c r="DG481" s="567"/>
      <c r="DH481" s="567"/>
      <c r="DI481" s="567"/>
      <c r="DJ481" s="567"/>
      <c r="DK481" s="567"/>
      <c r="DL481" s="567"/>
      <c r="DM481" s="567"/>
      <c r="DN481" s="567"/>
      <c r="DO481" s="567"/>
      <c r="DP481" s="567"/>
      <c r="DQ481" s="567"/>
    </row>
    <row r="482" spans="1:121" s="487" customFormat="1">
      <c r="A482" s="588"/>
      <c r="B482" s="588"/>
      <c r="C482" s="588"/>
      <c r="D482" s="588"/>
      <c r="E482" s="588"/>
      <c r="F482" s="588"/>
      <c r="G482" s="588"/>
      <c r="H482" s="588"/>
      <c r="I482" s="588"/>
      <c r="J482" s="588"/>
      <c r="K482" s="588"/>
      <c r="L482" s="702"/>
      <c r="M482" s="888"/>
      <c r="N482" s="888"/>
      <c r="O482" s="888"/>
      <c r="P482" s="888"/>
      <c r="Q482" s="888"/>
      <c r="R482" s="888"/>
      <c r="S482" s="888"/>
      <c r="T482" s="888"/>
      <c r="U482" s="888"/>
      <c r="V482" s="888"/>
      <c r="W482" s="888"/>
      <c r="X482" s="888"/>
      <c r="Y482" s="888"/>
      <c r="Z482" s="888"/>
      <c r="AA482" s="888"/>
      <c r="AB482" s="888"/>
      <c r="AC482" s="888"/>
      <c r="AD482" s="888"/>
      <c r="AE482" s="888"/>
      <c r="AF482" s="888"/>
      <c r="AG482" s="888"/>
      <c r="AH482" s="888"/>
      <c r="AI482" s="888"/>
      <c r="AJ482" s="888"/>
      <c r="AK482" s="888"/>
      <c r="AL482" s="888"/>
      <c r="AM482" s="888"/>
      <c r="AN482" s="888"/>
      <c r="AO482" s="888"/>
      <c r="AP482" s="888"/>
      <c r="AQ482" s="888"/>
      <c r="AR482" s="888"/>
      <c r="AS482" s="888"/>
      <c r="AT482" s="888"/>
      <c r="AU482" s="888"/>
      <c r="AV482" s="888"/>
      <c r="AW482" s="888"/>
      <c r="AX482" s="888"/>
      <c r="AY482" s="888"/>
      <c r="AZ482" s="567"/>
      <c r="BA482" s="567"/>
      <c r="BB482" s="567"/>
      <c r="BC482" s="567"/>
      <c r="BD482" s="567"/>
      <c r="BE482" s="567"/>
      <c r="BF482" s="567"/>
      <c r="BG482" s="567"/>
      <c r="BH482" s="567"/>
      <c r="BI482" s="567"/>
      <c r="BJ482" s="567"/>
      <c r="BK482" s="567"/>
      <c r="BL482" s="567"/>
      <c r="BM482" s="567"/>
      <c r="BN482" s="567"/>
      <c r="BO482" s="567"/>
      <c r="BP482" s="567"/>
      <c r="BQ482" s="567"/>
      <c r="BR482" s="567"/>
      <c r="BS482" s="567"/>
      <c r="BT482" s="567"/>
      <c r="BU482" s="567"/>
      <c r="BV482" s="567"/>
      <c r="BW482" s="567"/>
      <c r="BX482" s="567"/>
      <c r="BY482" s="567"/>
      <c r="BZ482" s="567"/>
      <c r="CA482" s="567"/>
      <c r="CB482" s="567"/>
      <c r="CC482" s="567"/>
      <c r="CD482" s="567"/>
      <c r="CE482" s="567"/>
      <c r="CF482" s="567"/>
      <c r="CG482" s="567"/>
      <c r="CH482" s="567"/>
      <c r="CI482" s="567"/>
      <c r="CJ482" s="567"/>
      <c r="CK482" s="567"/>
      <c r="CL482" s="567"/>
      <c r="CM482" s="567"/>
      <c r="CN482" s="567"/>
      <c r="CO482" s="567"/>
      <c r="CP482" s="567"/>
      <c r="CQ482" s="567"/>
      <c r="CR482" s="567"/>
      <c r="CS482" s="567"/>
      <c r="CT482" s="567"/>
      <c r="CU482" s="567"/>
      <c r="CV482" s="567"/>
      <c r="CW482" s="567"/>
      <c r="CX482" s="567"/>
      <c r="CY482" s="567"/>
      <c r="CZ482" s="567"/>
      <c r="DA482" s="567"/>
      <c r="DB482" s="567"/>
      <c r="DC482" s="567"/>
      <c r="DD482" s="567"/>
      <c r="DE482" s="567"/>
      <c r="DF482" s="567"/>
      <c r="DG482" s="567"/>
      <c r="DH482" s="567"/>
      <c r="DI482" s="567"/>
      <c r="DJ482" s="567"/>
      <c r="DK482" s="567"/>
      <c r="DL482" s="567"/>
      <c r="DM482" s="567"/>
      <c r="DN482" s="567"/>
      <c r="DO482" s="567"/>
      <c r="DP482" s="567"/>
      <c r="DQ482" s="567"/>
    </row>
    <row r="483" spans="1:121" s="487" customFormat="1">
      <c r="A483" s="588"/>
      <c r="B483" s="588"/>
      <c r="C483" s="588"/>
      <c r="D483" s="588"/>
      <c r="E483" s="588"/>
      <c r="F483" s="588"/>
      <c r="G483" s="588"/>
      <c r="H483" s="588"/>
      <c r="I483" s="588"/>
      <c r="J483" s="588"/>
      <c r="K483" s="588"/>
      <c r="L483" s="702"/>
      <c r="M483" s="888"/>
      <c r="N483" s="888"/>
      <c r="O483" s="888"/>
      <c r="P483" s="888"/>
      <c r="Q483" s="888"/>
      <c r="R483" s="888"/>
      <c r="S483" s="888"/>
      <c r="T483" s="888"/>
      <c r="U483" s="888"/>
      <c r="V483" s="888"/>
      <c r="W483" s="888"/>
      <c r="X483" s="888"/>
      <c r="Y483" s="888"/>
      <c r="Z483" s="888"/>
      <c r="AA483" s="888"/>
      <c r="AB483" s="888"/>
      <c r="AC483" s="888"/>
      <c r="AD483" s="888"/>
      <c r="AE483" s="888"/>
      <c r="AF483" s="888"/>
      <c r="AG483" s="888"/>
      <c r="AH483" s="888"/>
      <c r="AI483" s="888"/>
      <c r="AJ483" s="888"/>
      <c r="AK483" s="888"/>
      <c r="AL483" s="888"/>
      <c r="AM483" s="888"/>
      <c r="AN483" s="888"/>
      <c r="AO483" s="888"/>
      <c r="AP483" s="888"/>
      <c r="AQ483" s="888"/>
      <c r="AR483" s="888"/>
      <c r="AS483" s="888"/>
      <c r="AT483" s="888"/>
      <c r="AU483" s="888"/>
      <c r="AV483" s="888"/>
      <c r="AW483" s="888"/>
      <c r="AX483" s="888"/>
      <c r="AY483" s="888"/>
      <c r="AZ483" s="567"/>
      <c r="BA483" s="567"/>
      <c r="BB483" s="567"/>
      <c r="BC483" s="567"/>
      <c r="BD483" s="567"/>
      <c r="BE483" s="567"/>
      <c r="BF483" s="567"/>
      <c r="BG483" s="567"/>
      <c r="BH483" s="567"/>
      <c r="BI483" s="567"/>
      <c r="BJ483" s="567"/>
      <c r="BK483" s="567"/>
      <c r="BL483" s="567"/>
      <c r="BM483" s="567"/>
      <c r="BN483" s="567"/>
      <c r="BO483" s="567"/>
      <c r="BP483" s="567"/>
      <c r="BQ483" s="567"/>
      <c r="BR483" s="567"/>
      <c r="BS483" s="567"/>
      <c r="BT483" s="567"/>
      <c r="BU483" s="567"/>
      <c r="BV483" s="567"/>
      <c r="BW483" s="567"/>
      <c r="BX483" s="567"/>
      <c r="BY483" s="567"/>
      <c r="BZ483" s="567"/>
      <c r="CA483" s="567"/>
      <c r="CB483" s="567"/>
      <c r="CC483" s="567"/>
      <c r="CD483" s="567"/>
      <c r="CE483" s="567"/>
      <c r="CF483" s="567"/>
      <c r="CG483" s="567"/>
      <c r="CH483" s="567"/>
      <c r="CI483" s="567"/>
      <c r="CJ483" s="567"/>
      <c r="CK483" s="567"/>
      <c r="CL483" s="567"/>
      <c r="CM483" s="567"/>
      <c r="CN483" s="567"/>
      <c r="CO483" s="567"/>
      <c r="CP483" s="567"/>
      <c r="CQ483" s="567"/>
      <c r="CR483" s="567"/>
      <c r="CS483" s="567"/>
      <c r="CT483" s="567"/>
      <c r="CU483" s="567"/>
      <c r="CV483" s="567"/>
      <c r="CW483" s="567"/>
      <c r="CX483" s="567"/>
      <c r="CY483" s="567"/>
      <c r="CZ483" s="567"/>
      <c r="DA483" s="567"/>
      <c r="DB483" s="567"/>
      <c r="DC483" s="567"/>
      <c r="DD483" s="567"/>
      <c r="DE483" s="567"/>
      <c r="DF483" s="567"/>
      <c r="DG483" s="567"/>
      <c r="DH483" s="567"/>
      <c r="DI483" s="567"/>
      <c r="DJ483" s="567"/>
      <c r="DK483" s="567"/>
      <c r="DL483" s="567"/>
      <c r="DM483" s="567"/>
      <c r="DN483" s="567"/>
      <c r="DO483" s="567"/>
      <c r="DP483" s="567"/>
      <c r="DQ483" s="567"/>
    </row>
    <row r="484" spans="1:121" s="487" customFormat="1">
      <c r="A484" s="588"/>
      <c r="B484" s="588"/>
      <c r="C484" s="588"/>
      <c r="D484" s="588"/>
      <c r="E484" s="588"/>
      <c r="F484" s="588"/>
      <c r="G484" s="588"/>
      <c r="H484" s="588"/>
      <c r="I484" s="588"/>
      <c r="J484" s="588"/>
      <c r="K484" s="588"/>
      <c r="L484" s="702"/>
      <c r="M484" s="888"/>
      <c r="N484" s="888"/>
      <c r="O484" s="888"/>
      <c r="P484" s="888"/>
      <c r="Q484" s="888"/>
      <c r="R484" s="888"/>
      <c r="S484" s="888"/>
      <c r="T484" s="888"/>
      <c r="U484" s="888"/>
      <c r="V484" s="888"/>
      <c r="W484" s="888"/>
      <c r="X484" s="888"/>
      <c r="Y484" s="888"/>
      <c r="Z484" s="888"/>
      <c r="AA484" s="888"/>
      <c r="AB484" s="888"/>
      <c r="AC484" s="888"/>
      <c r="AD484" s="888"/>
      <c r="AE484" s="888"/>
      <c r="AF484" s="888"/>
      <c r="AG484" s="888"/>
      <c r="AH484" s="888"/>
      <c r="AI484" s="888"/>
      <c r="AJ484" s="888"/>
      <c r="AK484" s="888"/>
      <c r="AL484" s="888"/>
      <c r="AM484" s="888"/>
      <c r="AN484" s="888"/>
      <c r="AO484" s="888"/>
      <c r="AP484" s="888"/>
      <c r="AQ484" s="888"/>
      <c r="AR484" s="888"/>
      <c r="AS484" s="888"/>
      <c r="AT484" s="888"/>
      <c r="AU484" s="888"/>
      <c r="AV484" s="888"/>
      <c r="AW484" s="888"/>
      <c r="AX484" s="888"/>
      <c r="AY484" s="888"/>
      <c r="AZ484" s="567"/>
      <c r="BA484" s="567"/>
      <c r="BB484" s="567"/>
      <c r="BC484" s="567"/>
      <c r="BD484" s="567"/>
      <c r="BE484" s="567"/>
      <c r="BF484" s="567"/>
      <c r="BG484" s="567"/>
      <c r="BH484" s="567"/>
      <c r="BI484" s="567"/>
      <c r="BJ484" s="567"/>
      <c r="BK484" s="567"/>
      <c r="BL484" s="567"/>
      <c r="BM484" s="567"/>
      <c r="BN484" s="567"/>
      <c r="BO484" s="567"/>
      <c r="BP484" s="567"/>
      <c r="BQ484" s="567"/>
      <c r="BR484" s="567"/>
      <c r="BS484" s="567"/>
      <c r="BT484" s="567"/>
      <c r="BU484" s="567"/>
      <c r="BV484" s="567"/>
      <c r="BW484" s="567"/>
      <c r="BX484" s="567"/>
      <c r="BY484" s="567"/>
      <c r="BZ484" s="567"/>
      <c r="CA484" s="567"/>
      <c r="CB484" s="567"/>
      <c r="CC484" s="567"/>
      <c r="CD484" s="567"/>
      <c r="CE484" s="567"/>
      <c r="CF484" s="567"/>
      <c r="CG484" s="567"/>
      <c r="CH484" s="567"/>
      <c r="CI484" s="567"/>
      <c r="CJ484" s="567"/>
      <c r="CK484" s="567"/>
      <c r="CL484" s="567"/>
      <c r="CM484" s="567"/>
      <c r="CN484" s="567"/>
      <c r="CO484" s="567"/>
      <c r="CP484" s="567"/>
      <c r="CQ484" s="567"/>
      <c r="CR484" s="567"/>
      <c r="CS484" s="567"/>
      <c r="CT484" s="567"/>
      <c r="CU484" s="567"/>
      <c r="CV484" s="567"/>
      <c r="CW484" s="567"/>
      <c r="CX484" s="567"/>
      <c r="CY484" s="567"/>
      <c r="CZ484" s="567"/>
      <c r="DA484" s="567"/>
      <c r="DB484" s="567"/>
      <c r="DC484" s="567"/>
      <c r="DD484" s="567"/>
      <c r="DE484" s="567"/>
      <c r="DF484" s="567"/>
      <c r="DG484" s="567"/>
      <c r="DH484" s="567"/>
      <c r="DI484" s="567"/>
      <c r="DJ484" s="567"/>
      <c r="DK484" s="567"/>
      <c r="DL484" s="567"/>
      <c r="DM484" s="567"/>
      <c r="DN484" s="567"/>
      <c r="DO484" s="567"/>
      <c r="DP484" s="567"/>
      <c r="DQ484" s="567"/>
    </row>
    <row r="485" spans="1:121" s="487" customFormat="1">
      <c r="A485" s="588"/>
      <c r="B485" s="588"/>
      <c r="C485" s="588"/>
      <c r="D485" s="588"/>
      <c r="E485" s="588"/>
      <c r="F485" s="588"/>
      <c r="G485" s="588"/>
      <c r="H485" s="588"/>
      <c r="I485" s="588"/>
      <c r="J485" s="588"/>
      <c r="K485" s="588"/>
      <c r="L485" s="702"/>
      <c r="M485" s="888"/>
      <c r="N485" s="888"/>
      <c r="O485" s="888"/>
      <c r="P485" s="888"/>
      <c r="Q485" s="888"/>
      <c r="R485" s="888"/>
      <c r="S485" s="888"/>
      <c r="T485" s="888"/>
      <c r="U485" s="888"/>
      <c r="V485" s="888"/>
      <c r="W485" s="888"/>
      <c r="X485" s="888"/>
      <c r="Y485" s="888"/>
      <c r="Z485" s="888"/>
      <c r="AA485" s="888"/>
      <c r="AB485" s="888"/>
      <c r="AC485" s="888"/>
      <c r="AD485" s="888"/>
      <c r="AE485" s="888"/>
      <c r="AF485" s="888"/>
      <c r="AG485" s="888"/>
      <c r="AH485" s="888"/>
      <c r="AI485" s="888"/>
      <c r="AJ485" s="888"/>
      <c r="AK485" s="888"/>
      <c r="AL485" s="888"/>
      <c r="AM485" s="888"/>
      <c r="AN485" s="888"/>
      <c r="AO485" s="888"/>
      <c r="AP485" s="888"/>
      <c r="AQ485" s="888"/>
      <c r="AR485" s="888"/>
      <c r="AS485" s="888"/>
      <c r="AT485" s="888"/>
      <c r="AU485" s="888"/>
      <c r="AV485" s="888"/>
      <c r="AW485" s="888"/>
      <c r="AX485" s="888"/>
      <c r="AY485" s="888"/>
      <c r="AZ485" s="567"/>
      <c r="BA485" s="567"/>
      <c r="BB485" s="567"/>
      <c r="BC485" s="567"/>
      <c r="BD485" s="567"/>
      <c r="BE485" s="567"/>
      <c r="BF485" s="567"/>
      <c r="BG485" s="567"/>
      <c r="BH485" s="567"/>
      <c r="BI485" s="567"/>
      <c r="BJ485" s="567"/>
      <c r="BK485" s="567"/>
      <c r="BL485" s="567"/>
      <c r="BM485" s="567"/>
      <c r="BN485" s="567"/>
      <c r="BO485" s="567"/>
      <c r="BP485" s="567"/>
      <c r="BQ485" s="567"/>
      <c r="BR485" s="567"/>
      <c r="BS485" s="567"/>
      <c r="BT485" s="567"/>
      <c r="BU485" s="567"/>
      <c r="BV485" s="567"/>
      <c r="BW485" s="567"/>
      <c r="BX485" s="567"/>
      <c r="BY485" s="567"/>
      <c r="BZ485" s="567"/>
      <c r="CA485" s="567"/>
      <c r="CB485" s="567"/>
      <c r="CC485" s="567"/>
      <c r="CD485" s="567"/>
      <c r="CE485" s="567"/>
      <c r="CF485" s="567"/>
      <c r="CG485" s="567"/>
      <c r="CH485" s="567"/>
      <c r="CI485" s="567"/>
      <c r="CJ485" s="567"/>
      <c r="CK485" s="567"/>
      <c r="CL485" s="567"/>
      <c r="CM485" s="567"/>
      <c r="CN485" s="567"/>
      <c r="CO485" s="567"/>
      <c r="CP485" s="567"/>
      <c r="CQ485" s="567"/>
      <c r="CR485" s="567"/>
      <c r="CS485" s="567"/>
      <c r="CT485" s="567"/>
      <c r="CU485" s="567"/>
      <c r="CV485" s="567"/>
      <c r="CW485" s="567"/>
      <c r="CX485" s="567"/>
      <c r="CY485" s="567"/>
      <c r="CZ485" s="567"/>
      <c r="DA485" s="567"/>
      <c r="DB485" s="567"/>
      <c r="DC485" s="567"/>
      <c r="DD485" s="567"/>
      <c r="DE485" s="567"/>
      <c r="DF485" s="567"/>
      <c r="DG485" s="567"/>
      <c r="DH485" s="567"/>
      <c r="DI485" s="567"/>
      <c r="DJ485" s="567"/>
      <c r="DK485" s="567"/>
      <c r="DL485" s="567"/>
      <c r="DM485" s="567"/>
      <c r="DN485" s="567"/>
      <c r="DO485" s="567"/>
      <c r="DP485" s="567"/>
      <c r="DQ485" s="567"/>
    </row>
    <row r="486" spans="1:121" s="487" customFormat="1">
      <c r="A486" s="588"/>
      <c r="B486" s="588"/>
      <c r="C486" s="588"/>
      <c r="D486" s="588"/>
      <c r="E486" s="588"/>
      <c r="F486" s="588"/>
      <c r="G486" s="588"/>
      <c r="H486" s="588"/>
      <c r="I486" s="588"/>
      <c r="J486" s="588"/>
      <c r="K486" s="588"/>
      <c r="L486" s="702"/>
      <c r="M486" s="888"/>
      <c r="N486" s="888"/>
      <c r="O486" s="888"/>
      <c r="P486" s="888"/>
      <c r="Q486" s="888"/>
      <c r="R486" s="888"/>
      <c r="S486" s="888"/>
      <c r="T486" s="888"/>
      <c r="U486" s="888"/>
      <c r="V486" s="888"/>
      <c r="W486" s="888"/>
      <c r="X486" s="888"/>
      <c r="Y486" s="888"/>
      <c r="Z486" s="888"/>
      <c r="AA486" s="888"/>
      <c r="AB486" s="888"/>
      <c r="AC486" s="888"/>
      <c r="AD486" s="888"/>
      <c r="AE486" s="888"/>
      <c r="AF486" s="888"/>
      <c r="AG486" s="888"/>
      <c r="AH486" s="888"/>
      <c r="AI486" s="888"/>
      <c r="AJ486" s="888"/>
      <c r="AK486" s="888"/>
      <c r="AL486" s="888"/>
      <c r="AM486" s="888"/>
      <c r="AN486" s="888"/>
      <c r="AO486" s="888"/>
      <c r="AP486" s="888"/>
      <c r="AQ486" s="888"/>
      <c r="AR486" s="888"/>
      <c r="AS486" s="888"/>
      <c r="AT486" s="888"/>
      <c r="AU486" s="888"/>
      <c r="AV486" s="888"/>
      <c r="AW486" s="888"/>
      <c r="AX486" s="888"/>
      <c r="AY486" s="888"/>
      <c r="AZ486" s="567"/>
      <c r="BA486" s="567"/>
      <c r="BB486" s="567"/>
      <c r="BC486" s="567"/>
      <c r="BD486" s="567"/>
      <c r="BE486" s="567"/>
      <c r="BF486" s="567"/>
      <c r="BG486" s="567"/>
      <c r="BH486" s="567"/>
      <c r="BI486" s="567"/>
      <c r="BJ486" s="567"/>
      <c r="BK486" s="567"/>
      <c r="BL486" s="567"/>
      <c r="BM486" s="567"/>
      <c r="BN486" s="567"/>
      <c r="BO486" s="567"/>
      <c r="BP486" s="567"/>
      <c r="BQ486" s="567"/>
      <c r="BR486" s="567"/>
      <c r="BS486" s="567"/>
      <c r="BT486" s="567"/>
      <c r="BU486" s="567"/>
      <c r="BV486" s="567"/>
      <c r="BW486" s="567"/>
      <c r="BX486" s="567"/>
      <c r="BY486" s="567"/>
      <c r="BZ486" s="567"/>
      <c r="CA486" s="567"/>
      <c r="CB486" s="567"/>
      <c r="CC486" s="567"/>
      <c r="CD486" s="567"/>
      <c r="CE486" s="567"/>
      <c r="CF486" s="567"/>
      <c r="CG486" s="567"/>
      <c r="CH486" s="567"/>
      <c r="CI486" s="567"/>
      <c r="CJ486" s="567"/>
      <c r="CK486" s="567"/>
      <c r="CL486" s="567"/>
      <c r="CM486" s="567"/>
      <c r="CN486" s="567"/>
      <c r="CO486" s="567"/>
      <c r="CP486" s="567"/>
      <c r="CQ486" s="567"/>
      <c r="CR486" s="567"/>
      <c r="CS486" s="567"/>
      <c r="CT486" s="567"/>
      <c r="CU486" s="567"/>
      <c r="CV486" s="567"/>
      <c r="CW486" s="567"/>
      <c r="CX486" s="567"/>
      <c r="CY486" s="567"/>
      <c r="CZ486" s="567"/>
      <c r="DA486" s="567"/>
      <c r="DB486" s="567"/>
      <c r="DC486" s="567"/>
      <c r="DD486" s="567"/>
      <c r="DE486" s="567"/>
      <c r="DF486" s="567"/>
      <c r="DG486" s="567"/>
      <c r="DH486" s="567"/>
      <c r="DI486" s="567"/>
      <c r="DJ486" s="567"/>
      <c r="DK486" s="567"/>
      <c r="DL486" s="567"/>
      <c r="DM486" s="567"/>
      <c r="DN486" s="567"/>
      <c r="DO486" s="567"/>
      <c r="DP486" s="567"/>
      <c r="DQ486" s="567"/>
    </row>
    <row r="487" spans="1:121" s="487" customFormat="1">
      <c r="A487" s="588"/>
      <c r="B487" s="588"/>
      <c r="C487" s="588"/>
      <c r="D487" s="588"/>
      <c r="E487" s="588"/>
      <c r="F487" s="588"/>
      <c r="G487" s="588"/>
      <c r="H487" s="588"/>
      <c r="I487" s="588"/>
      <c r="J487" s="588"/>
      <c r="K487" s="588"/>
      <c r="L487" s="702"/>
      <c r="M487" s="888"/>
      <c r="N487" s="888"/>
      <c r="O487" s="888"/>
      <c r="P487" s="888"/>
      <c r="Q487" s="888"/>
      <c r="R487" s="888"/>
      <c r="S487" s="888"/>
      <c r="T487" s="888"/>
      <c r="U487" s="888"/>
      <c r="V487" s="888"/>
      <c r="W487" s="888"/>
      <c r="X487" s="888"/>
      <c r="Y487" s="888"/>
      <c r="Z487" s="888"/>
      <c r="AA487" s="888"/>
      <c r="AB487" s="888"/>
      <c r="AC487" s="888"/>
      <c r="AD487" s="888"/>
      <c r="AE487" s="888"/>
      <c r="AF487" s="888"/>
      <c r="AG487" s="888"/>
      <c r="AH487" s="888"/>
      <c r="AI487" s="888"/>
      <c r="AJ487" s="888"/>
      <c r="AK487" s="888"/>
      <c r="AL487" s="888"/>
      <c r="AM487" s="888"/>
      <c r="AN487" s="888"/>
      <c r="AO487" s="888"/>
      <c r="AP487" s="888"/>
      <c r="AQ487" s="888"/>
      <c r="AR487" s="888"/>
      <c r="AS487" s="888"/>
      <c r="AT487" s="888"/>
      <c r="AU487" s="888"/>
      <c r="AV487" s="888"/>
      <c r="AW487" s="888"/>
      <c r="AX487" s="888"/>
      <c r="AY487" s="888"/>
      <c r="AZ487" s="567"/>
      <c r="BA487" s="567"/>
      <c r="BB487" s="567"/>
      <c r="BC487" s="567"/>
      <c r="BD487" s="567"/>
      <c r="BE487" s="567"/>
      <c r="BF487" s="567"/>
      <c r="BG487" s="567"/>
      <c r="BH487" s="567"/>
      <c r="BI487" s="567"/>
      <c r="BJ487" s="567"/>
      <c r="BK487" s="567"/>
      <c r="BL487" s="567"/>
      <c r="BM487" s="567"/>
      <c r="BN487" s="567"/>
      <c r="BO487" s="567"/>
      <c r="BP487" s="567"/>
      <c r="BQ487" s="567"/>
      <c r="BR487" s="567"/>
      <c r="BS487" s="567"/>
      <c r="BT487" s="567"/>
      <c r="BU487" s="567"/>
      <c r="BV487" s="567"/>
      <c r="BW487" s="567"/>
      <c r="BX487" s="567"/>
      <c r="BY487" s="567"/>
      <c r="BZ487" s="567"/>
      <c r="CA487" s="567"/>
      <c r="CB487" s="567"/>
      <c r="CC487" s="567"/>
      <c r="CD487" s="567"/>
      <c r="CE487" s="567"/>
      <c r="CF487" s="567"/>
      <c r="CG487" s="567"/>
      <c r="CH487" s="567"/>
      <c r="CI487" s="567"/>
      <c r="CJ487" s="567"/>
      <c r="CK487" s="567"/>
      <c r="CL487" s="567"/>
      <c r="CM487" s="567"/>
      <c r="CN487" s="567"/>
      <c r="CO487" s="567"/>
      <c r="CP487" s="567"/>
      <c r="CQ487" s="567"/>
      <c r="CR487" s="567"/>
      <c r="CS487" s="567"/>
      <c r="CT487" s="567"/>
      <c r="CU487" s="567"/>
      <c r="CV487" s="567"/>
      <c r="CW487" s="567"/>
      <c r="CX487" s="567"/>
      <c r="CY487" s="567"/>
      <c r="CZ487" s="567"/>
      <c r="DA487" s="567"/>
      <c r="DB487" s="567"/>
      <c r="DC487" s="567"/>
      <c r="DD487" s="567"/>
      <c r="DE487" s="567"/>
      <c r="DF487" s="567"/>
      <c r="DG487" s="567"/>
      <c r="DH487" s="567"/>
      <c r="DI487" s="567"/>
      <c r="DJ487" s="567"/>
      <c r="DK487" s="567"/>
      <c r="DL487" s="567"/>
      <c r="DM487" s="567"/>
      <c r="DN487" s="567"/>
      <c r="DO487" s="567"/>
      <c r="DP487" s="567"/>
      <c r="DQ487" s="567"/>
    </row>
    <row r="488" spans="1:121" s="487" customFormat="1">
      <c r="A488" s="588"/>
      <c r="B488" s="588"/>
      <c r="C488" s="588"/>
      <c r="D488" s="588"/>
      <c r="E488" s="588"/>
      <c r="F488" s="588"/>
      <c r="G488" s="588"/>
      <c r="H488" s="588"/>
      <c r="I488" s="588"/>
      <c r="J488" s="588"/>
      <c r="K488" s="588"/>
      <c r="L488" s="702"/>
      <c r="M488" s="888"/>
      <c r="N488" s="888"/>
      <c r="O488" s="888"/>
      <c r="P488" s="888"/>
      <c r="Q488" s="888"/>
      <c r="R488" s="888"/>
      <c r="S488" s="888"/>
      <c r="T488" s="888"/>
      <c r="U488" s="888"/>
      <c r="V488" s="888"/>
      <c r="W488" s="888"/>
      <c r="X488" s="888"/>
      <c r="Y488" s="888"/>
      <c r="Z488" s="888"/>
      <c r="AA488" s="888"/>
      <c r="AB488" s="888"/>
      <c r="AC488" s="888"/>
      <c r="AD488" s="888"/>
      <c r="AE488" s="888"/>
      <c r="AF488" s="888"/>
      <c r="AG488" s="888"/>
      <c r="AH488" s="888"/>
      <c r="AI488" s="888"/>
      <c r="AJ488" s="888"/>
      <c r="AK488" s="888"/>
      <c r="AL488" s="888"/>
      <c r="AM488" s="888"/>
      <c r="AN488" s="888"/>
      <c r="AO488" s="888"/>
      <c r="AP488" s="888"/>
      <c r="AQ488" s="888"/>
      <c r="AR488" s="888"/>
      <c r="AS488" s="888"/>
      <c r="AT488" s="888"/>
      <c r="AU488" s="888"/>
      <c r="AV488" s="888"/>
      <c r="AW488" s="888"/>
      <c r="AX488" s="888"/>
      <c r="AY488" s="888"/>
      <c r="AZ488" s="567"/>
      <c r="BA488" s="567"/>
      <c r="BB488" s="567"/>
      <c r="BC488" s="567"/>
      <c r="BD488" s="567"/>
      <c r="BE488" s="567"/>
      <c r="BF488" s="567"/>
      <c r="BG488" s="567"/>
      <c r="BH488" s="567"/>
      <c r="BI488" s="567"/>
      <c r="BJ488" s="567"/>
      <c r="BK488" s="567"/>
      <c r="BL488" s="567"/>
      <c r="BM488" s="567"/>
      <c r="BN488" s="567"/>
      <c r="BO488" s="567"/>
      <c r="BP488" s="567"/>
      <c r="BQ488" s="567"/>
      <c r="BR488" s="567"/>
      <c r="BS488" s="567"/>
      <c r="BT488" s="567"/>
      <c r="BU488" s="567"/>
      <c r="BV488" s="567"/>
      <c r="BW488" s="567"/>
      <c r="BX488" s="567"/>
      <c r="BY488" s="567"/>
      <c r="BZ488" s="567"/>
      <c r="CA488" s="567"/>
      <c r="CB488" s="567"/>
      <c r="CC488" s="567"/>
      <c r="CD488" s="567"/>
      <c r="CE488" s="567"/>
      <c r="CF488" s="567"/>
      <c r="CG488" s="567"/>
      <c r="CH488" s="567"/>
      <c r="CI488" s="567"/>
      <c r="CJ488" s="567"/>
      <c r="CK488" s="567"/>
      <c r="CL488" s="567"/>
      <c r="CM488" s="567"/>
      <c r="CN488" s="567"/>
      <c r="CO488" s="567"/>
      <c r="CP488" s="567"/>
      <c r="CQ488" s="567"/>
      <c r="CR488" s="567"/>
      <c r="CS488" s="567"/>
      <c r="CT488" s="567"/>
      <c r="CU488" s="567"/>
      <c r="CV488" s="567"/>
      <c r="CW488" s="567"/>
      <c r="CX488" s="567"/>
      <c r="CY488" s="567"/>
      <c r="CZ488" s="567"/>
      <c r="DA488" s="567"/>
      <c r="DB488" s="567"/>
      <c r="DC488" s="567"/>
      <c r="DD488" s="567"/>
      <c r="DE488" s="567"/>
      <c r="DF488" s="567"/>
      <c r="DG488" s="567"/>
      <c r="DH488" s="567"/>
      <c r="DI488" s="567"/>
      <c r="DJ488" s="567"/>
      <c r="DK488" s="567"/>
      <c r="DL488" s="567"/>
      <c r="DM488" s="567"/>
      <c r="DN488" s="567"/>
      <c r="DO488" s="567"/>
      <c r="DP488" s="567"/>
      <c r="DQ488" s="567"/>
    </row>
    <row r="489" spans="1:121" s="487" customFormat="1">
      <c r="A489" s="588"/>
      <c r="B489" s="588"/>
      <c r="C489" s="588"/>
      <c r="D489" s="588"/>
      <c r="E489" s="588"/>
      <c r="F489" s="588"/>
      <c r="G489" s="588"/>
      <c r="H489" s="588"/>
      <c r="I489" s="588"/>
      <c r="J489" s="588"/>
      <c r="K489" s="588"/>
      <c r="L489" s="702"/>
      <c r="M489" s="888"/>
      <c r="N489" s="888"/>
      <c r="O489" s="888"/>
      <c r="P489" s="888"/>
      <c r="Q489" s="888"/>
      <c r="R489" s="888"/>
      <c r="S489" s="888"/>
      <c r="T489" s="888"/>
      <c r="U489" s="888"/>
      <c r="V489" s="888"/>
      <c r="W489" s="888"/>
      <c r="X489" s="888"/>
      <c r="Y489" s="888"/>
      <c r="Z489" s="888"/>
      <c r="AA489" s="888"/>
      <c r="AB489" s="888"/>
      <c r="AC489" s="888"/>
      <c r="AD489" s="888"/>
      <c r="AE489" s="888"/>
      <c r="AF489" s="888"/>
      <c r="AG489" s="888"/>
      <c r="AH489" s="888"/>
      <c r="AI489" s="888"/>
      <c r="AJ489" s="888"/>
      <c r="AK489" s="888"/>
      <c r="AL489" s="888"/>
      <c r="AM489" s="888"/>
      <c r="AN489" s="888"/>
      <c r="AO489" s="888"/>
      <c r="AP489" s="888"/>
      <c r="AQ489" s="888"/>
      <c r="AR489" s="888"/>
      <c r="AS489" s="888"/>
      <c r="AT489" s="888"/>
      <c r="AU489" s="888"/>
      <c r="AV489" s="888"/>
      <c r="AW489" s="888"/>
      <c r="AX489" s="888"/>
      <c r="AY489" s="888"/>
      <c r="AZ489" s="567"/>
      <c r="BA489" s="567"/>
      <c r="BB489" s="567"/>
      <c r="BC489" s="567"/>
      <c r="BD489" s="567"/>
      <c r="BE489" s="567"/>
      <c r="BF489" s="567"/>
      <c r="BG489" s="567"/>
      <c r="BH489" s="567"/>
      <c r="BI489" s="567"/>
      <c r="BJ489" s="567"/>
      <c r="BK489" s="567"/>
      <c r="BL489" s="567"/>
      <c r="BM489" s="567"/>
      <c r="BN489" s="567"/>
      <c r="BO489" s="567"/>
      <c r="BP489" s="567"/>
      <c r="BQ489" s="567"/>
      <c r="BR489" s="567"/>
      <c r="BS489" s="567"/>
      <c r="BT489" s="567"/>
      <c r="BU489" s="567"/>
      <c r="BV489" s="567"/>
      <c r="BW489" s="567"/>
      <c r="BX489" s="567"/>
      <c r="BY489" s="567"/>
      <c r="BZ489" s="567"/>
      <c r="CA489" s="567"/>
      <c r="CB489" s="567"/>
      <c r="CC489" s="567"/>
      <c r="CD489" s="567"/>
      <c r="CE489" s="567"/>
      <c r="CF489" s="567"/>
      <c r="CG489" s="567"/>
      <c r="CH489" s="567"/>
      <c r="CI489" s="567"/>
      <c r="CJ489" s="567"/>
      <c r="CK489" s="567"/>
      <c r="CL489" s="567"/>
      <c r="CM489" s="567"/>
      <c r="CN489" s="567"/>
      <c r="CO489" s="567"/>
      <c r="CP489" s="567"/>
      <c r="CQ489" s="567"/>
      <c r="CR489" s="567"/>
      <c r="CS489" s="567"/>
      <c r="CT489" s="567"/>
      <c r="CU489" s="567"/>
      <c r="CV489" s="567"/>
      <c r="CW489" s="567"/>
      <c r="CX489" s="567"/>
      <c r="CY489" s="567"/>
      <c r="CZ489" s="567"/>
      <c r="DA489" s="567"/>
      <c r="DB489" s="567"/>
      <c r="DC489" s="567"/>
      <c r="DD489" s="567"/>
      <c r="DE489" s="567"/>
      <c r="DF489" s="567"/>
      <c r="DG489" s="567"/>
      <c r="DH489" s="567"/>
      <c r="DI489" s="567"/>
      <c r="DJ489" s="567"/>
      <c r="DK489" s="567"/>
      <c r="DL489" s="567"/>
      <c r="DM489" s="567"/>
      <c r="DN489" s="567"/>
      <c r="DO489" s="567"/>
      <c r="DP489" s="567"/>
      <c r="DQ489" s="567"/>
    </row>
    <row r="490" spans="1:121" s="487" customFormat="1">
      <c r="A490" s="588"/>
      <c r="B490" s="588"/>
      <c r="C490" s="588"/>
      <c r="D490" s="588"/>
      <c r="E490" s="588"/>
      <c r="F490" s="588"/>
      <c r="G490" s="588"/>
      <c r="H490" s="588"/>
      <c r="I490" s="588"/>
      <c r="J490" s="588"/>
      <c r="K490" s="588"/>
      <c r="L490" s="702"/>
      <c r="M490" s="888"/>
      <c r="N490" s="888"/>
      <c r="O490" s="888"/>
      <c r="P490" s="888"/>
      <c r="Q490" s="888"/>
      <c r="R490" s="888"/>
      <c r="S490" s="888"/>
      <c r="T490" s="888"/>
      <c r="U490" s="888"/>
      <c r="V490" s="888"/>
      <c r="W490" s="888"/>
      <c r="X490" s="888"/>
      <c r="Y490" s="888"/>
      <c r="Z490" s="888"/>
      <c r="AA490" s="888"/>
      <c r="AB490" s="888"/>
      <c r="AC490" s="888"/>
      <c r="AD490" s="888"/>
      <c r="AE490" s="888"/>
      <c r="AF490" s="888"/>
      <c r="AG490" s="888"/>
      <c r="AH490" s="888"/>
      <c r="AI490" s="888"/>
      <c r="AJ490" s="888"/>
      <c r="AK490" s="888"/>
      <c r="AL490" s="888"/>
      <c r="AM490" s="888"/>
      <c r="AN490" s="888"/>
      <c r="AO490" s="888"/>
      <c r="AP490" s="888"/>
      <c r="AQ490" s="888"/>
      <c r="AR490" s="888"/>
      <c r="AS490" s="888"/>
      <c r="AT490" s="888"/>
      <c r="AU490" s="888"/>
      <c r="AV490" s="888"/>
      <c r="AW490" s="888"/>
      <c r="AX490" s="888"/>
      <c r="AY490" s="888"/>
      <c r="AZ490" s="567"/>
      <c r="BA490" s="567"/>
      <c r="BB490" s="567"/>
      <c r="BC490" s="567"/>
      <c r="BD490" s="567"/>
      <c r="BE490" s="567"/>
      <c r="BF490" s="567"/>
      <c r="BG490" s="567"/>
      <c r="BH490" s="567"/>
      <c r="BI490" s="567"/>
      <c r="BJ490" s="567"/>
      <c r="BK490" s="567"/>
      <c r="BL490" s="567"/>
      <c r="BM490" s="567"/>
      <c r="BN490" s="567"/>
      <c r="BO490" s="567"/>
      <c r="BP490" s="567"/>
      <c r="BQ490" s="567"/>
      <c r="BR490" s="567"/>
      <c r="BS490" s="567"/>
      <c r="BT490" s="567"/>
      <c r="BU490" s="567"/>
      <c r="BV490" s="567"/>
      <c r="BW490" s="567"/>
      <c r="BX490" s="567"/>
      <c r="BY490" s="567"/>
      <c r="BZ490" s="567"/>
      <c r="CA490" s="567"/>
      <c r="CB490" s="567"/>
      <c r="CC490" s="567"/>
      <c r="CD490" s="567"/>
      <c r="CE490" s="567"/>
      <c r="CF490" s="567"/>
      <c r="CG490" s="567"/>
      <c r="CH490" s="567"/>
      <c r="CI490" s="567"/>
      <c r="CJ490" s="567"/>
      <c r="CK490" s="567"/>
      <c r="CL490" s="567"/>
      <c r="CM490" s="567"/>
      <c r="CN490" s="567"/>
      <c r="CO490" s="567"/>
      <c r="CP490" s="567"/>
      <c r="CQ490" s="567"/>
      <c r="CR490" s="567"/>
      <c r="CS490" s="567"/>
      <c r="CT490" s="567"/>
      <c r="CU490" s="567"/>
      <c r="CV490" s="567"/>
      <c r="CW490" s="567"/>
      <c r="CX490" s="567"/>
      <c r="CY490" s="567"/>
      <c r="CZ490" s="567"/>
      <c r="DA490" s="567"/>
      <c r="DB490" s="567"/>
      <c r="DC490" s="567"/>
      <c r="DD490" s="567"/>
      <c r="DE490" s="567"/>
      <c r="DF490" s="567"/>
      <c r="DG490" s="567"/>
      <c r="DH490" s="567"/>
      <c r="DI490" s="567"/>
      <c r="DJ490" s="567"/>
      <c r="DK490" s="567"/>
      <c r="DL490" s="567"/>
      <c r="DM490" s="567"/>
      <c r="DN490" s="567"/>
      <c r="DO490" s="567"/>
      <c r="DP490" s="567"/>
      <c r="DQ490" s="567"/>
    </row>
    <row r="491" spans="1:121" s="487" customFormat="1">
      <c r="A491" s="588"/>
      <c r="B491" s="588"/>
      <c r="C491" s="588"/>
      <c r="D491" s="588"/>
      <c r="E491" s="588"/>
      <c r="F491" s="588"/>
      <c r="G491" s="588"/>
      <c r="H491" s="588"/>
      <c r="I491" s="588"/>
      <c r="J491" s="588"/>
      <c r="K491" s="588"/>
      <c r="L491" s="702"/>
      <c r="M491" s="888"/>
      <c r="N491" s="888"/>
      <c r="O491" s="888"/>
      <c r="P491" s="888"/>
      <c r="Q491" s="888"/>
      <c r="R491" s="888"/>
      <c r="S491" s="888"/>
      <c r="T491" s="888"/>
      <c r="U491" s="888"/>
      <c r="V491" s="888"/>
      <c r="W491" s="888"/>
      <c r="X491" s="888"/>
      <c r="Y491" s="888"/>
      <c r="Z491" s="888"/>
      <c r="AA491" s="888"/>
      <c r="AB491" s="888"/>
      <c r="AC491" s="888"/>
      <c r="AD491" s="888"/>
      <c r="AE491" s="888"/>
      <c r="AF491" s="888"/>
      <c r="AG491" s="888"/>
      <c r="AH491" s="888"/>
      <c r="AI491" s="888"/>
      <c r="AJ491" s="888"/>
      <c r="AK491" s="888"/>
      <c r="AL491" s="888"/>
      <c r="AM491" s="888"/>
      <c r="AN491" s="888"/>
      <c r="AO491" s="888"/>
      <c r="AP491" s="888"/>
      <c r="AQ491" s="888"/>
      <c r="AR491" s="888"/>
      <c r="AS491" s="888"/>
      <c r="AT491" s="888"/>
      <c r="AU491" s="888"/>
      <c r="AV491" s="888"/>
      <c r="AW491" s="888"/>
      <c r="AX491" s="888"/>
      <c r="AY491" s="888"/>
      <c r="AZ491" s="567"/>
      <c r="BA491" s="567"/>
      <c r="BB491" s="567"/>
      <c r="BC491" s="567"/>
      <c r="BD491" s="567"/>
      <c r="BE491" s="567"/>
      <c r="BF491" s="567"/>
      <c r="BG491" s="567"/>
      <c r="BH491" s="567"/>
      <c r="BI491" s="567"/>
      <c r="BJ491" s="567"/>
      <c r="BK491" s="567"/>
      <c r="BL491" s="567"/>
      <c r="BM491" s="567"/>
      <c r="BN491" s="567"/>
      <c r="BO491" s="567"/>
      <c r="BP491" s="567"/>
      <c r="BQ491" s="567"/>
      <c r="BR491" s="567"/>
      <c r="BS491" s="567"/>
      <c r="BT491" s="567"/>
      <c r="BU491" s="567"/>
      <c r="BV491" s="567"/>
      <c r="BW491" s="567"/>
      <c r="BX491" s="567"/>
      <c r="BY491" s="567"/>
      <c r="BZ491" s="567"/>
      <c r="CA491" s="567"/>
      <c r="CB491" s="567"/>
      <c r="CC491" s="567"/>
      <c r="CD491" s="567"/>
      <c r="CE491" s="567"/>
      <c r="CF491" s="567"/>
      <c r="CG491" s="567"/>
      <c r="CH491" s="567"/>
      <c r="CI491" s="567"/>
      <c r="CJ491" s="567"/>
      <c r="CK491" s="567"/>
      <c r="CL491" s="567"/>
      <c r="CM491" s="567"/>
      <c r="CN491" s="567"/>
      <c r="CO491" s="567"/>
      <c r="CP491" s="567"/>
      <c r="CQ491" s="567"/>
      <c r="CR491" s="567"/>
      <c r="CS491" s="567"/>
      <c r="CT491" s="567"/>
      <c r="CU491" s="567"/>
      <c r="CV491" s="567"/>
      <c r="CW491" s="567"/>
      <c r="CX491" s="567"/>
      <c r="CY491" s="567"/>
      <c r="CZ491" s="567"/>
      <c r="DA491" s="567"/>
      <c r="DB491" s="567"/>
      <c r="DC491" s="567"/>
      <c r="DD491" s="567"/>
      <c r="DE491" s="567"/>
      <c r="DF491" s="567"/>
      <c r="DG491" s="567"/>
      <c r="DH491" s="567"/>
      <c r="DI491" s="567"/>
      <c r="DJ491" s="567"/>
      <c r="DK491" s="567"/>
      <c r="DL491" s="567"/>
      <c r="DM491" s="567"/>
      <c r="DN491" s="567"/>
      <c r="DO491" s="567"/>
      <c r="DP491" s="567"/>
      <c r="DQ491" s="567"/>
    </row>
    <row r="492" spans="1:121" s="487" customFormat="1">
      <c r="A492" s="588"/>
      <c r="B492" s="588"/>
      <c r="C492" s="588"/>
      <c r="D492" s="588"/>
      <c r="E492" s="588"/>
      <c r="F492" s="588"/>
      <c r="G492" s="588"/>
      <c r="H492" s="588"/>
      <c r="I492" s="588"/>
      <c r="J492" s="588"/>
      <c r="K492" s="588"/>
      <c r="L492" s="702"/>
      <c r="M492" s="888"/>
      <c r="N492" s="888"/>
      <c r="O492" s="888"/>
      <c r="P492" s="888"/>
      <c r="Q492" s="888"/>
      <c r="R492" s="888"/>
      <c r="S492" s="888"/>
      <c r="T492" s="888"/>
      <c r="U492" s="888"/>
      <c r="V492" s="888"/>
      <c r="W492" s="888"/>
      <c r="X492" s="888"/>
      <c r="Y492" s="888"/>
      <c r="Z492" s="888"/>
      <c r="AA492" s="888"/>
      <c r="AB492" s="888"/>
      <c r="AC492" s="888"/>
      <c r="AD492" s="888"/>
      <c r="AE492" s="888"/>
      <c r="AF492" s="888"/>
      <c r="AG492" s="888"/>
      <c r="AH492" s="888"/>
      <c r="AI492" s="888"/>
      <c r="AJ492" s="888"/>
      <c r="AK492" s="888"/>
      <c r="AL492" s="888"/>
      <c r="AM492" s="888"/>
      <c r="AN492" s="888"/>
      <c r="AO492" s="888"/>
      <c r="AP492" s="888"/>
      <c r="AQ492" s="888"/>
      <c r="AR492" s="888"/>
      <c r="AS492" s="888"/>
      <c r="AT492" s="888"/>
      <c r="AU492" s="888"/>
      <c r="AV492" s="888"/>
      <c r="AW492" s="888"/>
      <c r="AX492" s="888"/>
      <c r="AY492" s="888"/>
      <c r="AZ492" s="567"/>
      <c r="BA492" s="567"/>
      <c r="BB492" s="567"/>
      <c r="BC492" s="567"/>
      <c r="BD492" s="567"/>
      <c r="BE492" s="567"/>
      <c r="BF492" s="567"/>
      <c r="BG492" s="567"/>
      <c r="BH492" s="567"/>
      <c r="BI492" s="567"/>
      <c r="BJ492" s="567"/>
      <c r="BK492" s="567"/>
      <c r="BL492" s="567"/>
      <c r="BM492" s="567"/>
      <c r="BN492" s="567"/>
      <c r="BO492" s="567"/>
      <c r="BP492" s="567"/>
      <c r="BQ492" s="567"/>
      <c r="BR492" s="567"/>
      <c r="BS492" s="567"/>
      <c r="BT492" s="567"/>
      <c r="BU492" s="567"/>
      <c r="BV492" s="567"/>
      <c r="BW492" s="567"/>
      <c r="BX492" s="567"/>
      <c r="BY492" s="567"/>
      <c r="BZ492" s="567"/>
      <c r="CA492" s="567"/>
      <c r="CB492" s="567"/>
      <c r="CC492" s="567"/>
      <c r="CD492" s="567"/>
      <c r="CE492" s="567"/>
      <c r="CF492" s="567"/>
      <c r="CG492" s="567"/>
      <c r="CH492" s="567"/>
      <c r="CI492" s="567"/>
      <c r="CJ492" s="567"/>
      <c r="CK492" s="567"/>
      <c r="CL492" s="567"/>
      <c r="CM492" s="567"/>
      <c r="CN492" s="567"/>
      <c r="CO492" s="567"/>
      <c r="CP492" s="567"/>
      <c r="CQ492" s="567"/>
      <c r="CR492" s="567"/>
      <c r="CS492" s="567"/>
      <c r="CT492" s="567"/>
      <c r="CU492" s="567"/>
      <c r="CV492" s="567"/>
      <c r="CW492" s="567"/>
      <c r="CX492" s="567"/>
      <c r="CY492" s="567"/>
      <c r="CZ492" s="567"/>
      <c r="DA492" s="567"/>
      <c r="DB492" s="567"/>
      <c r="DC492" s="567"/>
      <c r="DD492" s="567"/>
      <c r="DE492" s="567"/>
      <c r="DF492" s="567"/>
      <c r="DG492" s="567"/>
      <c r="DH492" s="567"/>
      <c r="DI492" s="567"/>
      <c r="DJ492" s="567"/>
      <c r="DK492" s="567"/>
      <c r="DL492" s="567"/>
      <c r="DM492" s="567"/>
      <c r="DN492" s="567"/>
      <c r="DO492" s="567"/>
      <c r="DP492" s="567"/>
      <c r="DQ492" s="567"/>
    </row>
    <row r="493" spans="1:121" s="487" customFormat="1">
      <c r="A493" s="588"/>
      <c r="B493" s="588"/>
      <c r="C493" s="588"/>
      <c r="D493" s="588"/>
      <c r="E493" s="588"/>
      <c r="F493" s="588"/>
      <c r="G493" s="588"/>
      <c r="H493" s="588"/>
      <c r="I493" s="588"/>
      <c r="J493" s="588"/>
      <c r="K493" s="588"/>
      <c r="L493" s="702"/>
      <c r="M493" s="888"/>
      <c r="N493" s="888"/>
      <c r="O493" s="888"/>
      <c r="P493" s="888"/>
      <c r="Q493" s="888"/>
      <c r="R493" s="888"/>
      <c r="S493" s="888"/>
      <c r="T493" s="888"/>
      <c r="U493" s="888"/>
      <c r="V493" s="888"/>
      <c r="W493" s="888"/>
      <c r="X493" s="888"/>
      <c r="Y493" s="888"/>
      <c r="Z493" s="888"/>
      <c r="AA493" s="888"/>
      <c r="AB493" s="888"/>
      <c r="AC493" s="888"/>
      <c r="AD493" s="888"/>
      <c r="AE493" s="888"/>
      <c r="AF493" s="888"/>
      <c r="AG493" s="888"/>
      <c r="AH493" s="888"/>
      <c r="AI493" s="888"/>
      <c r="AJ493" s="888"/>
      <c r="AK493" s="888"/>
      <c r="AL493" s="888"/>
      <c r="AM493" s="888"/>
      <c r="AN493" s="888"/>
      <c r="AO493" s="888"/>
      <c r="AP493" s="888"/>
      <c r="AQ493" s="888"/>
      <c r="AR493" s="888"/>
      <c r="AS493" s="888"/>
      <c r="AT493" s="888"/>
      <c r="AU493" s="888"/>
      <c r="AV493" s="888"/>
      <c r="AW493" s="888"/>
      <c r="AX493" s="888"/>
      <c r="AY493" s="888"/>
      <c r="AZ493" s="567"/>
      <c r="BA493" s="567"/>
      <c r="BB493" s="567"/>
      <c r="BC493" s="567"/>
      <c r="BD493" s="567"/>
      <c r="BE493" s="567"/>
      <c r="BF493" s="567"/>
      <c r="BG493" s="567"/>
      <c r="BH493" s="567"/>
      <c r="BI493" s="567"/>
      <c r="BJ493" s="567"/>
      <c r="BK493" s="567"/>
      <c r="BL493" s="567"/>
      <c r="BM493" s="567"/>
      <c r="BN493" s="567"/>
      <c r="BO493" s="567"/>
      <c r="BP493" s="567"/>
      <c r="BQ493" s="567"/>
      <c r="BR493" s="567"/>
      <c r="BS493" s="567"/>
      <c r="BT493" s="567"/>
      <c r="BU493" s="567"/>
      <c r="BV493" s="567"/>
      <c r="BW493" s="567"/>
      <c r="BX493" s="567"/>
      <c r="BY493" s="567"/>
      <c r="BZ493" s="567"/>
      <c r="CA493" s="567"/>
      <c r="CB493" s="567"/>
      <c r="CC493" s="567"/>
      <c r="CD493" s="567"/>
      <c r="CE493" s="567"/>
      <c r="CF493" s="567"/>
      <c r="CG493" s="567"/>
      <c r="CH493" s="567"/>
      <c r="CI493" s="567"/>
      <c r="CJ493" s="567"/>
      <c r="CK493" s="567"/>
      <c r="CL493" s="567"/>
      <c r="CM493" s="567"/>
      <c r="CN493" s="567"/>
      <c r="CO493" s="567"/>
      <c r="CP493" s="567"/>
      <c r="CQ493" s="567"/>
      <c r="CR493" s="567"/>
      <c r="CS493" s="567"/>
      <c r="CT493" s="567"/>
      <c r="CU493" s="567"/>
      <c r="CV493" s="567"/>
      <c r="CW493" s="567"/>
      <c r="CX493" s="567"/>
      <c r="CY493" s="567"/>
      <c r="CZ493" s="567"/>
      <c r="DA493" s="567"/>
      <c r="DB493" s="567"/>
      <c r="DC493" s="567"/>
      <c r="DD493" s="567"/>
      <c r="DE493" s="567"/>
      <c r="DF493" s="567"/>
      <c r="DG493" s="567"/>
      <c r="DH493" s="567"/>
      <c r="DI493" s="567"/>
      <c r="DJ493" s="567"/>
      <c r="DK493" s="567"/>
      <c r="DL493" s="567"/>
      <c r="DM493" s="567"/>
      <c r="DN493" s="567"/>
      <c r="DO493" s="567"/>
      <c r="DP493" s="567"/>
      <c r="DQ493" s="567"/>
    </row>
    <row r="494" spans="1:121" s="487" customFormat="1">
      <c r="A494" s="588"/>
      <c r="B494" s="588"/>
      <c r="C494" s="588"/>
      <c r="D494" s="588"/>
      <c r="E494" s="588"/>
      <c r="F494" s="588"/>
      <c r="G494" s="588"/>
      <c r="H494" s="588"/>
      <c r="I494" s="588"/>
      <c r="J494" s="588"/>
      <c r="K494" s="588"/>
      <c r="L494" s="702"/>
      <c r="M494" s="888"/>
      <c r="N494" s="888"/>
      <c r="O494" s="888"/>
      <c r="P494" s="888"/>
      <c r="Q494" s="888"/>
      <c r="R494" s="888"/>
      <c r="S494" s="888"/>
      <c r="T494" s="888"/>
      <c r="U494" s="888"/>
      <c r="V494" s="888"/>
      <c r="W494" s="888"/>
      <c r="X494" s="888"/>
      <c r="Y494" s="888"/>
      <c r="Z494" s="888"/>
      <c r="AA494" s="888"/>
      <c r="AB494" s="888"/>
      <c r="AC494" s="888"/>
      <c r="AD494" s="888"/>
      <c r="AE494" s="888"/>
      <c r="AF494" s="888"/>
      <c r="AG494" s="888"/>
      <c r="AH494" s="888"/>
      <c r="AI494" s="888"/>
      <c r="AJ494" s="888"/>
      <c r="AK494" s="888"/>
      <c r="AL494" s="888"/>
      <c r="AM494" s="888"/>
      <c r="AN494" s="888"/>
      <c r="AO494" s="888"/>
      <c r="AP494" s="888"/>
      <c r="AQ494" s="888"/>
      <c r="AR494" s="888"/>
      <c r="AS494" s="888"/>
      <c r="AT494" s="888"/>
      <c r="AU494" s="888"/>
      <c r="AV494" s="888"/>
      <c r="AW494" s="888"/>
      <c r="AX494" s="888"/>
      <c r="AY494" s="888"/>
      <c r="AZ494" s="567"/>
      <c r="BA494" s="567"/>
      <c r="BB494" s="567"/>
      <c r="BC494" s="567"/>
      <c r="BD494" s="567"/>
      <c r="BE494" s="567"/>
      <c r="BF494" s="567"/>
      <c r="BG494" s="567"/>
      <c r="BH494" s="567"/>
      <c r="BI494" s="567"/>
      <c r="BJ494" s="567"/>
      <c r="BK494" s="567"/>
      <c r="BL494" s="567"/>
      <c r="BM494" s="567"/>
      <c r="BN494" s="567"/>
      <c r="BO494" s="567"/>
      <c r="BP494" s="567"/>
      <c r="BQ494" s="567"/>
      <c r="BR494" s="567"/>
      <c r="BS494" s="567"/>
      <c r="BT494" s="567"/>
      <c r="BU494" s="567"/>
      <c r="BV494" s="567"/>
      <c r="BW494" s="567"/>
      <c r="BX494" s="567"/>
      <c r="BY494" s="567"/>
      <c r="BZ494" s="567"/>
      <c r="CA494" s="567"/>
      <c r="CB494" s="567"/>
      <c r="CC494" s="567"/>
      <c r="CD494" s="567"/>
      <c r="CE494" s="567"/>
      <c r="CF494" s="567"/>
      <c r="CG494" s="567"/>
      <c r="CH494" s="567"/>
      <c r="CI494" s="567"/>
      <c r="CJ494" s="567"/>
      <c r="CK494" s="567"/>
      <c r="CL494" s="567"/>
      <c r="CM494" s="567"/>
      <c r="CN494" s="567"/>
      <c r="CO494" s="567"/>
      <c r="CP494" s="567"/>
      <c r="CQ494" s="567"/>
      <c r="CR494" s="567"/>
      <c r="CS494" s="567"/>
      <c r="CT494" s="567"/>
      <c r="CU494" s="567"/>
      <c r="CV494" s="567"/>
      <c r="CW494" s="567"/>
      <c r="CX494" s="567"/>
      <c r="CY494" s="567"/>
      <c r="CZ494" s="567"/>
      <c r="DA494" s="567"/>
      <c r="DB494" s="567"/>
      <c r="DC494" s="567"/>
      <c r="DD494" s="567"/>
      <c r="DE494" s="567"/>
      <c r="DF494" s="567"/>
      <c r="DG494" s="567"/>
      <c r="DH494" s="567"/>
      <c r="DI494" s="567"/>
      <c r="DJ494" s="567"/>
      <c r="DK494" s="567"/>
      <c r="DL494" s="567"/>
      <c r="DM494" s="567"/>
      <c r="DN494" s="567"/>
      <c r="DO494" s="567"/>
      <c r="DP494" s="567"/>
      <c r="DQ494" s="567"/>
    </row>
    <row r="495" spans="1:121" s="487" customFormat="1">
      <c r="A495" s="588"/>
      <c r="B495" s="588"/>
      <c r="C495" s="588"/>
      <c r="D495" s="588"/>
      <c r="E495" s="588"/>
      <c r="F495" s="588"/>
      <c r="G495" s="588"/>
      <c r="H495" s="588"/>
      <c r="I495" s="588"/>
      <c r="J495" s="588"/>
      <c r="K495" s="588"/>
      <c r="L495" s="702"/>
      <c r="M495" s="888"/>
      <c r="N495" s="888"/>
      <c r="O495" s="888"/>
      <c r="P495" s="888"/>
      <c r="Q495" s="888"/>
      <c r="R495" s="888"/>
      <c r="S495" s="888"/>
      <c r="T495" s="888"/>
      <c r="U495" s="888"/>
      <c r="V495" s="888"/>
      <c r="W495" s="888"/>
      <c r="X495" s="888"/>
      <c r="Y495" s="888"/>
      <c r="Z495" s="888"/>
      <c r="AA495" s="888"/>
      <c r="AB495" s="888"/>
      <c r="AC495" s="888"/>
      <c r="AD495" s="888"/>
      <c r="AE495" s="888"/>
      <c r="AF495" s="888"/>
      <c r="AG495" s="888"/>
      <c r="AH495" s="888"/>
      <c r="AI495" s="888"/>
      <c r="AJ495" s="888"/>
      <c r="AK495" s="888"/>
      <c r="AL495" s="888"/>
      <c r="AM495" s="888"/>
      <c r="AN495" s="888"/>
      <c r="AO495" s="888"/>
      <c r="AP495" s="888"/>
      <c r="AQ495" s="888"/>
      <c r="AR495" s="888"/>
      <c r="AS495" s="888"/>
      <c r="AT495" s="888"/>
      <c r="AU495" s="888"/>
      <c r="AV495" s="888"/>
      <c r="AW495" s="888"/>
      <c r="AX495" s="888"/>
      <c r="AY495" s="888"/>
      <c r="AZ495" s="567"/>
      <c r="BA495" s="567"/>
      <c r="BB495" s="567"/>
      <c r="BC495" s="567"/>
      <c r="BD495" s="567"/>
      <c r="BE495" s="567"/>
      <c r="BF495" s="567"/>
      <c r="BG495" s="567"/>
      <c r="BH495" s="567"/>
      <c r="BI495" s="567"/>
      <c r="BJ495" s="567"/>
      <c r="BK495" s="567"/>
      <c r="BL495" s="567"/>
      <c r="BM495" s="567"/>
      <c r="BN495" s="567"/>
      <c r="BO495" s="567"/>
      <c r="BP495" s="567"/>
      <c r="BQ495" s="567"/>
      <c r="BR495" s="567"/>
      <c r="BS495" s="567"/>
      <c r="BT495" s="567"/>
      <c r="BU495" s="567"/>
      <c r="BV495" s="567"/>
      <c r="BW495" s="567"/>
      <c r="BX495" s="567"/>
      <c r="BY495" s="567"/>
      <c r="BZ495" s="567"/>
      <c r="CA495" s="567"/>
      <c r="CB495" s="567"/>
      <c r="CC495" s="567"/>
      <c r="CD495" s="567"/>
      <c r="CE495" s="567"/>
      <c r="CF495" s="567"/>
      <c r="CG495" s="567"/>
      <c r="CH495" s="567"/>
      <c r="CI495" s="567"/>
      <c r="CJ495" s="567"/>
      <c r="CK495" s="567"/>
      <c r="CL495" s="567"/>
      <c r="CM495" s="567"/>
      <c r="CN495" s="567"/>
      <c r="CO495" s="567"/>
      <c r="CP495" s="567"/>
      <c r="CQ495" s="567"/>
      <c r="CR495" s="567"/>
      <c r="CS495" s="567"/>
      <c r="CT495" s="567"/>
      <c r="CU495" s="567"/>
      <c r="CV495" s="567"/>
      <c r="CW495" s="567"/>
      <c r="CX495" s="567"/>
      <c r="CY495" s="567"/>
      <c r="CZ495" s="567"/>
      <c r="DA495" s="567"/>
      <c r="DB495" s="567"/>
      <c r="DC495" s="567"/>
      <c r="DD495" s="567"/>
      <c r="DE495" s="567"/>
      <c r="DF495" s="567"/>
      <c r="DG495" s="567"/>
      <c r="DH495" s="567"/>
      <c r="DI495" s="567"/>
      <c r="DJ495" s="567"/>
      <c r="DK495" s="567"/>
      <c r="DL495" s="567"/>
      <c r="DM495" s="567"/>
      <c r="DN495" s="567"/>
      <c r="DO495" s="567"/>
      <c r="DP495" s="567"/>
      <c r="DQ495" s="567"/>
    </row>
    <row r="496" spans="1:121" s="487" customFormat="1">
      <c r="A496" s="588"/>
      <c r="B496" s="588"/>
      <c r="C496" s="588"/>
      <c r="D496" s="588"/>
      <c r="E496" s="588"/>
      <c r="F496" s="588"/>
      <c r="G496" s="588"/>
      <c r="H496" s="588"/>
      <c r="I496" s="588"/>
      <c r="J496" s="588"/>
      <c r="K496" s="588"/>
      <c r="L496" s="702"/>
      <c r="M496" s="888"/>
      <c r="N496" s="888"/>
      <c r="O496" s="888"/>
      <c r="P496" s="888"/>
      <c r="Q496" s="888"/>
      <c r="R496" s="888"/>
      <c r="S496" s="888"/>
      <c r="T496" s="888"/>
      <c r="U496" s="888"/>
      <c r="V496" s="888"/>
      <c r="W496" s="888"/>
      <c r="X496" s="888"/>
      <c r="Y496" s="888"/>
      <c r="Z496" s="888"/>
      <c r="AA496" s="888"/>
      <c r="AB496" s="888"/>
      <c r="AC496" s="888"/>
      <c r="AD496" s="888"/>
      <c r="AE496" s="888"/>
      <c r="AF496" s="888"/>
      <c r="AG496" s="888"/>
      <c r="AH496" s="888"/>
      <c r="AI496" s="888"/>
      <c r="AJ496" s="888"/>
      <c r="AK496" s="888"/>
      <c r="AL496" s="888"/>
      <c r="AM496" s="888"/>
      <c r="AN496" s="888"/>
      <c r="AO496" s="888"/>
      <c r="AP496" s="888"/>
      <c r="AQ496" s="888"/>
      <c r="AR496" s="888"/>
      <c r="AS496" s="888"/>
      <c r="AT496" s="888"/>
      <c r="AU496" s="888"/>
      <c r="AV496" s="888"/>
      <c r="AW496" s="888"/>
      <c r="AX496" s="888"/>
      <c r="AY496" s="888"/>
      <c r="AZ496" s="567"/>
      <c r="BA496" s="567"/>
      <c r="BB496" s="567"/>
      <c r="BC496" s="567"/>
      <c r="BD496" s="567"/>
      <c r="BE496" s="567"/>
      <c r="BF496" s="567"/>
      <c r="BG496" s="567"/>
      <c r="BH496" s="567"/>
      <c r="BI496" s="567"/>
      <c r="BJ496" s="567"/>
      <c r="BK496" s="567"/>
      <c r="BL496" s="567"/>
      <c r="BM496" s="567"/>
      <c r="BN496" s="567"/>
      <c r="BO496" s="567"/>
      <c r="BP496" s="567"/>
      <c r="BQ496" s="567"/>
      <c r="BR496" s="567"/>
      <c r="BS496" s="567"/>
      <c r="BT496" s="567"/>
      <c r="BU496" s="567"/>
      <c r="BV496" s="567"/>
      <c r="BW496" s="567"/>
      <c r="BX496" s="567"/>
      <c r="BY496" s="567"/>
      <c r="BZ496" s="567"/>
      <c r="CA496" s="567"/>
      <c r="CB496" s="567"/>
      <c r="CC496" s="567"/>
      <c r="CD496" s="567"/>
      <c r="CE496" s="567"/>
      <c r="CF496" s="567"/>
      <c r="CG496" s="567"/>
      <c r="CH496" s="567"/>
      <c r="CI496" s="567"/>
      <c r="CJ496" s="567"/>
      <c r="CK496" s="567"/>
      <c r="CL496" s="567"/>
      <c r="CM496" s="567"/>
      <c r="CN496" s="567"/>
      <c r="CO496" s="567"/>
      <c r="CP496" s="567"/>
      <c r="CQ496" s="567"/>
      <c r="CR496" s="567"/>
      <c r="CS496" s="567"/>
      <c r="CT496" s="567"/>
      <c r="CU496" s="567"/>
      <c r="CV496" s="567"/>
      <c r="CW496" s="567"/>
      <c r="CX496" s="567"/>
      <c r="CY496" s="567"/>
      <c r="CZ496" s="567"/>
      <c r="DA496" s="567"/>
      <c r="DB496" s="567"/>
      <c r="DC496" s="567"/>
      <c r="DD496" s="567"/>
      <c r="DE496" s="567"/>
      <c r="DF496" s="567"/>
      <c r="DG496" s="567"/>
      <c r="DH496" s="567"/>
      <c r="DI496" s="567"/>
      <c r="DJ496" s="567"/>
      <c r="DK496" s="567"/>
      <c r="DL496" s="567"/>
      <c r="DM496" s="567"/>
      <c r="DN496" s="567"/>
      <c r="DO496" s="567"/>
      <c r="DP496" s="567"/>
      <c r="DQ496" s="567"/>
    </row>
    <row r="497" spans="1:121" s="487" customFormat="1">
      <c r="A497" s="588"/>
      <c r="B497" s="588"/>
      <c r="C497" s="588"/>
      <c r="D497" s="588"/>
      <c r="E497" s="588"/>
      <c r="F497" s="588"/>
      <c r="G497" s="588"/>
      <c r="H497" s="588"/>
      <c r="I497" s="588"/>
      <c r="J497" s="588"/>
      <c r="K497" s="588"/>
      <c r="L497" s="702"/>
      <c r="M497" s="888"/>
      <c r="N497" s="888"/>
      <c r="O497" s="888"/>
      <c r="P497" s="888"/>
      <c r="Q497" s="888"/>
      <c r="R497" s="888"/>
      <c r="S497" s="888"/>
      <c r="T497" s="888"/>
      <c r="U497" s="888"/>
      <c r="V497" s="888"/>
      <c r="W497" s="888"/>
      <c r="X497" s="888"/>
      <c r="Y497" s="888"/>
      <c r="Z497" s="888"/>
      <c r="AA497" s="888"/>
      <c r="AB497" s="888"/>
      <c r="AC497" s="888"/>
      <c r="AD497" s="888"/>
      <c r="AE497" s="888"/>
      <c r="AF497" s="888"/>
      <c r="AG497" s="888"/>
      <c r="AH497" s="888"/>
      <c r="AI497" s="888"/>
      <c r="AJ497" s="888"/>
      <c r="AK497" s="888"/>
      <c r="AL497" s="888"/>
      <c r="AM497" s="888"/>
      <c r="AN497" s="888"/>
      <c r="AO497" s="888"/>
      <c r="AP497" s="888"/>
      <c r="AQ497" s="888"/>
      <c r="AR497" s="888"/>
      <c r="AS497" s="888"/>
      <c r="AT497" s="888"/>
      <c r="AU497" s="888"/>
      <c r="AV497" s="888"/>
      <c r="AW497" s="888"/>
      <c r="AX497" s="888"/>
      <c r="AY497" s="888"/>
      <c r="AZ497" s="567"/>
      <c r="BA497" s="567"/>
      <c r="BB497" s="567"/>
      <c r="BC497" s="567"/>
      <c r="BD497" s="567"/>
      <c r="BE497" s="567"/>
      <c r="BF497" s="567"/>
      <c r="BG497" s="567"/>
      <c r="BH497" s="567"/>
      <c r="BI497" s="567"/>
      <c r="BJ497" s="567"/>
      <c r="BK497" s="567"/>
      <c r="BL497" s="567"/>
      <c r="BM497" s="567"/>
      <c r="BN497" s="567"/>
      <c r="BO497" s="567"/>
      <c r="BP497" s="567"/>
      <c r="BQ497" s="567"/>
      <c r="BR497" s="567"/>
      <c r="BS497" s="567"/>
      <c r="BT497" s="567"/>
      <c r="BU497" s="567"/>
      <c r="BV497" s="567"/>
      <c r="BW497" s="567"/>
      <c r="BX497" s="567"/>
      <c r="BY497" s="567"/>
      <c r="BZ497" s="567"/>
      <c r="CA497" s="567"/>
      <c r="CB497" s="567"/>
      <c r="CC497" s="567"/>
      <c r="CD497" s="567"/>
      <c r="CE497" s="567"/>
      <c r="CF497" s="567"/>
      <c r="CG497" s="567"/>
      <c r="CH497" s="567"/>
      <c r="CI497" s="567"/>
      <c r="CJ497" s="567"/>
      <c r="CK497" s="567"/>
      <c r="CL497" s="567"/>
      <c r="CM497" s="567"/>
      <c r="CN497" s="567"/>
      <c r="CO497" s="567"/>
      <c r="CP497" s="567"/>
      <c r="CQ497" s="567"/>
      <c r="CR497" s="567"/>
      <c r="CS497" s="567"/>
      <c r="CT497" s="567"/>
      <c r="CU497" s="567"/>
      <c r="CV497" s="567"/>
      <c r="CW497" s="567"/>
      <c r="CX497" s="567"/>
      <c r="CY497" s="567"/>
      <c r="CZ497" s="567"/>
      <c r="DA497" s="567"/>
      <c r="DB497" s="567"/>
      <c r="DC497" s="567"/>
      <c r="DD497" s="567"/>
      <c r="DE497" s="567"/>
      <c r="DF497" s="567"/>
      <c r="DG497" s="567"/>
      <c r="DH497" s="567"/>
      <c r="DI497" s="567"/>
      <c r="DJ497" s="567"/>
      <c r="DK497" s="567"/>
      <c r="DL497" s="567"/>
      <c r="DM497" s="567"/>
      <c r="DN497" s="567"/>
      <c r="DO497" s="567"/>
      <c r="DP497" s="567"/>
      <c r="DQ497" s="567"/>
    </row>
    <row r="498" spans="1:121" s="487" customFormat="1">
      <c r="A498" s="588"/>
      <c r="B498" s="588"/>
      <c r="C498" s="588"/>
      <c r="D498" s="588"/>
      <c r="E498" s="588"/>
      <c r="F498" s="588"/>
      <c r="G498" s="588"/>
      <c r="H498" s="588"/>
      <c r="I498" s="588"/>
      <c r="J498" s="588"/>
      <c r="K498" s="588"/>
      <c r="L498" s="702"/>
      <c r="M498" s="888"/>
      <c r="N498" s="888"/>
      <c r="O498" s="888"/>
      <c r="P498" s="888"/>
      <c r="Q498" s="888"/>
      <c r="R498" s="888"/>
      <c r="S498" s="888"/>
      <c r="T498" s="888"/>
      <c r="U498" s="888"/>
      <c r="V498" s="888"/>
      <c r="W498" s="888"/>
      <c r="X498" s="888"/>
      <c r="Y498" s="888"/>
      <c r="Z498" s="888"/>
      <c r="AA498" s="888"/>
      <c r="AB498" s="888"/>
      <c r="AC498" s="888"/>
      <c r="AD498" s="888"/>
      <c r="AE498" s="888"/>
      <c r="AF498" s="888"/>
      <c r="AG498" s="888"/>
      <c r="AH498" s="888"/>
      <c r="AI498" s="888"/>
      <c r="AJ498" s="888"/>
      <c r="AK498" s="888"/>
      <c r="AL498" s="888"/>
      <c r="AM498" s="888"/>
      <c r="AN498" s="888"/>
      <c r="AO498" s="888"/>
      <c r="AP498" s="888"/>
      <c r="AQ498" s="888"/>
      <c r="AR498" s="888"/>
      <c r="AS498" s="888"/>
      <c r="AT498" s="888"/>
      <c r="AU498" s="888"/>
      <c r="AV498" s="888"/>
      <c r="AW498" s="888"/>
      <c r="AX498" s="888"/>
      <c r="AY498" s="888"/>
      <c r="AZ498" s="567"/>
      <c r="BA498" s="567"/>
      <c r="BB498" s="567"/>
      <c r="BC498" s="567"/>
      <c r="BD498" s="567"/>
      <c r="BE498" s="567"/>
      <c r="BF498" s="567"/>
      <c r="BG498" s="567"/>
      <c r="BH498" s="567"/>
      <c r="BI498" s="567"/>
      <c r="BJ498" s="567"/>
      <c r="BK498" s="567"/>
      <c r="BL498" s="567"/>
      <c r="BM498" s="567"/>
      <c r="BN498" s="567"/>
      <c r="BO498" s="567"/>
      <c r="BP498" s="567"/>
      <c r="BQ498" s="567"/>
      <c r="BR498" s="567"/>
      <c r="BS498" s="567"/>
      <c r="BT498" s="567"/>
      <c r="BU498" s="567"/>
      <c r="BV498" s="567"/>
      <c r="BW498" s="567"/>
      <c r="BX498" s="567"/>
      <c r="BY498" s="567"/>
      <c r="BZ498" s="567"/>
      <c r="CA498" s="567"/>
      <c r="CB498" s="567"/>
      <c r="CC498" s="567"/>
      <c r="CD498" s="567"/>
      <c r="CE498" s="567"/>
      <c r="CF498" s="567"/>
      <c r="CG498" s="567"/>
      <c r="CH498" s="567"/>
      <c r="CI498" s="567"/>
      <c r="CJ498" s="567"/>
      <c r="CK498" s="567"/>
      <c r="CL498" s="567"/>
      <c r="CM498" s="567"/>
      <c r="CN498" s="567"/>
      <c r="CO498" s="567"/>
      <c r="CP498" s="567"/>
      <c r="CQ498" s="567"/>
      <c r="CR498" s="567"/>
      <c r="CS498" s="567"/>
      <c r="CT498" s="567"/>
      <c r="CU498" s="567"/>
      <c r="CV498" s="567"/>
      <c r="CW498" s="567"/>
      <c r="CX498" s="567"/>
      <c r="CY498" s="567"/>
      <c r="CZ498" s="567"/>
      <c r="DA498" s="567"/>
      <c r="DB498" s="567"/>
      <c r="DC498" s="567"/>
      <c r="DD498" s="567"/>
      <c r="DE498" s="567"/>
      <c r="DF498" s="567"/>
      <c r="DG498" s="567"/>
      <c r="DH498" s="567"/>
      <c r="DI498" s="567"/>
      <c r="DJ498" s="567"/>
      <c r="DK498" s="567"/>
      <c r="DL498" s="567"/>
      <c r="DM498" s="567"/>
      <c r="DN498" s="567"/>
      <c r="DO498" s="567"/>
      <c r="DP498" s="567"/>
      <c r="DQ498" s="567"/>
    </row>
    <row r="499" spans="1:121" s="487" customFormat="1">
      <c r="A499" s="588"/>
      <c r="B499" s="588"/>
      <c r="C499" s="588"/>
      <c r="D499" s="588"/>
      <c r="E499" s="588"/>
      <c r="F499" s="588"/>
      <c r="G499" s="588"/>
      <c r="H499" s="588"/>
      <c r="I499" s="588"/>
      <c r="J499" s="588"/>
      <c r="K499" s="588"/>
      <c r="L499" s="702"/>
      <c r="M499" s="888"/>
      <c r="N499" s="888"/>
      <c r="O499" s="888"/>
      <c r="P499" s="888"/>
      <c r="Q499" s="888"/>
      <c r="R499" s="888"/>
      <c r="S499" s="888"/>
      <c r="T499" s="888"/>
      <c r="U499" s="888"/>
      <c r="V499" s="888"/>
      <c r="W499" s="888"/>
      <c r="X499" s="888"/>
      <c r="Y499" s="888"/>
      <c r="Z499" s="888"/>
      <c r="AA499" s="888"/>
      <c r="AB499" s="888"/>
      <c r="AC499" s="888"/>
      <c r="AD499" s="888"/>
      <c r="AE499" s="888"/>
      <c r="AF499" s="888"/>
      <c r="AG499" s="888"/>
      <c r="AH499" s="888"/>
      <c r="AI499" s="888"/>
      <c r="AJ499" s="888"/>
      <c r="AK499" s="888"/>
      <c r="AL499" s="888"/>
      <c r="AM499" s="888"/>
      <c r="AN499" s="888"/>
      <c r="AO499" s="888"/>
      <c r="AP499" s="888"/>
      <c r="AQ499" s="888"/>
      <c r="AR499" s="888"/>
      <c r="AS499" s="888"/>
      <c r="AT499" s="888"/>
      <c r="AU499" s="888"/>
      <c r="AV499" s="888"/>
      <c r="AW499" s="888"/>
      <c r="AX499" s="888"/>
      <c r="AY499" s="888"/>
      <c r="AZ499" s="567"/>
      <c r="BA499" s="567"/>
      <c r="BB499" s="567"/>
      <c r="BC499" s="567"/>
      <c r="BD499" s="567"/>
      <c r="BE499" s="567"/>
      <c r="BF499" s="567"/>
      <c r="BG499" s="567"/>
      <c r="BH499" s="567"/>
      <c r="BI499" s="567"/>
      <c r="BJ499" s="567"/>
      <c r="BK499" s="567"/>
      <c r="BL499" s="567"/>
      <c r="BM499" s="567"/>
      <c r="BN499" s="567"/>
      <c r="BO499" s="567"/>
      <c r="BP499" s="567"/>
      <c r="BQ499" s="567"/>
      <c r="BR499" s="567"/>
      <c r="BS499" s="567"/>
      <c r="BT499" s="567"/>
      <c r="BU499" s="567"/>
      <c r="BV499" s="567"/>
      <c r="BW499" s="567"/>
      <c r="BX499" s="567"/>
      <c r="BY499" s="567"/>
      <c r="BZ499" s="567"/>
      <c r="CA499" s="567"/>
      <c r="CB499" s="567"/>
      <c r="CC499" s="567"/>
      <c r="CD499" s="567"/>
      <c r="CE499" s="567"/>
      <c r="CF499" s="567"/>
      <c r="CG499" s="567"/>
      <c r="CH499" s="567"/>
      <c r="CI499" s="567"/>
      <c r="CJ499" s="567"/>
      <c r="CK499" s="567"/>
      <c r="CL499" s="567"/>
      <c r="CM499" s="567"/>
      <c r="CN499" s="567"/>
      <c r="CO499" s="567"/>
      <c r="CP499" s="567"/>
      <c r="CQ499" s="567"/>
      <c r="CR499" s="567"/>
      <c r="CS499" s="567"/>
      <c r="CT499" s="567"/>
      <c r="CU499" s="567"/>
      <c r="CV499" s="567"/>
      <c r="CW499" s="567"/>
      <c r="CX499" s="567"/>
      <c r="CY499" s="567"/>
      <c r="CZ499" s="567"/>
      <c r="DA499" s="567"/>
      <c r="DB499" s="567"/>
      <c r="DC499" s="567"/>
      <c r="DD499" s="567"/>
      <c r="DE499" s="567"/>
      <c r="DF499" s="567"/>
      <c r="DG499" s="567"/>
      <c r="DH499" s="567"/>
      <c r="DI499" s="567"/>
      <c r="DJ499" s="567"/>
      <c r="DK499" s="567"/>
      <c r="DL499" s="567"/>
      <c r="DM499" s="567"/>
      <c r="DN499" s="567"/>
      <c r="DO499" s="567"/>
      <c r="DP499" s="567"/>
      <c r="DQ499" s="567"/>
    </row>
    <row r="500" spans="1:121" s="487" customFormat="1">
      <c r="A500" s="588"/>
      <c r="B500" s="588"/>
      <c r="C500" s="588"/>
      <c r="D500" s="588"/>
      <c r="E500" s="588"/>
      <c r="F500" s="588"/>
      <c r="G500" s="588"/>
      <c r="H500" s="588"/>
      <c r="I500" s="588"/>
      <c r="J500" s="588"/>
      <c r="K500" s="588"/>
      <c r="L500" s="702"/>
      <c r="M500" s="888"/>
      <c r="N500" s="888"/>
      <c r="O500" s="888"/>
      <c r="P500" s="888"/>
      <c r="Q500" s="888"/>
      <c r="R500" s="888"/>
      <c r="S500" s="888"/>
      <c r="T500" s="888"/>
      <c r="U500" s="888"/>
      <c r="V500" s="888"/>
      <c r="W500" s="888"/>
      <c r="X500" s="888"/>
      <c r="Y500" s="888"/>
      <c r="Z500" s="888"/>
      <c r="AA500" s="888"/>
      <c r="AB500" s="888"/>
      <c r="AC500" s="888"/>
      <c r="AD500" s="888"/>
      <c r="AE500" s="888"/>
      <c r="AF500" s="888"/>
      <c r="AG500" s="888"/>
      <c r="AH500" s="888"/>
      <c r="AI500" s="888"/>
      <c r="AJ500" s="888"/>
      <c r="AK500" s="888"/>
      <c r="AL500" s="888"/>
      <c r="AM500" s="888"/>
      <c r="AN500" s="888"/>
      <c r="AO500" s="888"/>
      <c r="AP500" s="888"/>
      <c r="AQ500" s="888"/>
      <c r="AR500" s="888"/>
      <c r="AS500" s="888"/>
      <c r="AT500" s="888"/>
      <c r="AU500" s="888"/>
      <c r="AV500" s="888"/>
      <c r="AW500" s="888"/>
      <c r="AX500" s="888"/>
      <c r="AY500" s="888"/>
      <c r="AZ500" s="567"/>
      <c r="BA500" s="567"/>
      <c r="BB500" s="567"/>
      <c r="BC500" s="567"/>
      <c r="BD500" s="567"/>
      <c r="BE500" s="567"/>
      <c r="BF500" s="567"/>
      <c r="BG500" s="567"/>
      <c r="BH500" s="567"/>
      <c r="BI500" s="567"/>
      <c r="BJ500" s="567"/>
      <c r="BK500" s="567"/>
      <c r="BL500" s="567"/>
      <c r="BM500" s="567"/>
      <c r="BN500" s="567"/>
      <c r="BO500" s="567"/>
      <c r="BP500" s="567"/>
      <c r="BQ500" s="567"/>
      <c r="BR500" s="567"/>
      <c r="BS500" s="567"/>
      <c r="BT500" s="567"/>
      <c r="BU500" s="567"/>
      <c r="BV500" s="567"/>
      <c r="BW500" s="567"/>
      <c r="BX500" s="567"/>
      <c r="BY500" s="567"/>
      <c r="BZ500" s="567"/>
      <c r="CA500" s="567"/>
      <c r="CB500" s="567"/>
      <c r="CC500" s="567"/>
      <c r="CD500" s="567"/>
      <c r="CE500" s="567"/>
      <c r="CF500" s="567"/>
      <c r="CG500" s="567"/>
      <c r="CH500" s="567"/>
      <c r="CI500" s="567"/>
      <c r="CJ500" s="567"/>
      <c r="CK500" s="567"/>
      <c r="CL500" s="567"/>
      <c r="CM500" s="567"/>
      <c r="CN500" s="567"/>
      <c r="CO500" s="567"/>
      <c r="CP500" s="567"/>
      <c r="CQ500" s="567"/>
      <c r="CR500" s="567"/>
      <c r="CS500" s="567"/>
      <c r="CT500" s="567"/>
      <c r="CU500" s="567"/>
      <c r="CV500" s="567"/>
      <c r="CW500" s="567"/>
      <c r="CX500" s="567"/>
      <c r="CY500" s="567"/>
      <c r="CZ500" s="567"/>
      <c r="DA500" s="567"/>
      <c r="DB500" s="567"/>
      <c r="DC500" s="567"/>
      <c r="DD500" s="567"/>
      <c r="DE500" s="567"/>
      <c r="DF500" s="567"/>
      <c r="DG500" s="567"/>
      <c r="DH500" s="567"/>
      <c r="DI500" s="567"/>
      <c r="DJ500" s="567"/>
      <c r="DK500" s="567"/>
      <c r="DL500" s="567"/>
      <c r="DM500" s="567"/>
      <c r="DN500" s="567"/>
      <c r="DO500" s="567"/>
      <c r="DP500" s="567"/>
      <c r="DQ500" s="567"/>
    </row>
    <row r="501" spans="1:121" s="487" customFormat="1">
      <c r="A501" s="588"/>
      <c r="B501" s="588"/>
      <c r="C501" s="588"/>
      <c r="D501" s="588"/>
      <c r="E501" s="588"/>
      <c r="F501" s="588"/>
      <c r="G501" s="588"/>
      <c r="H501" s="588"/>
      <c r="I501" s="588"/>
      <c r="J501" s="588"/>
      <c r="K501" s="588"/>
      <c r="L501" s="702"/>
      <c r="M501" s="888"/>
      <c r="N501" s="888"/>
      <c r="O501" s="888"/>
      <c r="P501" s="888"/>
      <c r="Q501" s="888"/>
      <c r="R501" s="888"/>
      <c r="S501" s="888"/>
      <c r="T501" s="888"/>
      <c r="U501" s="888"/>
      <c r="V501" s="888"/>
      <c r="W501" s="888"/>
      <c r="X501" s="888"/>
      <c r="Y501" s="888"/>
      <c r="Z501" s="888"/>
      <c r="AA501" s="888"/>
      <c r="AB501" s="888"/>
      <c r="AC501" s="888"/>
      <c r="AD501" s="888"/>
      <c r="AE501" s="888"/>
      <c r="AF501" s="888"/>
      <c r="AG501" s="888"/>
      <c r="AH501" s="888"/>
      <c r="AI501" s="888"/>
      <c r="AJ501" s="888"/>
      <c r="AK501" s="888"/>
      <c r="AL501" s="888"/>
      <c r="AM501" s="888"/>
      <c r="AN501" s="888"/>
      <c r="AO501" s="888"/>
      <c r="AP501" s="888"/>
      <c r="AQ501" s="888"/>
      <c r="AR501" s="888"/>
      <c r="AS501" s="888"/>
      <c r="AT501" s="888"/>
      <c r="AU501" s="888"/>
      <c r="AV501" s="888"/>
      <c r="AW501" s="888"/>
      <c r="AX501" s="888"/>
      <c r="AY501" s="888"/>
      <c r="AZ501" s="567"/>
      <c r="BA501" s="567"/>
      <c r="BB501" s="567"/>
      <c r="BC501" s="567"/>
      <c r="BD501" s="567"/>
      <c r="BE501" s="567"/>
      <c r="BF501" s="567"/>
      <c r="BG501" s="567"/>
      <c r="BH501" s="567"/>
      <c r="BI501" s="567"/>
      <c r="BJ501" s="567"/>
      <c r="BK501" s="567"/>
      <c r="BL501" s="567"/>
      <c r="BM501" s="567"/>
      <c r="BN501" s="567"/>
      <c r="BO501" s="567"/>
      <c r="BP501" s="567"/>
      <c r="BQ501" s="567"/>
      <c r="BR501" s="567"/>
      <c r="BS501" s="567"/>
      <c r="BT501" s="567"/>
      <c r="BU501" s="567"/>
      <c r="BV501" s="567"/>
      <c r="BW501" s="567"/>
      <c r="BX501" s="567"/>
      <c r="BY501" s="567"/>
      <c r="BZ501" s="567"/>
      <c r="CA501" s="567"/>
      <c r="CB501" s="567"/>
      <c r="CC501" s="567"/>
      <c r="CD501" s="567"/>
      <c r="CE501" s="567"/>
      <c r="CF501" s="567"/>
      <c r="CG501" s="567"/>
      <c r="CH501" s="567"/>
      <c r="CI501" s="567"/>
      <c r="CJ501" s="567"/>
      <c r="CK501" s="567"/>
      <c r="CL501" s="567"/>
      <c r="CM501" s="567"/>
      <c r="CN501" s="567"/>
      <c r="CO501" s="567"/>
      <c r="CP501" s="567"/>
      <c r="CQ501" s="567"/>
      <c r="CR501" s="567"/>
      <c r="CS501" s="567"/>
      <c r="CT501" s="567"/>
      <c r="CU501" s="567"/>
      <c r="CV501" s="567"/>
      <c r="CW501" s="567"/>
      <c r="CX501" s="567"/>
      <c r="CY501" s="567"/>
      <c r="CZ501" s="567"/>
      <c r="DA501" s="567"/>
      <c r="DB501" s="567"/>
      <c r="DC501" s="567"/>
      <c r="DD501" s="567"/>
      <c r="DE501" s="567"/>
      <c r="DF501" s="567"/>
      <c r="DG501" s="567"/>
      <c r="DH501" s="567"/>
      <c r="DI501" s="567"/>
      <c r="DJ501" s="567"/>
      <c r="DK501" s="567"/>
      <c r="DL501" s="567"/>
      <c r="DM501" s="567"/>
      <c r="DN501" s="567"/>
      <c r="DO501" s="567"/>
      <c r="DP501" s="567"/>
      <c r="DQ501" s="567"/>
    </row>
    <row r="502" spans="1:121" s="487" customFormat="1">
      <c r="A502" s="588"/>
      <c r="B502" s="588"/>
      <c r="C502" s="588"/>
      <c r="D502" s="588"/>
      <c r="E502" s="588"/>
      <c r="F502" s="588"/>
      <c r="G502" s="588"/>
      <c r="H502" s="588"/>
      <c r="I502" s="588"/>
      <c r="J502" s="588"/>
      <c r="K502" s="588"/>
      <c r="L502" s="702"/>
      <c r="M502" s="888"/>
      <c r="N502" s="888"/>
      <c r="O502" s="888"/>
      <c r="P502" s="888"/>
      <c r="Q502" s="888"/>
      <c r="R502" s="888"/>
      <c r="S502" s="888"/>
      <c r="T502" s="888"/>
      <c r="U502" s="888"/>
      <c r="V502" s="888"/>
      <c r="W502" s="888"/>
      <c r="X502" s="888"/>
      <c r="Y502" s="888"/>
      <c r="Z502" s="888"/>
      <c r="AA502" s="888"/>
      <c r="AB502" s="888"/>
      <c r="AC502" s="888"/>
      <c r="AD502" s="888"/>
      <c r="AE502" s="888"/>
      <c r="AF502" s="888"/>
      <c r="AG502" s="888"/>
      <c r="AH502" s="888"/>
      <c r="AI502" s="888"/>
      <c r="AJ502" s="888"/>
      <c r="AK502" s="888"/>
      <c r="AL502" s="888"/>
      <c r="AM502" s="888"/>
      <c r="AN502" s="888"/>
      <c r="AO502" s="888"/>
      <c r="AP502" s="888"/>
      <c r="AQ502" s="888"/>
      <c r="AR502" s="888"/>
      <c r="AS502" s="888"/>
      <c r="AT502" s="888"/>
      <c r="AU502" s="888"/>
      <c r="AV502" s="888"/>
      <c r="AW502" s="888"/>
      <c r="AX502" s="888"/>
      <c r="AY502" s="888"/>
      <c r="AZ502" s="567"/>
      <c r="BA502" s="567"/>
      <c r="BB502" s="567"/>
      <c r="BC502" s="567"/>
      <c r="BD502" s="567"/>
      <c r="BE502" s="567"/>
      <c r="BF502" s="567"/>
      <c r="BG502" s="567"/>
      <c r="BH502" s="567"/>
      <c r="BI502" s="567"/>
      <c r="BJ502" s="567"/>
      <c r="BK502" s="567"/>
      <c r="BL502" s="567"/>
      <c r="BM502" s="567"/>
      <c r="BN502" s="567"/>
      <c r="BO502" s="567"/>
      <c r="BP502" s="567"/>
      <c r="BQ502" s="567"/>
      <c r="BR502" s="567"/>
      <c r="BS502" s="567"/>
      <c r="BT502" s="567"/>
      <c r="BU502" s="567"/>
      <c r="BV502" s="567"/>
      <c r="BW502" s="567"/>
      <c r="BX502" s="567"/>
      <c r="BY502" s="567"/>
      <c r="BZ502" s="567"/>
      <c r="CA502" s="567"/>
      <c r="CB502" s="567"/>
      <c r="CC502" s="567"/>
      <c r="CD502" s="567"/>
      <c r="CE502" s="567"/>
      <c r="CF502" s="567"/>
      <c r="CG502" s="567"/>
      <c r="CH502" s="567"/>
      <c r="CI502" s="567"/>
      <c r="CJ502" s="567"/>
      <c r="CK502" s="567"/>
      <c r="CL502" s="567"/>
      <c r="CM502" s="567"/>
      <c r="CN502" s="567"/>
      <c r="CO502" s="567"/>
      <c r="CP502" s="567"/>
      <c r="CQ502" s="567"/>
      <c r="CR502" s="567"/>
      <c r="CS502" s="567"/>
      <c r="CT502" s="567"/>
      <c r="CU502" s="567"/>
      <c r="CV502" s="567"/>
      <c r="CW502" s="567"/>
      <c r="CX502" s="567"/>
      <c r="CY502" s="567"/>
      <c r="CZ502" s="567"/>
      <c r="DA502" s="567"/>
      <c r="DB502" s="567"/>
      <c r="DC502" s="567"/>
      <c r="DD502" s="567"/>
      <c r="DE502" s="567"/>
      <c r="DF502" s="567"/>
      <c r="DG502" s="567"/>
      <c r="DH502" s="567"/>
      <c r="DI502" s="567"/>
      <c r="DJ502" s="567"/>
      <c r="DK502" s="567"/>
      <c r="DL502" s="567"/>
      <c r="DM502" s="567"/>
      <c r="DN502" s="567"/>
      <c r="DO502" s="567"/>
      <c r="DP502" s="567"/>
      <c r="DQ502" s="567"/>
    </row>
    <row r="503" spans="1:121" s="487" customFormat="1">
      <c r="A503" s="588"/>
      <c r="B503" s="588"/>
      <c r="C503" s="588"/>
      <c r="D503" s="588"/>
      <c r="E503" s="588"/>
      <c r="F503" s="588"/>
      <c r="G503" s="588"/>
      <c r="H503" s="588"/>
      <c r="I503" s="588"/>
      <c r="J503" s="588"/>
      <c r="K503" s="588"/>
      <c r="L503" s="702"/>
      <c r="M503" s="888"/>
      <c r="N503" s="888"/>
      <c r="O503" s="888"/>
      <c r="P503" s="888"/>
      <c r="Q503" s="888"/>
      <c r="R503" s="888"/>
      <c r="S503" s="888"/>
      <c r="T503" s="888"/>
      <c r="U503" s="888"/>
      <c r="V503" s="888"/>
      <c r="W503" s="888"/>
      <c r="X503" s="888"/>
      <c r="Y503" s="888"/>
      <c r="Z503" s="888"/>
      <c r="AA503" s="888"/>
      <c r="AB503" s="888"/>
      <c r="AC503" s="888"/>
      <c r="AD503" s="888"/>
      <c r="AE503" s="888"/>
      <c r="AF503" s="888"/>
      <c r="AG503" s="888"/>
      <c r="AH503" s="888"/>
      <c r="AI503" s="888"/>
      <c r="AJ503" s="888"/>
      <c r="AK503" s="888"/>
      <c r="AL503" s="888"/>
      <c r="AM503" s="888"/>
      <c r="AN503" s="888"/>
      <c r="AO503" s="888"/>
      <c r="AP503" s="888"/>
      <c r="AQ503" s="888"/>
      <c r="AR503" s="888"/>
      <c r="AS503" s="888"/>
      <c r="AT503" s="888"/>
      <c r="AU503" s="888"/>
      <c r="AV503" s="888"/>
      <c r="AW503" s="888"/>
      <c r="AX503" s="888"/>
      <c r="AY503" s="888"/>
      <c r="AZ503" s="567"/>
      <c r="BA503" s="567"/>
      <c r="BB503" s="567"/>
      <c r="BC503" s="567"/>
      <c r="BD503" s="567"/>
      <c r="BE503" s="567"/>
      <c r="BF503" s="567"/>
      <c r="BG503" s="567"/>
      <c r="BH503" s="567"/>
      <c r="BI503" s="567"/>
      <c r="BJ503" s="567"/>
      <c r="BK503" s="567"/>
      <c r="BL503" s="567"/>
      <c r="BM503" s="567"/>
      <c r="BN503" s="567"/>
      <c r="BO503" s="567"/>
      <c r="BP503" s="567"/>
      <c r="BQ503" s="567"/>
      <c r="BR503" s="567"/>
      <c r="BS503" s="567"/>
      <c r="BT503" s="567"/>
      <c r="BU503" s="567"/>
      <c r="BV503" s="567"/>
      <c r="BW503" s="567"/>
      <c r="BX503" s="567"/>
      <c r="BY503" s="567"/>
      <c r="BZ503" s="567"/>
      <c r="CA503" s="567"/>
      <c r="CB503" s="567"/>
      <c r="CC503" s="567"/>
      <c r="CD503" s="567"/>
      <c r="CE503" s="567"/>
      <c r="CF503" s="567"/>
      <c r="CG503" s="567"/>
      <c r="CH503" s="567"/>
      <c r="CI503" s="567"/>
      <c r="CJ503" s="567"/>
      <c r="CK503" s="567"/>
      <c r="CL503" s="567"/>
      <c r="CM503" s="567"/>
      <c r="CN503" s="567"/>
      <c r="CO503" s="567"/>
      <c r="CP503" s="567"/>
      <c r="CQ503" s="567"/>
      <c r="CR503" s="567"/>
      <c r="CS503" s="567"/>
      <c r="CT503" s="567"/>
      <c r="CU503" s="567"/>
      <c r="CV503" s="567"/>
      <c r="CW503" s="567"/>
      <c r="CX503" s="567"/>
      <c r="CY503" s="567"/>
      <c r="CZ503" s="567"/>
      <c r="DA503" s="567"/>
      <c r="DB503" s="567"/>
      <c r="DC503" s="567"/>
      <c r="DD503" s="567"/>
      <c r="DE503" s="567"/>
      <c r="DF503" s="567"/>
      <c r="DG503" s="567"/>
      <c r="DH503" s="567"/>
      <c r="DI503" s="567"/>
      <c r="DJ503" s="567"/>
      <c r="DK503" s="567"/>
      <c r="DL503" s="567"/>
      <c r="DM503" s="567"/>
      <c r="DN503" s="567"/>
      <c r="DO503" s="567"/>
      <c r="DP503" s="567"/>
      <c r="DQ503" s="567"/>
    </row>
    <row r="504" spans="1:121" s="487" customFormat="1">
      <c r="A504" s="588"/>
      <c r="B504" s="588"/>
      <c r="C504" s="588"/>
      <c r="D504" s="588"/>
      <c r="E504" s="588"/>
      <c r="F504" s="588"/>
      <c r="G504" s="588"/>
      <c r="H504" s="588"/>
      <c r="I504" s="588"/>
      <c r="J504" s="588"/>
      <c r="K504" s="588"/>
      <c r="L504" s="702"/>
      <c r="M504" s="888"/>
      <c r="N504" s="888"/>
      <c r="O504" s="888"/>
      <c r="P504" s="888"/>
      <c r="Q504" s="888"/>
      <c r="R504" s="888"/>
      <c r="S504" s="888"/>
      <c r="T504" s="888"/>
      <c r="U504" s="888"/>
      <c r="V504" s="888"/>
      <c r="W504" s="888"/>
      <c r="X504" s="888"/>
      <c r="Y504" s="888"/>
      <c r="Z504" s="888"/>
      <c r="AA504" s="888"/>
      <c r="AB504" s="888"/>
      <c r="AC504" s="888"/>
      <c r="AD504" s="888"/>
      <c r="AE504" s="888"/>
      <c r="AF504" s="888"/>
      <c r="AG504" s="888"/>
      <c r="AH504" s="888"/>
      <c r="AI504" s="888"/>
      <c r="AJ504" s="888"/>
      <c r="AK504" s="888"/>
      <c r="AL504" s="888"/>
      <c r="AM504" s="888"/>
      <c r="AN504" s="888"/>
      <c r="AO504" s="888"/>
      <c r="AP504" s="888"/>
      <c r="AQ504" s="888"/>
      <c r="AR504" s="888"/>
      <c r="AS504" s="888"/>
      <c r="AT504" s="888"/>
      <c r="AU504" s="888"/>
      <c r="AV504" s="888"/>
      <c r="AW504" s="888"/>
      <c r="AX504" s="888"/>
      <c r="AY504" s="888"/>
      <c r="AZ504" s="567"/>
      <c r="BA504" s="567"/>
      <c r="BB504" s="567"/>
      <c r="BC504" s="567"/>
      <c r="BD504" s="567"/>
      <c r="BE504" s="567"/>
      <c r="BF504" s="567"/>
      <c r="BG504" s="567"/>
      <c r="BH504" s="567"/>
      <c r="BI504" s="567"/>
      <c r="BJ504" s="567"/>
      <c r="BK504" s="567"/>
      <c r="BL504" s="567"/>
      <c r="BM504" s="567"/>
      <c r="BN504" s="567"/>
      <c r="BO504" s="567"/>
      <c r="BP504" s="567"/>
      <c r="BQ504" s="567"/>
      <c r="BR504" s="567"/>
      <c r="BS504" s="567"/>
      <c r="BT504" s="567"/>
      <c r="BU504" s="567"/>
      <c r="BV504" s="567"/>
      <c r="BW504" s="567"/>
      <c r="BX504" s="567"/>
      <c r="BY504" s="567"/>
      <c r="BZ504" s="567"/>
      <c r="CA504" s="567"/>
      <c r="CB504" s="567"/>
      <c r="CC504" s="567"/>
      <c r="CD504" s="567"/>
      <c r="CE504" s="567"/>
      <c r="CF504" s="567"/>
      <c r="CG504" s="567"/>
      <c r="CH504" s="567"/>
      <c r="CI504" s="567"/>
      <c r="CJ504" s="567"/>
      <c r="CK504" s="567"/>
      <c r="CL504" s="567"/>
      <c r="CM504" s="567"/>
      <c r="CN504" s="567"/>
      <c r="CO504" s="567"/>
      <c r="CP504" s="567"/>
      <c r="CQ504" s="567"/>
      <c r="CR504" s="567"/>
      <c r="CS504" s="567"/>
      <c r="CT504" s="567"/>
      <c r="CU504" s="567"/>
      <c r="CV504" s="567"/>
      <c r="CW504" s="567"/>
      <c r="CX504" s="567"/>
      <c r="CY504" s="567"/>
      <c r="CZ504" s="567"/>
      <c r="DA504" s="567"/>
      <c r="DB504" s="567"/>
      <c r="DC504" s="567"/>
      <c r="DD504" s="567"/>
      <c r="DE504" s="567"/>
      <c r="DF504" s="567"/>
      <c r="DG504" s="567"/>
      <c r="DH504" s="567"/>
      <c r="DI504" s="567"/>
      <c r="DJ504" s="567"/>
      <c r="DK504" s="567"/>
      <c r="DL504" s="567"/>
      <c r="DM504" s="567"/>
      <c r="DN504" s="567"/>
      <c r="DO504" s="567"/>
      <c r="DP504" s="567"/>
      <c r="DQ504" s="567"/>
    </row>
    <row r="505" spans="1:121" s="487" customFormat="1">
      <c r="A505" s="588"/>
      <c r="B505" s="588"/>
      <c r="C505" s="588"/>
      <c r="D505" s="588"/>
      <c r="E505" s="588"/>
      <c r="F505" s="588"/>
      <c r="G505" s="588"/>
      <c r="H505" s="588"/>
      <c r="I505" s="588"/>
      <c r="J505" s="588"/>
      <c r="K505" s="588"/>
      <c r="L505" s="702"/>
      <c r="M505" s="888"/>
      <c r="N505" s="888"/>
      <c r="O505" s="888"/>
      <c r="P505" s="888"/>
      <c r="Q505" s="888"/>
      <c r="R505" s="888"/>
      <c r="S505" s="888"/>
      <c r="T505" s="888"/>
      <c r="U505" s="888"/>
      <c r="V505" s="888"/>
      <c r="W505" s="888"/>
      <c r="X505" s="888"/>
      <c r="Y505" s="888"/>
      <c r="Z505" s="888"/>
      <c r="AA505" s="888"/>
      <c r="AB505" s="888"/>
      <c r="AC505" s="888"/>
      <c r="AD505" s="888"/>
      <c r="AE505" s="888"/>
      <c r="AF505" s="888"/>
      <c r="AG505" s="888"/>
      <c r="AH505" s="888"/>
      <c r="AI505" s="888"/>
      <c r="AJ505" s="888"/>
      <c r="AK505" s="888"/>
      <c r="AL505" s="888"/>
      <c r="AM505" s="888"/>
      <c r="AN505" s="888"/>
      <c r="AO505" s="888"/>
      <c r="AP505" s="888"/>
      <c r="AQ505" s="888"/>
      <c r="AR505" s="888"/>
      <c r="AS505" s="888"/>
      <c r="AT505" s="888"/>
      <c r="AU505" s="888"/>
      <c r="AV505" s="888"/>
      <c r="AW505" s="888"/>
      <c r="AX505" s="888"/>
      <c r="AY505" s="888"/>
      <c r="AZ505" s="567"/>
      <c r="BA505" s="567"/>
      <c r="BB505" s="567"/>
      <c r="BC505" s="567"/>
      <c r="BD505" s="567"/>
      <c r="BE505" s="567"/>
      <c r="BF505" s="567"/>
      <c r="BG505" s="567"/>
      <c r="BH505" s="567"/>
      <c r="BI505" s="567"/>
      <c r="BJ505" s="567"/>
      <c r="BK505" s="567"/>
      <c r="BL505" s="567"/>
      <c r="BM505" s="567"/>
      <c r="BN505" s="567"/>
      <c r="BO505" s="567"/>
      <c r="BP505" s="567"/>
      <c r="BQ505" s="567"/>
      <c r="BR505" s="567"/>
      <c r="BS505" s="567"/>
      <c r="BT505" s="567"/>
      <c r="BU505" s="567"/>
      <c r="BV505" s="567"/>
      <c r="BW505" s="567"/>
      <c r="BX505" s="567"/>
      <c r="BY505" s="567"/>
      <c r="BZ505" s="567"/>
      <c r="CA505" s="567"/>
      <c r="CB505" s="567"/>
      <c r="CC505" s="567"/>
      <c r="CD505" s="567"/>
      <c r="CE505" s="567"/>
      <c r="CF505" s="567"/>
      <c r="CG505" s="567"/>
      <c r="CH505" s="567"/>
      <c r="CI505" s="567"/>
      <c r="CJ505" s="567"/>
      <c r="CK505" s="567"/>
      <c r="CL505" s="567"/>
      <c r="CM505" s="567"/>
      <c r="CN505" s="567"/>
      <c r="CO505" s="567"/>
      <c r="CP505" s="567"/>
      <c r="CQ505" s="567"/>
      <c r="CR505" s="567"/>
      <c r="CS505" s="567"/>
      <c r="CT505" s="567"/>
      <c r="CU505" s="567"/>
      <c r="CV505" s="567"/>
      <c r="CW505" s="567"/>
      <c r="CX505" s="567"/>
      <c r="CY505" s="567"/>
      <c r="CZ505" s="567"/>
      <c r="DA505" s="567"/>
      <c r="DB505" s="567"/>
      <c r="DC505" s="567"/>
      <c r="DD505" s="567"/>
      <c r="DE505" s="567"/>
      <c r="DF505" s="567"/>
      <c r="DG505" s="567"/>
      <c r="DH505" s="567"/>
      <c r="DI505" s="567"/>
      <c r="DJ505" s="567"/>
      <c r="DK505" s="567"/>
      <c r="DL505" s="567"/>
      <c r="DM505" s="567"/>
      <c r="DN505" s="567"/>
      <c r="DO505" s="567"/>
      <c r="DP505" s="567"/>
      <c r="DQ505" s="567"/>
    </row>
    <row r="506" spans="1:121" s="487" customFormat="1">
      <c r="A506" s="588"/>
      <c r="B506" s="588"/>
      <c r="C506" s="588"/>
      <c r="D506" s="588"/>
      <c r="E506" s="588"/>
      <c r="F506" s="588"/>
      <c r="G506" s="588"/>
      <c r="H506" s="588"/>
      <c r="I506" s="588"/>
      <c r="J506" s="588"/>
      <c r="K506" s="588"/>
      <c r="L506" s="702"/>
      <c r="M506" s="888"/>
      <c r="N506" s="888"/>
      <c r="O506" s="888"/>
      <c r="P506" s="888"/>
      <c r="Q506" s="888"/>
      <c r="R506" s="888"/>
      <c r="S506" s="888"/>
      <c r="T506" s="888"/>
      <c r="U506" s="888"/>
      <c r="V506" s="888"/>
      <c r="W506" s="888"/>
      <c r="X506" s="888"/>
      <c r="Y506" s="888"/>
      <c r="Z506" s="888"/>
      <c r="AA506" s="888"/>
      <c r="AB506" s="888"/>
      <c r="AC506" s="888"/>
      <c r="AD506" s="888"/>
      <c r="AE506" s="888"/>
      <c r="AF506" s="888"/>
      <c r="AG506" s="888"/>
      <c r="AH506" s="888"/>
      <c r="AI506" s="888"/>
      <c r="AJ506" s="888"/>
      <c r="AK506" s="888"/>
      <c r="AL506" s="888"/>
      <c r="AM506" s="888"/>
      <c r="AN506" s="888"/>
      <c r="AO506" s="888"/>
      <c r="AP506" s="888"/>
      <c r="AQ506" s="888"/>
      <c r="AR506" s="888"/>
      <c r="AS506" s="888"/>
      <c r="AT506" s="888"/>
      <c r="AU506" s="888"/>
      <c r="AV506" s="888"/>
      <c r="AW506" s="888"/>
      <c r="AX506" s="888"/>
      <c r="AY506" s="888"/>
      <c r="AZ506" s="567"/>
      <c r="BA506" s="567"/>
      <c r="BB506" s="567"/>
      <c r="BC506" s="567"/>
      <c r="BD506" s="567"/>
      <c r="BE506" s="567"/>
      <c r="BF506" s="567"/>
      <c r="BG506" s="567"/>
      <c r="BH506" s="567"/>
      <c r="BI506" s="567"/>
      <c r="BJ506" s="567"/>
      <c r="BK506" s="567"/>
      <c r="BL506" s="567"/>
      <c r="BM506" s="567"/>
      <c r="BN506" s="567"/>
      <c r="BO506" s="567"/>
      <c r="BP506" s="567"/>
      <c r="BQ506" s="567"/>
      <c r="BR506" s="567"/>
      <c r="BS506" s="567"/>
      <c r="BT506" s="567"/>
      <c r="BU506" s="567"/>
      <c r="BV506" s="567"/>
      <c r="BW506" s="567"/>
      <c r="BX506" s="567"/>
      <c r="BY506" s="567"/>
      <c r="BZ506" s="567"/>
      <c r="CA506" s="567"/>
      <c r="CB506" s="567"/>
      <c r="CC506" s="567"/>
      <c r="CD506" s="567"/>
      <c r="CE506" s="567"/>
      <c r="CF506" s="567"/>
      <c r="CG506" s="567"/>
      <c r="CH506" s="567"/>
      <c r="CI506" s="567"/>
      <c r="CJ506" s="567"/>
      <c r="CK506" s="567"/>
      <c r="CL506" s="567"/>
      <c r="CM506" s="567"/>
      <c r="CN506" s="567"/>
      <c r="CO506" s="567"/>
      <c r="CP506" s="567"/>
      <c r="CQ506" s="567"/>
      <c r="CR506" s="567"/>
      <c r="CS506" s="567"/>
      <c r="CT506" s="567"/>
      <c r="CU506" s="567"/>
      <c r="CV506" s="567"/>
      <c r="CW506" s="567"/>
      <c r="CX506" s="567"/>
      <c r="CY506" s="567"/>
      <c r="CZ506" s="567"/>
      <c r="DA506" s="567"/>
      <c r="DB506" s="567"/>
      <c r="DC506" s="567"/>
      <c r="DD506" s="567"/>
      <c r="DE506" s="567"/>
      <c r="DF506" s="567"/>
      <c r="DG506" s="567"/>
      <c r="DH506" s="567"/>
      <c r="DI506" s="567"/>
      <c r="DJ506" s="567"/>
      <c r="DK506" s="567"/>
      <c r="DL506" s="567"/>
      <c r="DM506" s="567"/>
      <c r="DN506" s="567"/>
      <c r="DO506" s="567"/>
      <c r="DP506" s="567"/>
      <c r="DQ506" s="567"/>
    </row>
    <row r="507" spans="1:121" s="487" customFormat="1">
      <c r="A507" s="588"/>
      <c r="B507" s="588"/>
      <c r="C507" s="588"/>
      <c r="D507" s="588"/>
      <c r="E507" s="588"/>
      <c r="F507" s="588"/>
      <c r="G507" s="588"/>
      <c r="H507" s="588"/>
      <c r="I507" s="588"/>
      <c r="J507" s="588"/>
      <c r="K507" s="588"/>
      <c r="L507" s="702"/>
      <c r="M507" s="888"/>
      <c r="N507" s="888"/>
      <c r="O507" s="888"/>
      <c r="P507" s="888"/>
      <c r="Q507" s="888"/>
      <c r="R507" s="888"/>
      <c r="S507" s="888"/>
      <c r="T507" s="888"/>
      <c r="U507" s="888"/>
      <c r="V507" s="888"/>
      <c r="W507" s="888"/>
      <c r="X507" s="888"/>
      <c r="Y507" s="888"/>
      <c r="Z507" s="888"/>
      <c r="AA507" s="888"/>
      <c r="AB507" s="888"/>
      <c r="AC507" s="888"/>
      <c r="AD507" s="888"/>
      <c r="AE507" s="888"/>
      <c r="AF507" s="888"/>
      <c r="AG507" s="888"/>
      <c r="AH507" s="888"/>
      <c r="AI507" s="888"/>
      <c r="AJ507" s="888"/>
      <c r="AK507" s="888"/>
      <c r="AL507" s="888"/>
      <c r="AM507" s="888"/>
      <c r="AN507" s="888"/>
      <c r="AO507" s="888"/>
      <c r="AP507" s="888"/>
      <c r="AQ507" s="888"/>
      <c r="AR507" s="888"/>
      <c r="AS507" s="888"/>
      <c r="AT507" s="888"/>
      <c r="AU507" s="888"/>
      <c r="AV507" s="888"/>
      <c r="AW507" s="888"/>
      <c r="AX507" s="888"/>
      <c r="AY507" s="888"/>
      <c r="AZ507" s="567"/>
      <c r="BA507" s="567"/>
      <c r="BB507" s="567"/>
      <c r="BC507" s="567"/>
      <c r="BD507" s="567"/>
      <c r="BE507" s="567"/>
      <c r="BF507" s="567"/>
      <c r="BG507" s="567"/>
      <c r="BH507" s="567"/>
      <c r="BI507" s="567"/>
      <c r="BJ507" s="567"/>
      <c r="BK507" s="567"/>
      <c r="BL507" s="567"/>
      <c r="BM507" s="567"/>
      <c r="BN507" s="567"/>
      <c r="BO507" s="567"/>
      <c r="BP507" s="567"/>
      <c r="BQ507" s="567"/>
      <c r="BR507" s="567"/>
      <c r="BS507" s="567"/>
      <c r="BT507" s="567"/>
      <c r="BU507" s="567"/>
      <c r="BV507" s="567"/>
      <c r="BW507" s="567"/>
      <c r="BX507" s="567"/>
      <c r="BY507" s="567"/>
      <c r="BZ507" s="567"/>
      <c r="CA507" s="567"/>
      <c r="CB507" s="567"/>
      <c r="CC507" s="567"/>
      <c r="CD507" s="567"/>
      <c r="CE507" s="567"/>
      <c r="CF507" s="567"/>
      <c r="CG507" s="567"/>
      <c r="CH507" s="567"/>
      <c r="CI507" s="567"/>
      <c r="CJ507" s="567"/>
      <c r="CK507" s="567"/>
      <c r="CL507" s="567"/>
      <c r="CM507" s="567"/>
      <c r="CN507" s="567"/>
      <c r="CO507" s="567"/>
      <c r="CP507" s="567"/>
      <c r="CQ507" s="567"/>
      <c r="CR507" s="567"/>
      <c r="CS507" s="567"/>
      <c r="CT507" s="567"/>
      <c r="CU507" s="567"/>
      <c r="CV507" s="567"/>
      <c r="CW507" s="567"/>
      <c r="CX507" s="567"/>
      <c r="CY507" s="567"/>
      <c r="CZ507" s="567"/>
      <c r="DA507" s="567"/>
      <c r="DB507" s="567"/>
      <c r="DC507" s="567"/>
      <c r="DD507" s="567"/>
      <c r="DE507" s="567"/>
      <c r="DF507" s="567"/>
      <c r="DG507" s="567"/>
      <c r="DH507" s="567"/>
      <c r="DI507" s="567"/>
      <c r="DJ507" s="567"/>
      <c r="DK507" s="567"/>
      <c r="DL507" s="567"/>
      <c r="DM507" s="567"/>
      <c r="DN507" s="567"/>
      <c r="DO507" s="567"/>
      <c r="DP507" s="567"/>
      <c r="DQ507" s="567"/>
    </row>
    <row r="508" spans="1:121" s="487" customFormat="1">
      <c r="A508" s="588"/>
      <c r="B508" s="588"/>
      <c r="C508" s="588"/>
      <c r="D508" s="588"/>
      <c r="E508" s="588"/>
      <c r="F508" s="588"/>
      <c r="G508" s="588"/>
      <c r="H508" s="588"/>
      <c r="I508" s="588"/>
      <c r="J508" s="588"/>
      <c r="K508" s="588"/>
      <c r="L508" s="702"/>
      <c r="M508" s="888"/>
      <c r="N508" s="888"/>
      <c r="O508" s="888"/>
      <c r="P508" s="888"/>
      <c r="Q508" s="888"/>
      <c r="R508" s="888"/>
      <c r="S508" s="888"/>
      <c r="T508" s="888"/>
      <c r="U508" s="888"/>
      <c r="V508" s="888"/>
      <c r="W508" s="888"/>
      <c r="X508" s="888"/>
      <c r="Y508" s="888"/>
      <c r="Z508" s="888"/>
      <c r="AA508" s="888"/>
      <c r="AB508" s="888"/>
      <c r="AC508" s="888"/>
      <c r="AD508" s="888"/>
      <c r="AE508" s="888"/>
      <c r="AF508" s="888"/>
      <c r="AG508" s="888"/>
      <c r="AH508" s="888"/>
      <c r="AI508" s="888"/>
      <c r="AJ508" s="888"/>
      <c r="AK508" s="888"/>
      <c r="AL508" s="888"/>
      <c r="AM508" s="888"/>
      <c r="AN508" s="888"/>
      <c r="AO508" s="888"/>
      <c r="AP508" s="888"/>
      <c r="AQ508" s="888"/>
      <c r="AR508" s="888"/>
      <c r="AS508" s="888"/>
      <c r="AT508" s="888"/>
      <c r="AU508" s="888"/>
      <c r="AV508" s="888"/>
      <c r="AW508" s="888"/>
      <c r="AX508" s="888"/>
      <c r="AY508" s="888"/>
      <c r="AZ508" s="567"/>
      <c r="BA508" s="567"/>
      <c r="BB508" s="567"/>
      <c r="BC508" s="567"/>
      <c r="BD508" s="567"/>
      <c r="BE508" s="567"/>
      <c r="BF508" s="567"/>
      <c r="BG508" s="567"/>
      <c r="BH508" s="567"/>
      <c r="BI508" s="567"/>
      <c r="BJ508" s="567"/>
      <c r="BK508" s="567"/>
      <c r="BL508" s="567"/>
      <c r="BM508" s="567"/>
      <c r="BN508" s="567"/>
      <c r="BO508" s="567"/>
      <c r="BP508" s="567"/>
      <c r="BQ508" s="567"/>
      <c r="BR508" s="567"/>
      <c r="BS508" s="567"/>
      <c r="BT508" s="567"/>
      <c r="BU508" s="567"/>
      <c r="BV508" s="567"/>
      <c r="BW508" s="567"/>
      <c r="BX508" s="567"/>
      <c r="BY508" s="567"/>
      <c r="BZ508" s="567"/>
      <c r="CA508" s="567"/>
      <c r="CB508" s="567"/>
      <c r="CC508" s="567"/>
      <c r="CD508" s="567"/>
      <c r="CE508" s="567"/>
      <c r="CF508" s="567"/>
      <c r="CG508" s="567"/>
      <c r="CH508" s="567"/>
      <c r="CI508" s="567"/>
      <c r="CJ508" s="567"/>
      <c r="CK508" s="567"/>
      <c r="CL508" s="567"/>
      <c r="CM508" s="567"/>
      <c r="CN508" s="567"/>
      <c r="CO508" s="567"/>
      <c r="CP508" s="567"/>
      <c r="CQ508" s="567"/>
      <c r="CR508" s="567"/>
      <c r="CS508" s="567"/>
      <c r="CT508" s="567"/>
      <c r="CU508" s="567"/>
      <c r="CV508" s="567"/>
      <c r="CW508" s="567"/>
      <c r="CX508" s="567"/>
      <c r="CY508" s="567"/>
      <c r="CZ508" s="567"/>
      <c r="DA508" s="567"/>
      <c r="DB508" s="567"/>
      <c r="DC508" s="567"/>
      <c r="DD508" s="567"/>
      <c r="DE508" s="567"/>
      <c r="DF508" s="567"/>
      <c r="DG508" s="567"/>
      <c r="DH508" s="567"/>
      <c r="DI508" s="567"/>
      <c r="DJ508" s="567"/>
      <c r="DK508" s="567"/>
      <c r="DL508" s="567"/>
      <c r="DM508" s="567"/>
      <c r="DN508" s="567"/>
      <c r="DO508" s="567"/>
      <c r="DP508" s="567"/>
      <c r="DQ508" s="567"/>
    </row>
    <row r="509" spans="1:121" s="487" customFormat="1">
      <c r="A509" s="588"/>
      <c r="B509" s="588"/>
      <c r="C509" s="588"/>
      <c r="D509" s="588"/>
      <c r="E509" s="588"/>
      <c r="F509" s="588"/>
      <c r="G509" s="588"/>
      <c r="H509" s="588"/>
      <c r="I509" s="588"/>
      <c r="J509" s="588"/>
      <c r="K509" s="588"/>
      <c r="L509" s="702"/>
      <c r="M509" s="888"/>
      <c r="N509" s="888"/>
      <c r="O509" s="888"/>
      <c r="P509" s="888"/>
      <c r="Q509" s="888"/>
      <c r="R509" s="888"/>
      <c r="S509" s="888"/>
      <c r="T509" s="888"/>
      <c r="U509" s="888"/>
      <c r="V509" s="888"/>
      <c r="W509" s="888"/>
      <c r="X509" s="888"/>
      <c r="Y509" s="888"/>
      <c r="Z509" s="888"/>
      <c r="AA509" s="888"/>
      <c r="AB509" s="888"/>
      <c r="AC509" s="888"/>
      <c r="AD509" s="888"/>
      <c r="AE509" s="888"/>
      <c r="AF509" s="888"/>
      <c r="AG509" s="888"/>
      <c r="AH509" s="888"/>
      <c r="AI509" s="888"/>
      <c r="AJ509" s="888"/>
      <c r="AK509" s="888"/>
      <c r="AL509" s="888"/>
      <c r="AM509" s="888"/>
      <c r="AN509" s="888"/>
      <c r="AO509" s="888"/>
      <c r="AP509" s="888"/>
      <c r="AQ509" s="888"/>
      <c r="AR509" s="888"/>
      <c r="AS509" s="888"/>
      <c r="AT509" s="888"/>
      <c r="AU509" s="888"/>
      <c r="AV509" s="888"/>
      <c r="AW509" s="888"/>
      <c r="AX509" s="888"/>
      <c r="AY509" s="888"/>
      <c r="AZ509" s="567"/>
      <c r="BA509" s="567"/>
      <c r="BB509" s="567"/>
      <c r="BC509" s="567"/>
      <c r="BD509" s="567"/>
      <c r="BE509" s="567"/>
      <c r="BF509" s="567"/>
      <c r="BG509" s="567"/>
      <c r="BH509" s="567"/>
      <c r="BI509" s="567"/>
      <c r="BJ509" s="567"/>
      <c r="BK509" s="567"/>
      <c r="BL509" s="567"/>
      <c r="BM509" s="567"/>
      <c r="BN509" s="567"/>
      <c r="BO509" s="567"/>
      <c r="BP509" s="567"/>
      <c r="BQ509" s="567"/>
      <c r="BR509" s="567"/>
      <c r="BS509" s="567"/>
      <c r="BT509" s="567"/>
      <c r="BU509" s="567"/>
      <c r="BV509" s="567"/>
      <c r="BW509" s="567"/>
      <c r="BX509" s="567"/>
      <c r="BY509" s="567"/>
      <c r="BZ509" s="567"/>
      <c r="CA509" s="567"/>
      <c r="CB509" s="567"/>
      <c r="CC509" s="567"/>
      <c r="CD509" s="567"/>
      <c r="CE509" s="567"/>
      <c r="CF509" s="567"/>
      <c r="CG509" s="567"/>
      <c r="CH509" s="567"/>
      <c r="CI509" s="567"/>
      <c r="CJ509" s="567"/>
      <c r="CK509" s="567"/>
      <c r="CL509" s="567"/>
      <c r="CM509" s="567"/>
      <c r="CN509" s="567"/>
      <c r="CO509" s="567"/>
      <c r="CP509" s="567"/>
      <c r="CQ509" s="567"/>
      <c r="CR509" s="567"/>
      <c r="CS509" s="567"/>
      <c r="CT509" s="567"/>
      <c r="CU509" s="567"/>
      <c r="CV509" s="567"/>
      <c r="CW509" s="567"/>
      <c r="CX509" s="567"/>
      <c r="CY509" s="567"/>
      <c r="CZ509" s="567"/>
      <c r="DA509" s="567"/>
      <c r="DB509" s="567"/>
      <c r="DC509" s="567"/>
      <c r="DD509" s="567"/>
      <c r="DE509" s="567"/>
      <c r="DF509" s="567"/>
      <c r="DG509" s="567"/>
      <c r="DH509" s="567"/>
      <c r="DI509" s="567"/>
      <c r="DJ509" s="567"/>
      <c r="DK509" s="567"/>
      <c r="DL509" s="567"/>
      <c r="DM509" s="567"/>
      <c r="DN509" s="567"/>
      <c r="DO509" s="567"/>
      <c r="DP509" s="567"/>
      <c r="DQ509" s="567"/>
    </row>
    <row r="510" spans="1:121" s="487" customFormat="1">
      <c r="A510" s="588"/>
      <c r="B510" s="588"/>
      <c r="C510" s="588"/>
      <c r="D510" s="588"/>
      <c r="E510" s="588"/>
      <c r="F510" s="588"/>
      <c r="G510" s="588"/>
      <c r="H510" s="588"/>
      <c r="I510" s="588"/>
      <c r="J510" s="588"/>
      <c r="K510" s="588"/>
      <c r="L510" s="702"/>
      <c r="M510" s="888"/>
      <c r="N510" s="888"/>
      <c r="O510" s="888"/>
      <c r="P510" s="888"/>
      <c r="Q510" s="888"/>
      <c r="R510" s="888"/>
      <c r="S510" s="888"/>
      <c r="T510" s="888"/>
      <c r="U510" s="888"/>
      <c r="V510" s="888"/>
      <c r="W510" s="888"/>
      <c r="X510" s="888"/>
      <c r="Y510" s="888"/>
      <c r="Z510" s="888"/>
      <c r="AA510" s="888"/>
      <c r="AB510" s="888"/>
      <c r="AC510" s="888"/>
      <c r="AD510" s="888"/>
      <c r="AE510" s="888"/>
      <c r="AF510" s="888"/>
      <c r="AG510" s="888"/>
      <c r="AH510" s="888"/>
      <c r="AI510" s="888"/>
      <c r="AJ510" s="888"/>
      <c r="AK510" s="888"/>
      <c r="AL510" s="888"/>
      <c r="AM510" s="888"/>
      <c r="AN510" s="888"/>
      <c r="AO510" s="888"/>
      <c r="AP510" s="888"/>
      <c r="AQ510" s="888"/>
      <c r="AR510" s="888"/>
      <c r="AS510" s="888"/>
      <c r="AT510" s="888"/>
      <c r="AU510" s="888"/>
      <c r="AV510" s="888"/>
      <c r="AW510" s="888"/>
      <c r="AX510" s="888"/>
      <c r="AY510" s="888"/>
      <c r="AZ510" s="567"/>
      <c r="BA510" s="567"/>
      <c r="BB510" s="567"/>
      <c r="BC510" s="567"/>
      <c r="BD510" s="567"/>
      <c r="BE510" s="567"/>
      <c r="BF510" s="567"/>
      <c r="BG510" s="567"/>
      <c r="BH510" s="567"/>
      <c r="BI510" s="567"/>
      <c r="BJ510" s="567"/>
      <c r="BK510" s="567"/>
      <c r="BL510" s="567"/>
      <c r="BM510" s="567"/>
      <c r="BN510" s="567"/>
      <c r="BO510" s="567"/>
      <c r="BP510" s="567"/>
      <c r="BQ510" s="567"/>
      <c r="BR510" s="567"/>
      <c r="BS510" s="567"/>
      <c r="BT510" s="567"/>
      <c r="BU510" s="567"/>
      <c r="BV510" s="567"/>
      <c r="BW510" s="567"/>
      <c r="BX510" s="567"/>
      <c r="BY510" s="567"/>
      <c r="BZ510" s="567"/>
      <c r="CA510" s="567"/>
      <c r="CB510" s="567"/>
      <c r="CC510" s="567"/>
      <c r="CD510" s="567"/>
      <c r="CE510" s="567"/>
      <c r="CF510" s="567"/>
      <c r="CG510" s="567"/>
      <c r="CH510" s="567"/>
      <c r="CI510" s="567"/>
      <c r="CJ510" s="567"/>
      <c r="CK510" s="567"/>
      <c r="CL510" s="567"/>
      <c r="CM510" s="567"/>
      <c r="CN510" s="567"/>
      <c r="CO510" s="567"/>
      <c r="CP510" s="567"/>
      <c r="CQ510" s="567"/>
      <c r="CR510" s="567"/>
      <c r="CS510" s="567"/>
      <c r="CT510" s="567"/>
      <c r="CU510" s="567"/>
      <c r="CV510" s="567"/>
      <c r="CW510" s="567"/>
      <c r="CX510" s="567"/>
      <c r="CY510" s="567"/>
      <c r="CZ510" s="567"/>
      <c r="DA510" s="567"/>
      <c r="DB510" s="567"/>
      <c r="DC510" s="567"/>
      <c r="DD510" s="567"/>
      <c r="DE510" s="567"/>
      <c r="DF510" s="567"/>
      <c r="DG510" s="567"/>
      <c r="DH510" s="567"/>
      <c r="DI510" s="567"/>
      <c r="DJ510" s="567"/>
      <c r="DK510" s="567"/>
      <c r="DL510" s="567"/>
      <c r="DM510" s="567"/>
      <c r="DN510" s="567"/>
      <c r="DO510" s="567"/>
      <c r="DP510" s="567"/>
      <c r="DQ510" s="567"/>
    </row>
    <row r="511" spans="1:121" s="487" customFormat="1">
      <c r="A511" s="588"/>
      <c r="B511" s="588"/>
      <c r="C511" s="588"/>
      <c r="D511" s="588"/>
      <c r="E511" s="588"/>
      <c r="F511" s="588"/>
      <c r="G511" s="588"/>
      <c r="H511" s="588"/>
      <c r="I511" s="588"/>
      <c r="J511" s="588"/>
      <c r="K511" s="588"/>
      <c r="L511" s="702"/>
      <c r="M511" s="888"/>
      <c r="N511" s="888"/>
      <c r="O511" s="888"/>
      <c r="P511" s="888"/>
      <c r="Q511" s="888"/>
      <c r="R511" s="888"/>
      <c r="S511" s="888"/>
      <c r="T511" s="888"/>
      <c r="U511" s="888"/>
      <c r="V511" s="888"/>
      <c r="W511" s="888"/>
      <c r="X511" s="888"/>
      <c r="Y511" s="888"/>
      <c r="Z511" s="888"/>
      <c r="AA511" s="888"/>
      <c r="AB511" s="888"/>
      <c r="AC511" s="888"/>
      <c r="AD511" s="888"/>
      <c r="AE511" s="888"/>
      <c r="AF511" s="888"/>
      <c r="AG511" s="888"/>
      <c r="AH511" s="888"/>
      <c r="AI511" s="888"/>
      <c r="AJ511" s="888"/>
      <c r="AK511" s="888"/>
      <c r="AL511" s="888"/>
      <c r="AM511" s="888"/>
      <c r="AN511" s="888"/>
      <c r="AO511" s="888"/>
      <c r="AP511" s="888"/>
      <c r="AQ511" s="888"/>
      <c r="AR511" s="888"/>
      <c r="AS511" s="888"/>
      <c r="AT511" s="888"/>
      <c r="AU511" s="888"/>
      <c r="AV511" s="888"/>
      <c r="AW511" s="888"/>
      <c r="AX511" s="888"/>
      <c r="AY511" s="888"/>
      <c r="AZ511" s="567"/>
      <c r="BA511" s="567"/>
      <c r="BB511" s="567"/>
      <c r="BC511" s="567"/>
      <c r="BD511" s="567"/>
      <c r="BE511" s="567"/>
      <c r="BF511" s="567"/>
      <c r="BG511" s="567"/>
      <c r="BH511" s="567"/>
      <c r="BI511" s="567"/>
      <c r="BJ511" s="567"/>
      <c r="BK511" s="567"/>
      <c r="BL511" s="567"/>
      <c r="BM511" s="567"/>
      <c r="BN511" s="567"/>
      <c r="BO511" s="567"/>
      <c r="BP511" s="567"/>
      <c r="BQ511" s="567"/>
      <c r="BR511" s="567"/>
      <c r="BS511" s="567"/>
      <c r="BT511" s="567"/>
      <c r="BU511" s="567"/>
      <c r="BV511" s="567"/>
      <c r="BW511" s="567"/>
      <c r="BX511" s="567"/>
      <c r="BY511" s="567"/>
      <c r="BZ511" s="567"/>
      <c r="CA511" s="567"/>
      <c r="CB511" s="567"/>
      <c r="CC511" s="567"/>
      <c r="CD511" s="567"/>
      <c r="CE511" s="567"/>
      <c r="CF511" s="567"/>
      <c r="CG511" s="567"/>
      <c r="CH511" s="567"/>
      <c r="CI511" s="567"/>
      <c r="CJ511" s="567"/>
      <c r="CK511" s="567"/>
      <c r="CL511" s="567"/>
      <c r="CM511" s="567"/>
      <c r="CN511" s="567"/>
      <c r="CO511" s="567"/>
      <c r="CP511" s="567"/>
      <c r="CQ511" s="567"/>
      <c r="CR511" s="567"/>
      <c r="CS511" s="567"/>
      <c r="CT511" s="567"/>
      <c r="CU511" s="567"/>
      <c r="CV511" s="567"/>
      <c r="CW511" s="567"/>
      <c r="CX511" s="567"/>
      <c r="CY511" s="567"/>
      <c r="CZ511" s="567"/>
      <c r="DA511" s="567"/>
      <c r="DB511" s="567"/>
      <c r="DC511" s="567"/>
      <c r="DD511" s="567"/>
      <c r="DE511" s="567"/>
      <c r="DF511" s="567"/>
      <c r="DG511" s="567"/>
      <c r="DH511" s="567"/>
      <c r="DI511" s="567"/>
      <c r="DJ511" s="567"/>
      <c r="DK511" s="567"/>
      <c r="DL511" s="567"/>
      <c r="DM511" s="567"/>
      <c r="DN511" s="567"/>
      <c r="DO511" s="567"/>
      <c r="DP511" s="567"/>
      <c r="DQ511" s="567"/>
    </row>
    <row r="512" spans="1:121" s="487" customFormat="1">
      <c r="A512" s="588"/>
      <c r="B512" s="588"/>
      <c r="C512" s="588"/>
      <c r="D512" s="588"/>
      <c r="E512" s="588"/>
      <c r="F512" s="588"/>
      <c r="G512" s="588"/>
      <c r="H512" s="588"/>
      <c r="I512" s="588"/>
      <c r="J512" s="588"/>
      <c r="K512" s="588"/>
      <c r="L512" s="702"/>
      <c r="M512" s="888"/>
      <c r="N512" s="888"/>
      <c r="O512" s="888"/>
      <c r="P512" s="888"/>
      <c r="Q512" s="888"/>
      <c r="R512" s="888"/>
      <c r="S512" s="888"/>
      <c r="T512" s="888"/>
      <c r="U512" s="888"/>
      <c r="V512" s="888"/>
      <c r="W512" s="888"/>
      <c r="X512" s="888"/>
      <c r="Y512" s="888"/>
      <c r="Z512" s="888"/>
      <c r="AA512" s="888"/>
      <c r="AB512" s="888"/>
      <c r="AC512" s="888"/>
      <c r="AD512" s="888"/>
      <c r="AE512" s="888"/>
      <c r="AF512" s="888"/>
      <c r="AG512" s="888"/>
      <c r="AH512" s="888"/>
      <c r="AI512" s="888"/>
      <c r="AJ512" s="888"/>
      <c r="AK512" s="888"/>
      <c r="AL512" s="888"/>
      <c r="AM512" s="888"/>
      <c r="AN512" s="888"/>
      <c r="AO512" s="888"/>
      <c r="AP512" s="888"/>
      <c r="AQ512" s="888"/>
      <c r="AR512" s="888"/>
      <c r="AS512" s="888"/>
      <c r="AT512" s="888"/>
      <c r="AU512" s="888"/>
      <c r="AV512" s="888"/>
      <c r="AW512" s="888"/>
      <c r="AX512" s="888"/>
      <c r="AY512" s="888"/>
      <c r="AZ512" s="567"/>
      <c r="BA512" s="567"/>
      <c r="BB512" s="567"/>
      <c r="BC512" s="567"/>
      <c r="BD512" s="567"/>
      <c r="BE512" s="567"/>
      <c r="BF512" s="567"/>
      <c r="BG512" s="567"/>
      <c r="BH512" s="567"/>
      <c r="BI512" s="567"/>
      <c r="BJ512" s="567"/>
      <c r="BK512" s="567"/>
      <c r="BL512" s="567"/>
      <c r="BM512" s="567"/>
      <c r="BN512" s="567"/>
      <c r="BO512" s="567"/>
      <c r="BP512" s="567"/>
      <c r="BQ512" s="567"/>
      <c r="BR512" s="567"/>
      <c r="BS512" s="567"/>
      <c r="BT512" s="567"/>
      <c r="BU512" s="567"/>
      <c r="BV512" s="567"/>
      <c r="BW512" s="567"/>
      <c r="BX512" s="567"/>
      <c r="BY512" s="567"/>
      <c r="BZ512" s="567"/>
      <c r="CA512" s="567"/>
      <c r="CB512" s="567"/>
      <c r="CC512" s="567"/>
      <c r="CD512" s="567"/>
      <c r="CE512" s="567"/>
      <c r="CF512" s="567"/>
      <c r="CG512" s="567"/>
      <c r="CH512" s="567"/>
      <c r="CI512" s="567"/>
      <c r="CJ512" s="567"/>
      <c r="CK512" s="567"/>
      <c r="CL512" s="567"/>
      <c r="CM512" s="567"/>
      <c r="CN512" s="567"/>
      <c r="CO512" s="567"/>
      <c r="CP512" s="567"/>
      <c r="CQ512" s="567"/>
      <c r="CR512" s="567"/>
      <c r="CS512" s="567"/>
      <c r="CT512" s="567"/>
      <c r="CU512" s="567"/>
      <c r="CV512" s="567"/>
      <c r="CW512" s="567"/>
      <c r="CX512" s="567"/>
      <c r="CY512" s="567"/>
      <c r="CZ512" s="567"/>
      <c r="DA512" s="567"/>
      <c r="DB512" s="567"/>
      <c r="DC512" s="567"/>
      <c r="DD512" s="567"/>
      <c r="DE512" s="567"/>
      <c r="DF512" s="567"/>
      <c r="DG512" s="567"/>
      <c r="DH512" s="567"/>
      <c r="DI512" s="567"/>
      <c r="DJ512" s="567"/>
      <c r="DK512" s="567"/>
      <c r="DL512" s="567"/>
      <c r="DM512" s="567"/>
      <c r="DN512" s="567"/>
      <c r="DO512" s="567"/>
      <c r="DP512" s="567"/>
      <c r="DQ512" s="567"/>
    </row>
    <row r="513" spans="1:121" s="487" customFormat="1">
      <c r="A513" s="588"/>
      <c r="B513" s="588"/>
      <c r="C513" s="588"/>
      <c r="D513" s="588"/>
      <c r="E513" s="588"/>
      <c r="F513" s="588"/>
      <c r="G513" s="588"/>
      <c r="H513" s="588"/>
      <c r="I513" s="588"/>
      <c r="J513" s="588"/>
      <c r="K513" s="588"/>
      <c r="L513" s="702"/>
      <c r="M513" s="888"/>
      <c r="N513" s="888"/>
      <c r="O513" s="888"/>
      <c r="P513" s="888"/>
      <c r="Q513" s="888"/>
      <c r="R513" s="888"/>
      <c r="S513" s="888"/>
      <c r="T513" s="888"/>
      <c r="U513" s="888"/>
      <c r="V513" s="888"/>
      <c r="W513" s="888"/>
      <c r="X513" s="888"/>
      <c r="Y513" s="888"/>
      <c r="Z513" s="888"/>
      <c r="AA513" s="888"/>
      <c r="AB513" s="888"/>
      <c r="AC513" s="888"/>
      <c r="AD513" s="888"/>
      <c r="AE513" s="888"/>
      <c r="AF513" s="888"/>
      <c r="AG513" s="888"/>
      <c r="AH513" s="888"/>
      <c r="AI513" s="888"/>
      <c r="AJ513" s="888"/>
      <c r="AK513" s="888"/>
      <c r="AL513" s="888"/>
      <c r="AM513" s="888"/>
      <c r="AN513" s="888"/>
      <c r="AO513" s="888"/>
      <c r="AP513" s="888"/>
      <c r="AQ513" s="888"/>
      <c r="AR513" s="888"/>
      <c r="AS513" s="888"/>
      <c r="AT513" s="888"/>
      <c r="AU513" s="888"/>
      <c r="AV513" s="888"/>
      <c r="AW513" s="888"/>
      <c r="AX513" s="888"/>
      <c r="AY513" s="888"/>
      <c r="AZ513" s="567"/>
      <c r="BA513" s="567"/>
      <c r="BB513" s="567"/>
      <c r="BC513" s="567"/>
      <c r="BD513" s="567"/>
      <c r="BE513" s="567"/>
      <c r="BF513" s="567"/>
      <c r="BG513" s="567"/>
      <c r="BH513" s="567"/>
      <c r="BI513" s="567"/>
      <c r="BJ513" s="567"/>
      <c r="BK513" s="567"/>
      <c r="BL513" s="567"/>
      <c r="BM513" s="567"/>
      <c r="BN513" s="567"/>
      <c r="BO513" s="567"/>
      <c r="BP513" s="567"/>
      <c r="BQ513" s="567"/>
      <c r="BR513" s="567"/>
      <c r="BS513" s="567"/>
      <c r="BT513" s="567"/>
      <c r="BU513" s="567"/>
      <c r="BV513" s="567"/>
      <c r="BW513" s="567"/>
      <c r="BX513" s="567"/>
      <c r="BY513" s="567"/>
      <c r="BZ513" s="567"/>
      <c r="CA513" s="567"/>
      <c r="CB513" s="567"/>
      <c r="CC513" s="567"/>
      <c r="CD513" s="567"/>
      <c r="CE513" s="567"/>
      <c r="CF513" s="567"/>
      <c r="CG513" s="567"/>
      <c r="CH513" s="567"/>
      <c r="CI513" s="567"/>
      <c r="CJ513" s="567"/>
      <c r="CK513" s="567"/>
      <c r="CL513" s="567"/>
      <c r="CM513" s="567"/>
      <c r="CN513" s="567"/>
      <c r="CO513" s="567"/>
      <c r="CP513" s="567"/>
      <c r="CQ513" s="567"/>
      <c r="CR513" s="567"/>
      <c r="CS513" s="567"/>
      <c r="CT513" s="567"/>
      <c r="CU513" s="567"/>
      <c r="CV513" s="567"/>
      <c r="CW513" s="567"/>
      <c r="CX513" s="567"/>
      <c r="CY513" s="567"/>
      <c r="CZ513" s="567"/>
      <c r="DA513" s="567"/>
      <c r="DB513" s="567"/>
      <c r="DC513" s="567"/>
      <c r="DD513" s="567"/>
      <c r="DE513" s="567"/>
      <c r="DF513" s="567"/>
      <c r="DG513" s="567"/>
      <c r="DH513" s="567"/>
      <c r="DI513" s="567"/>
      <c r="DJ513" s="567"/>
      <c r="DK513" s="567"/>
      <c r="DL513" s="567"/>
      <c r="DM513" s="567"/>
      <c r="DN513" s="567"/>
      <c r="DO513" s="567"/>
      <c r="DP513" s="567"/>
      <c r="DQ513" s="567"/>
    </row>
    <row r="514" spans="1:121" s="487" customFormat="1">
      <c r="A514" s="588"/>
      <c r="B514" s="588"/>
      <c r="C514" s="588"/>
      <c r="D514" s="588"/>
      <c r="E514" s="588"/>
      <c r="F514" s="588"/>
      <c r="G514" s="588"/>
      <c r="H514" s="588"/>
      <c r="I514" s="588"/>
      <c r="J514" s="588"/>
      <c r="K514" s="588"/>
      <c r="L514" s="702"/>
      <c r="M514" s="888"/>
      <c r="N514" s="888"/>
      <c r="O514" s="888"/>
      <c r="P514" s="888"/>
      <c r="Q514" s="888"/>
      <c r="R514" s="888"/>
      <c r="S514" s="888"/>
      <c r="T514" s="888"/>
      <c r="U514" s="888"/>
      <c r="V514" s="888"/>
      <c r="W514" s="888"/>
      <c r="X514" s="888"/>
      <c r="Y514" s="888"/>
      <c r="Z514" s="888"/>
      <c r="AA514" s="888"/>
      <c r="AB514" s="888"/>
      <c r="AC514" s="888"/>
      <c r="AD514" s="888"/>
      <c r="AE514" s="888"/>
      <c r="AF514" s="888"/>
      <c r="AG514" s="888"/>
      <c r="AH514" s="888"/>
      <c r="AI514" s="888"/>
      <c r="AJ514" s="888"/>
      <c r="AK514" s="888"/>
      <c r="AL514" s="888"/>
      <c r="AM514" s="888"/>
      <c r="AN514" s="888"/>
      <c r="AO514" s="888"/>
      <c r="AP514" s="888"/>
      <c r="AQ514" s="888"/>
      <c r="AR514" s="888"/>
      <c r="AS514" s="888"/>
      <c r="AT514" s="888"/>
      <c r="AU514" s="888"/>
      <c r="AV514" s="888"/>
      <c r="AW514" s="888"/>
      <c r="AX514" s="888"/>
      <c r="AY514" s="888"/>
      <c r="AZ514" s="567"/>
      <c r="BA514" s="567"/>
      <c r="BB514" s="567"/>
      <c r="BC514" s="567"/>
      <c r="BD514" s="567"/>
      <c r="BE514" s="567"/>
      <c r="BF514" s="567"/>
      <c r="BG514" s="567"/>
      <c r="BH514" s="567"/>
      <c r="BI514" s="567"/>
      <c r="BJ514" s="567"/>
      <c r="BK514" s="567"/>
      <c r="BL514" s="567"/>
      <c r="BM514" s="567"/>
      <c r="BN514" s="567"/>
      <c r="BO514" s="567"/>
      <c r="BP514" s="567"/>
      <c r="BQ514" s="567"/>
      <c r="BR514" s="567"/>
      <c r="BS514" s="567"/>
      <c r="BT514" s="567"/>
      <c r="BU514" s="567"/>
      <c r="BV514" s="567"/>
      <c r="BW514" s="567"/>
      <c r="BX514" s="567"/>
      <c r="BY514" s="567"/>
      <c r="BZ514" s="567"/>
      <c r="CA514" s="567"/>
      <c r="CB514" s="567"/>
      <c r="CC514" s="567"/>
      <c r="CD514" s="567"/>
      <c r="CE514" s="567"/>
      <c r="CF514" s="567"/>
      <c r="CG514" s="567"/>
      <c r="CH514" s="567"/>
      <c r="CI514" s="567"/>
      <c r="CJ514" s="567"/>
      <c r="CK514" s="567"/>
      <c r="CL514" s="567"/>
      <c r="CM514" s="567"/>
      <c r="CN514" s="567"/>
      <c r="CO514" s="567"/>
      <c r="CP514" s="567"/>
      <c r="CQ514" s="567"/>
      <c r="CR514" s="567"/>
      <c r="CS514" s="567"/>
      <c r="CT514" s="567"/>
      <c r="CU514" s="567"/>
      <c r="CV514" s="567"/>
      <c r="CW514" s="567"/>
      <c r="CX514" s="567"/>
      <c r="CY514" s="567"/>
      <c r="CZ514" s="567"/>
      <c r="DA514" s="567"/>
      <c r="DB514" s="567"/>
      <c r="DC514" s="567"/>
      <c r="DD514" s="567"/>
      <c r="DE514" s="567"/>
      <c r="DF514" s="567"/>
      <c r="DG514" s="567"/>
      <c r="DH514" s="567"/>
      <c r="DI514" s="567"/>
      <c r="DJ514" s="567"/>
      <c r="DK514" s="567"/>
      <c r="DL514" s="567"/>
      <c r="DM514" s="567"/>
      <c r="DN514" s="567"/>
      <c r="DO514" s="567"/>
      <c r="DP514" s="567"/>
      <c r="DQ514" s="567"/>
    </row>
    <row r="515" spans="1:121" s="487" customFormat="1">
      <c r="A515" s="588"/>
      <c r="B515" s="588"/>
      <c r="C515" s="588"/>
      <c r="D515" s="588"/>
      <c r="E515" s="588"/>
      <c r="F515" s="588"/>
      <c r="G515" s="588"/>
      <c r="H515" s="588"/>
      <c r="I515" s="588"/>
      <c r="J515" s="588"/>
      <c r="K515" s="588"/>
      <c r="L515" s="702"/>
      <c r="M515" s="888"/>
      <c r="N515" s="888"/>
      <c r="O515" s="888"/>
      <c r="P515" s="888"/>
      <c r="Q515" s="888"/>
      <c r="R515" s="888"/>
      <c r="S515" s="888"/>
      <c r="T515" s="888"/>
      <c r="U515" s="888"/>
      <c r="V515" s="888"/>
      <c r="W515" s="888"/>
      <c r="X515" s="888"/>
      <c r="Y515" s="888"/>
      <c r="Z515" s="888"/>
      <c r="AA515" s="888"/>
      <c r="AB515" s="888"/>
      <c r="AC515" s="888"/>
      <c r="AD515" s="888"/>
      <c r="AE515" s="888"/>
      <c r="AF515" s="888"/>
      <c r="AG515" s="888"/>
      <c r="AH515" s="888"/>
      <c r="AI515" s="888"/>
      <c r="AJ515" s="888"/>
      <c r="AK515" s="888"/>
      <c r="AL515" s="888"/>
      <c r="AM515" s="888"/>
      <c r="AN515" s="888"/>
      <c r="AO515" s="888"/>
      <c r="AP515" s="888"/>
      <c r="AQ515" s="888"/>
      <c r="AR515" s="888"/>
      <c r="AS515" s="888"/>
      <c r="AT515" s="888"/>
      <c r="AU515" s="888"/>
      <c r="AV515" s="888"/>
      <c r="AW515" s="888"/>
      <c r="AX515" s="888"/>
      <c r="AY515" s="888"/>
      <c r="AZ515" s="567"/>
      <c r="BA515" s="567"/>
      <c r="BB515" s="567"/>
      <c r="BC515" s="567"/>
      <c r="BD515" s="567"/>
      <c r="BE515" s="567"/>
      <c r="BF515" s="567"/>
      <c r="BG515" s="567"/>
      <c r="BH515" s="567"/>
      <c r="BI515" s="567"/>
      <c r="BJ515" s="567"/>
      <c r="BK515" s="567"/>
      <c r="BL515" s="567"/>
      <c r="BM515" s="567"/>
      <c r="BN515" s="567"/>
      <c r="BO515" s="567"/>
      <c r="BP515" s="567"/>
      <c r="BQ515" s="567"/>
      <c r="BR515" s="567"/>
      <c r="BS515" s="567"/>
      <c r="BT515" s="567"/>
      <c r="BU515" s="567"/>
      <c r="BV515" s="567"/>
      <c r="BW515" s="567"/>
      <c r="BX515" s="567"/>
      <c r="BY515" s="567"/>
      <c r="BZ515" s="567"/>
      <c r="CA515" s="567"/>
      <c r="CB515" s="567"/>
      <c r="CC515" s="567"/>
      <c r="CD515" s="567"/>
      <c r="CE515" s="567"/>
      <c r="CF515" s="567"/>
      <c r="CG515" s="567"/>
      <c r="CH515" s="567"/>
      <c r="CI515" s="567"/>
      <c r="CJ515" s="567"/>
      <c r="CK515" s="567"/>
      <c r="CL515" s="567"/>
      <c r="CM515" s="567"/>
      <c r="CN515" s="567"/>
      <c r="CO515" s="567"/>
      <c r="CP515" s="567"/>
      <c r="CQ515" s="567"/>
      <c r="CR515" s="567"/>
      <c r="CS515" s="567"/>
      <c r="CT515" s="567"/>
      <c r="CU515" s="567"/>
      <c r="CV515" s="567"/>
      <c r="CW515" s="567"/>
      <c r="CX515" s="567"/>
      <c r="CY515" s="567"/>
      <c r="CZ515" s="567"/>
      <c r="DA515" s="567"/>
      <c r="DB515" s="567"/>
      <c r="DC515" s="567"/>
      <c r="DD515" s="567"/>
      <c r="DE515" s="567"/>
      <c r="DF515" s="567"/>
      <c r="DG515" s="567"/>
      <c r="DH515" s="567"/>
      <c r="DI515" s="567"/>
      <c r="DJ515" s="567"/>
      <c r="DK515" s="567"/>
      <c r="DL515" s="567"/>
      <c r="DM515" s="567"/>
      <c r="DN515" s="567"/>
      <c r="DO515" s="567"/>
      <c r="DP515" s="567"/>
      <c r="DQ515" s="567"/>
    </row>
    <row r="516" spans="1:121" s="487" customFormat="1">
      <c r="A516" s="588"/>
      <c r="B516" s="588"/>
      <c r="C516" s="588"/>
      <c r="D516" s="588"/>
      <c r="E516" s="588"/>
      <c r="F516" s="588"/>
      <c r="G516" s="588"/>
      <c r="H516" s="588"/>
      <c r="I516" s="588"/>
      <c r="J516" s="588"/>
      <c r="K516" s="588"/>
      <c r="L516" s="702"/>
      <c r="M516" s="888"/>
      <c r="N516" s="888"/>
      <c r="O516" s="888"/>
      <c r="P516" s="888"/>
      <c r="Q516" s="888"/>
      <c r="R516" s="888"/>
      <c r="S516" s="888"/>
      <c r="T516" s="888"/>
      <c r="U516" s="888"/>
      <c r="V516" s="888"/>
      <c r="W516" s="888"/>
      <c r="X516" s="888"/>
      <c r="Y516" s="888"/>
      <c r="Z516" s="888"/>
      <c r="AA516" s="888"/>
      <c r="AB516" s="888"/>
      <c r="AC516" s="888"/>
      <c r="AD516" s="888"/>
      <c r="AE516" s="888"/>
      <c r="AF516" s="888"/>
      <c r="AG516" s="888"/>
      <c r="AH516" s="888"/>
      <c r="AI516" s="888"/>
      <c r="AJ516" s="888"/>
      <c r="AK516" s="888"/>
      <c r="AL516" s="888"/>
      <c r="AM516" s="888"/>
      <c r="AN516" s="888"/>
      <c r="AO516" s="888"/>
      <c r="AP516" s="888"/>
      <c r="AQ516" s="888"/>
      <c r="AR516" s="888"/>
      <c r="AS516" s="888"/>
      <c r="AT516" s="888"/>
      <c r="AU516" s="888"/>
      <c r="AV516" s="888"/>
      <c r="AW516" s="888"/>
      <c r="AX516" s="888"/>
      <c r="AY516" s="888"/>
      <c r="AZ516" s="567"/>
      <c r="BA516" s="567"/>
      <c r="BB516" s="567"/>
      <c r="BC516" s="567"/>
      <c r="BD516" s="567"/>
      <c r="BE516" s="567"/>
      <c r="BF516" s="567"/>
      <c r="BG516" s="567"/>
      <c r="BH516" s="567"/>
      <c r="BI516" s="567"/>
      <c r="BJ516" s="567"/>
      <c r="BK516" s="567"/>
      <c r="BL516" s="567"/>
      <c r="BM516" s="567"/>
      <c r="BN516" s="567"/>
      <c r="BO516" s="567"/>
      <c r="BP516" s="567"/>
      <c r="BQ516" s="567"/>
      <c r="BR516" s="567"/>
      <c r="BS516" s="567"/>
      <c r="BT516" s="567"/>
      <c r="BU516" s="567"/>
      <c r="BV516" s="567"/>
      <c r="BW516" s="567"/>
      <c r="BX516" s="567"/>
      <c r="BY516" s="567"/>
      <c r="BZ516" s="567"/>
      <c r="CA516" s="567"/>
      <c r="CB516" s="567"/>
      <c r="CC516" s="567"/>
      <c r="CD516" s="567"/>
      <c r="CE516" s="567"/>
      <c r="CF516" s="567"/>
      <c r="CG516" s="567"/>
      <c r="CH516" s="567"/>
      <c r="CI516" s="567"/>
      <c r="CJ516" s="567"/>
      <c r="CK516" s="567"/>
      <c r="CL516" s="567"/>
      <c r="CM516" s="567"/>
      <c r="CN516" s="567"/>
      <c r="CO516" s="567"/>
      <c r="CP516" s="567"/>
      <c r="CQ516" s="567"/>
      <c r="CR516" s="567"/>
      <c r="CS516" s="567"/>
      <c r="CT516" s="567"/>
      <c r="CU516" s="567"/>
      <c r="CV516" s="567"/>
      <c r="CW516" s="567"/>
      <c r="CX516" s="567"/>
      <c r="CY516" s="567"/>
      <c r="CZ516" s="567"/>
      <c r="DA516" s="567"/>
      <c r="DB516" s="567"/>
      <c r="DC516" s="567"/>
      <c r="DD516" s="567"/>
      <c r="DE516" s="567"/>
      <c r="DF516" s="567"/>
      <c r="DG516" s="567"/>
      <c r="DH516" s="567"/>
      <c r="DI516" s="567"/>
      <c r="DJ516" s="567"/>
      <c r="DK516" s="567"/>
      <c r="DL516" s="567"/>
      <c r="DM516" s="567"/>
      <c r="DN516" s="567"/>
      <c r="DO516" s="567"/>
      <c r="DP516" s="567"/>
      <c r="DQ516" s="567"/>
    </row>
    <row r="517" spans="1:121" s="487" customFormat="1">
      <c r="A517" s="588"/>
      <c r="B517" s="588"/>
      <c r="C517" s="588"/>
      <c r="D517" s="588"/>
      <c r="E517" s="588"/>
      <c r="F517" s="588"/>
      <c r="G517" s="588"/>
      <c r="H517" s="588"/>
      <c r="I517" s="588"/>
      <c r="J517" s="588"/>
      <c r="K517" s="588"/>
      <c r="L517" s="702"/>
      <c r="M517" s="888"/>
      <c r="N517" s="888"/>
      <c r="O517" s="888"/>
      <c r="P517" s="888"/>
      <c r="Q517" s="888"/>
      <c r="R517" s="888"/>
      <c r="S517" s="888"/>
      <c r="T517" s="888"/>
      <c r="U517" s="888"/>
      <c r="V517" s="888"/>
      <c r="W517" s="888"/>
      <c r="X517" s="888"/>
      <c r="Y517" s="888"/>
      <c r="Z517" s="888"/>
      <c r="AA517" s="888"/>
      <c r="AB517" s="888"/>
      <c r="AC517" s="888"/>
      <c r="AD517" s="888"/>
      <c r="AE517" s="888"/>
      <c r="AF517" s="888"/>
      <c r="AG517" s="888"/>
      <c r="AH517" s="888"/>
      <c r="AI517" s="888"/>
      <c r="AJ517" s="888"/>
      <c r="AK517" s="888"/>
      <c r="AL517" s="888"/>
      <c r="AM517" s="888"/>
      <c r="AN517" s="888"/>
      <c r="AO517" s="888"/>
      <c r="AP517" s="888"/>
      <c r="AQ517" s="888"/>
      <c r="AR517" s="888"/>
      <c r="AS517" s="888"/>
      <c r="AT517" s="888"/>
      <c r="AU517" s="888"/>
      <c r="AV517" s="888"/>
      <c r="AW517" s="888"/>
      <c r="AX517" s="888"/>
      <c r="AY517" s="888"/>
      <c r="AZ517" s="567"/>
      <c r="BA517" s="567"/>
      <c r="BB517" s="567"/>
      <c r="BC517" s="567"/>
      <c r="BD517" s="567"/>
      <c r="BE517" s="567"/>
      <c r="BF517" s="567"/>
      <c r="BG517" s="567"/>
      <c r="BH517" s="567"/>
      <c r="BI517" s="567"/>
      <c r="BJ517" s="567"/>
      <c r="BK517" s="567"/>
      <c r="BL517" s="567"/>
      <c r="BM517" s="567"/>
      <c r="BN517" s="567"/>
      <c r="BO517" s="567"/>
      <c r="BP517" s="567"/>
      <c r="BQ517" s="567"/>
      <c r="BR517" s="567"/>
      <c r="BS517" s="567"/>
      <c r="BT517" s="567"/>
      <c r="BU517" s="567"/>
      <c r="BV517" s="567"/>
      <c r="BW517" s="567"/>
      <c r="BX517" s="567"/>
      <c r="BY517" s="567"/>
      <c r="BZ517" s="567"/>
      <c r="CA517" s="567"/>
      <c r="CB517" s="567"/>
      <c r="CC517" s="567"/>
      <c r="CD517" s="567"/>
      <c r="CE517" s="567"/>
      <c r="CF517" s="567"/>
      <c r="CG517" s="567"/>
      <c r="CH517" s="567"/>
      <c r="CI517" s="567"/>
      <c r="CJ517" s="567"/>
      <c r="CK517" s="567"/>
      <c r="CL517" s="567"/>
      <c r="CM517" s="567"/>
      <c r="CN517" s="567"/>
      <c r="CO517" s="567"/>
      <c r="CP517" s="567"/>
      <c r="CQ517" s="567"/>
      <c r="CR517" s="567"/>
      <c r="CS517" s="567"/>
      <c r="CT517" s="567"/>
      <c r="CU517" s="567"/>
      <c r="CV517" s="567"/>
      <c r="CW517" s="567"/>
      <c r="CX517" s="567"/>
      <c r="CY517" s="567"/>
      <c r="CZ517" s="567"/>
      <c r="DA517" s="567"/>
      <c r="DB517" s="567"/>
      <c r="DC517" s="567"/>
      <c r="DD517" s="567"/>
      <c r="DE517" s="567"/>
      <c r="DF517" s="567"/>
      <c r="DG517" s="567"/>
      <c r="DH517" s="567"/>
      <c r="DI517" s="567"/>
      <c r="DJ517" s="567"/>
      <c r="DK517" s="567"/>
      <c r="DL517" s="567"/>
      <c r="DM517" s="567"/>
      <c r="DN517" s="567"/>
      <c r="DO517" s="567"/>
      <c r="DP517" s="567"/>
      <c r="DQ517" s="567"/>
    </row>
    <row r="518" spans="1:121" s="487" customFormat="1">
      <c r="A518" s="588"/>
      <c r="B518" s="588"/>
      <c r="C518" s="588"/>
      <c r="D518" s="588"/>
      <c r="E518" s="588"/>
      <c r="F518" s="588"/>
      <c r="G518" s="588"/>
      <c r="H518" s="588"/>
      <c r="I518" s="588"/>
      <c r="J518" s="588"/>
      <c r="K518" s="588"/>
      <c r="L518" s="702"/>
      <c r="M518" s="888"/>
      <c r="N518" s="888"/>
      <c r="O518" s="888"/>
      <c r="P518" s="888"/>
      <c r="Q518" s="888"/>
      <c r="R518" s="888"/>
      <c r="S518" s="888"/>
      <c r="T518" s="888"/>
      <c r="U518" s="888"/>
      <c r="V518" s="888"/>
      <c r="W518" s="888"/>
      <c r="X518" s="888"/>
      <c r="Y518" s="888"/>
      <c r="Z518" s="888"/>
      <c r="AA518" s="888"/>
      <c r="AB518" s="888"/>
      <c r="AC518" s="888"/>
      <c r="AD518" s="888"/>
      <c r="AE518" s="888"/>
      <c r="AF518" s="888"/>
      <c r="AG518" s="888"/>
      <c r="AH518" s="888"/>
      <c r="AI518" s="888"/>
      <c r="AJ518" s="888"/>
      <c r="AK518" s="888"/>
      <c r="AL518" s="888"/>
      <c r="AM518" s="888"/>
      <c r="AN518" s="888"/>
      <c r="AO518" s="888"/>
      <c r="AP518" s="888"/>
      <c r="AQ518" s="888"/>
      <c r="AR518" s="888"/>
      <c r="AS518" s="888"/>
      <c r="AT518" s="888"/>
      <c r="AU518" s="888"/>
      <c r="AV518" s="888"/>
      <c r="AW518" s="888"/>
      <c r="AX518" s="888"/>
      <c r="AY518" s="888"/>
      <c r="AZ518" s="567"/>
      <c r="BA518" s="567"/>
      <c r="BB518" s="567"/>
      <c r="BC518" s="567"/>
      <c r="BD518" s="567"/>
      <c r="BE518" s="567"/>
      <c r="BF518" s="567"/>
      <c r="BG518" s="567"/>
      <c r="BH518" s="567"/>
      <c r="BI518" s="567"/>
      <c r="BJ518" s="567"/>
      <c r="BK518" s="567"/>
      <c r="BL518" s="567"/>
      <c r="BM518" s="567"/>
      <c r="BN518" s="567"/>
      <c r="BO518" s="567"/>
      <c r="BP518" s="567"/>
      <c r="BQ518" s="567"/>
      <c r="BR518" s="567"/>
      <c r="BS518" s="567"/>
      <c r="BT518" s="567"/>
      <c r="BU518" s="567"/>
      <c r="BV518" s="567"/>
      <c r="BW518" s="567"/>
      <c r="BX518" s="567"/>
      <c r="BY518" s="567"/>
      <c r="BZ518" s="567"/>
      <c r="CA518" s="567"/>
      <c r="CB518" s="567"/>
      <c r="CC518" s="567"/>
      <c r="CD518" s="567"/>
      <c r="CE518" s="567"/>
      <c r="CF518" s="567"/>
      <c r="CG518" s="567"/>
      <c r="CH518" s="567"/>
      <c r="CI518" s="567"/>
      <c r="CJ518" s="567"/>
      <c r="CK518" s="567"/>
      <c r="CL518" s="567"/>
      <c r="CM518" s="567"/>
      <c r="CN518" s="567"/>
      <c r="CO518" s="567"/>
      <c r="CP518" s="567"/>
      <c r="CQ518" s="567"/>
      <c r="CR518" s="567"/>
      <c r="CS518" s="567"/>
      <c r="CT518" s="567"/>
      <c r="CU518" s="567"/>
      <c r="CV518" s="567"/>
      <c r="CW518" s="567"/>
      <c r="CX518" s="567"/>
      <c r="CY518" s="567"/>
      <c r="CZ518" s="567"/>
      <c r="DA518" s="567"/>
      <c r="DB518" s="567"/>
      <c r="DC518" s="567"/>
      <c r="DD518" s="567"/>
      <c r="DE518" s="567"/>
      <c r="DF518" s="567"/>
      <c r="DG518" s="567"/>
      <c r="DH518" s="567"/>
      <c r="DI518" s="567"/>
      <c r="DJ518" s="567"/>
      <c r="DK518" s="567"/>
      <c r="DL518" s="567"/>
      <c r="DM518" s="567"/>
      <c r="DN518" s="567"/>
      <c r="DO518" s="567"/>
      <c r="DP518" s="567"/>
      <c r="DQ518" s="567"/>
    </row>
    <row r="519" spans="1:121" s="487" customFormat="1">
      <c r="A519" s="588"/>
      <c r="B519" s="588"/>
      <c r="C519" s="588"/>
      <c r="D519" s="588"/>
      <c r="E519" s="588"/>
      <c r="F519" s="588"/>
      <c r="G519" s="588"/>
      <c r="H519" s="588"/>
      <c r="I519" s="588"/>
      <c r="J519" s="588"/>
      <c r="K519" s="588"/>
      <c r="L519" s="702"/>
      <c r="M519" s="888"/>
      <c r="N519" s="888"/>
      <c r="O519" s="888"/>
      <c r="P519" s="888"/>
      <c r="Q519" s="888"/>
      <c r="R519" s="888"/>
      <c r="S519" s="888"/>
      <c r="T519" s="888"/>
      <c r="U519" s="888"/>
      <c r="V519" s="888"/>
      <c r="W519" s="888"/>
      <c r="X519" s="888"/>
      <c r="Y519" s="888"/>
      <c r="Z519" s="888"/>
      <c r="AA519" s="888"/>
      <c r="AB519" s="888"/>
      <c r="AC519" s="888"/>
      <c r="AD519" s="888"/>
      <c r="AE519" s="888"/>
      <c r="AF519" s="888"/>
      <c r="AG519" s="888"/>
      <c r="AH519" s="888"/>
      <c r="AI519" s="888"/>
      <c r="AJ519" s="888"/>
      <c r="AK519" s="888"/>
      <c r="AL519" s="888"/>
      <c r="AM519" s="888"/>
      <c r="AN519" s="888"/>
      <c r="AO519" s="888"/>
      <c r="AP519" s="888"/>
      <c r="AQ519" s="888"/>
      <c r="AR519" s="888"/>
      <c r="AS519" s="888"/>
      <c r="AT519" s="888"/>
      <c r="AU519" s="888"/>
      <c r="AV519" s="888"/>
      <c r="AW519" s="888"/>
      <c r="AX519" s="888"/>
      <c r="AY519" s="888"/>
      <c r="AZ519" s="567"/>
      <c r="BA519" s="567"/>
      <c r="BB519" s="567"/>
      <c r="BC519" s="567"/>
      <c r="BD519" s="567"/>
      <c r="BE519" s="567"/>
      <c r="BF519" s="567"/>
      <c r="BG519" s="567"/>
      <c r="BH519" s="567"/>
      <c r="BI519" s="567"/>
      <c r="BJ519" s="567"/>
      <c r="BK519" s="567"/>
      <c r="BL519" s="567"/>
      <c r="BM519" s="567"/>
      <c r="BN519" s="567"/>
      <c r="BO519" s="567"/>
      <c r="BP519" s="567"/>
      <c r="BQ519" s="567"/>
      <c r="BR519" s="567"/>
      <c r="BS519" s="567"/>
      <c r="BT519" s="567"/>
      <c r="BU519" s="567"/>
      <c r="BV519" s="567"/>
      <c r="BW519" s="567"/>
      <c r="BX519" s="567"/>
      <c r="BY519" s="567"/>
      <c r="BZ519" s="567"/>
      <c r="CA519" s="567"/>
      <c r="CB519" s="567"/>
      <c r="CC519" s="567"/>
      <c r="CD519" s="567"/>
      <c r="CE519" s="567"/>
      <c r="CF519" s="567"/>
      <c r="CG519" s="567"/>
      <c r="CH519" s="567"/>
      <c r="CI519" s="567"/>
      <c r="CJ519" s="567"/>
      <c r="CK519" s="567"/>
      <c r="CL519" s="567"/>
      <c r="CM519" s="567"/>
      <c r="CN519" s="567"/>
      <c r="CO519" s="567"/>
      <c r="CP519" s="567"/>
      <c r="CQ519" s="567"/>
      <c r="CR519" s="567"/>
      <c r="CS519" s="567"/>
      <c r="CT519" s="567"/>
      <c r="CU519" s="567"/>
      <c r="CV519" s="567"/>
      <c r="CW519" s="567"/>
      <c r="CX519" s="567"/>
      <c r="CY519" s="567"/>
      <c r="CZ519" s="567"/>
      <c r="DA519" s="567"/>
      <c r="DB519" s="567"/>
      <c r="DC519" s="567"/>
      <c r="DD519" s="567"/>
      <c r="DE519" s="567"/>
      <c r="DF519" s="567"/>
      <c r="DG519" s="567"/>
      <c r="DH519" s="567"/>
      <c r="DI519" s="567"/>
      <c r="DJ519" s="567"/>
      <c r="DK519" s="567"/>
      <c r="DL519" s="567"/>
      <c r="DM519" s="567"/>
      <c r="DN519" s="567"/>
      <c r="DO519" s="567"/>
      <c r="DP519" s="567"/>
      <c r="DQ519" s="567"/>
    </row>
    <row r="520" spans="1:121" s="487" customFormat="1">
      <c r="A520" s="588"/>
      <c r="B520" s="588"/>
      <c r="C520" s="588"/>
      <c r="D520" s="588"/>
      <c r="E520" s="588"/>
      <c r="F520" s="588"/>
      <c r="G520" s="588"/>
      <c r="H520" s="588"/>
      <c r="I520" s="588"/>
      <c r="J520" s="588"/>
      <c r="K520" s="588"/>
      <c r="L520" s="702"/>
      <c r="M520" s="888"/>
      <c r="N520" s="888"/>
      <c r="O520" s="888"/>
      <c r="P520" s="888"/>
      <c r="Q520" s="888"/>
      <c r="R520" s="888"/>
      <c r="S520" s="888"/>
      <c r="T520" s="888"/>
      <c r="U520" s="888"/>
      <c r="V520" s="888"/>
      <c r="W520" s="888"/>
      <c r="X520" s="888"/>
      <c r="Y520" s="888"/>
      <c r="Z520" s="888"/>
      <c r="AA520" s="888"/>
      <c r="AB520" s="888"/>
      <c r="AC520" s="888"/>
      <c r="AD520" s="888"/>
      <c r="AE520" s="888"/>
      <c r="AF520" s="888"/>
      <c r="AG520" s="888"/>
      <c r="AH520" s="888"/>
      <c r="AI520" s="888"/>
      <c r="AJ520" s="888"/>
      <c r="AK520" s="888"/>
      <c r="AL520" s="888"/>
      <c r="AM520" s="888"/>
      <c r="AN520" s="888"/>
      <c r="AO520" s="888"/>
      <c r="AP520" s="888"/>
      <c r="AQ520" s="888"/>
      <c r="AR520" s="888"/>
      <c r="AS520" s="888"/>
      <c r="AT520" s="888"/>
      <c r="AU520" s="888"/>
      <c r="AV520" s="888"/>
      <c r="AW520" s="888"/>
      <c r="AX520" s="888"/>
      <c r="AY520" s="888"/>
      <c r="AZ520" s="567"/>
      <c r="BA520" s="567"/>
      <c r="BB520" s="567"/>
      <c r="BC520" s="567"/>
      <c r="BD520" s="567"/>
      <c r="BE520" s="567"/>
      <c r="BF520" s="567"/>
      <c r="BG520" s="567"/>
      <c r="BH520" s="567"/>
      <c r="BI520" s="567"/>
      <c r="BJ520" s="567"/>
      <c r="BK520" s="567"/>
      <c r="BL520" s="567"/>
      <c r="BM520" s="567"/>
      <c r="BN520" s="567"/>
      <c r="BO520" s="567"/>
      <c r="BP520" s="567"/>
      <c r="BQ520" s="567"/>
      <c r="BR520" s="567"/>
      <c r="BS520" s="567"/>
      <c r="BT520" s="567"/>
      <c r="BU520" s="567"/>
      <c r="BV520" s="567"/>
      <c r="BW520" s="567"/>
      <c r="BX520" s="567"/>
      <c r="BY520" s="567"/>
      <c r="BZ520" s="567"/>
      <c r="CA520" s="567"/>
      <c r="CB520" s="567"/>
      <c r="CC520" s="567"/>
      <c r="CD520" s="567"/>
      <c r="CE520" s="567"/>
      <c r="CF520" s="567"/>
      <c r="CG520" s="567"/>
      <c r="CH520" s="567"/>
      <c r="CI520" s="567"/>
      <c r="CJ520" s="567"/>
      <c r="CK520" s="567"/>
      <c r="CL520" s="567"/>
      <c r="CM520" s="567"/>
      <c r="CN520" s="567"/>
      <c r="CO520" s="567"/>
      <c r="CP520" s="567"/>
      <c r="CQ520" s="567"/>
      <c r="CR520" s="567"/>
      <c r="CS520" s="567"/>
      <c r="CT520" s="567"/>
      <c r="CU520" s="567"/>
      <c r="CV520" s="567"/>
      <c r="CW520" s="567"/>
      <c r="CX520" s="567"/>
      <c r="CY520" s="567"/>
      <c r="CZ520" s="567"/>
      <c r="DA520" s="567"/>
      <c r="DB520" s="567"/>
      <c r="DC520" s="567"/>
      <c r="DD520" s="567"/>
      <c r="DE520" s="567"/>
      <c r="DF520" s="567"/>
      <c r="DG520" s="567"/>
      <c r="DH520" s="567"/>
      <c r="DI520" s="567"/>
      <c r="DJ520" s="567"/>
      <c r="DK520" s="567"/>
      <c r="DL520" s="567"/>
      <c r="DM520" s="567"/>
      <c r="DN520" s="567"/>
      <c r="DO520" s="567"/>
      <c r="DP520" s="567"/>
      <c r="DQ520" s="567"/>
    </row>
    <row r="521" spans="1:121" s="487" customFormat="1">
      <c r="A521" s="588"/>
      <c r="B521" s="588"/>
      <c r="C521" s="588"/>
      <c r="D521" s="588"/>
      <c r="E521" s="588"/>
      <c r="F521" s="588"/>
      <c r="G521" s="588"/>
      <c r="H521" s="588"/>
      <c r="I521" s="588"/>
      <c r="J521" s="588"/>
      <c r="K521" s="588"/>
      <c r="L521" s="702"/>
      <c r="M521" s="888"/>
      <c r="N521" s="888"/>
      <c r="O521" s="888"/>
      <c r="P521" s="888"/>
      <c r="Q521" s="888"/>
      <c r="R521" s="888"/>
      <c r="S521" s="888"/>
      <c r="T521" s="888"/>
      <c r="U521" s="888"/>
      <c r="V521" s="888"/>
      <c r="W521" s="888"/>
      <c r="X521" s="888"/>
      <c r="Y521" s="888"/>
      <c r="Z521" s="888"/>
      <c r="AA521" s="888"/>
      <c r="AB521" s="888"/>
      <c r="AC521" s="888"/>
      <c r="AD521" s="888"/>
      <c r="AE521" s="888"/>
      <c r="AF521" s="888"/>
      <c r="AG521" s="888"/>
      <c r="AH521" s="888"/>
      <c r="AI521" s="888"/>
      <c r="AJ521" s="888"/>
      <c r="AK521" s="888"/>
      <c r="AL521" s="888"/>
      <c r="AM521" s="888"/>
      <c r="AN521" s="888"/>
      <c r="AO521" s="888"/>
      <c r="AP521" s="888"/>
      <c r="AQ521" s="888"/>
      <c r="AR521" s="888"/>
      <c r="AS521" s="888"/>
      <c r="AT521" s="888"/>
      <c r="AU521" s="888"/>
      <c r="AV521" s="888"/>
      <c r="AW521" s="888"/>
      <c r="AX521" s="888"/>
      <c r="AY521" s="888"/>
      <c r="AZ521" s="567"/>
      <c r="BA521" s="567"/>
      <c r="BB521" s="567"/>
      <c r="BC521" s="567"/>
      <c r="BD521" s="567"/>
      <c r="BE521" s="567"/>
      <c r="BF521" s="567"/>
      <c r="BG521" s="567"/>
      <c r="BH521" s="567"/>
      <c r="BI521" s="567"/>
      <c r="BJ521" s="567"/>
      <c r="BK521" s="567"/>
      <c r="BL521" s="567"/>
      <c r="BM521" s="567"/>
      <c r="BN521" s="567"/>
      <c r="BO521" s="567"/>
      <c r="BP521" s="567"/>
      <c r="BQ521" s="567"/>
      <c r="BR521" s="567"/>
      <c r="BS521" s="567"/>
      <c r="BT521" s="567"/>
      <c r="BU521" s="567"/>
      <c r="BV521" s="567"/>
      <c r="BW521" s="567"/>
      <c r="BX521" s="567"/>
      <c r="BY521" s="567"/>
      <c r="BZ521" s="567"/>
      <c r="CA521" s="567"/>
      <c r="CB521" s="567"/>
      <c r="CC521" s="567"/>
      <c r="CD521" s="567"/>
      <c r="CE521" s="567"/>
      <c r="CF521" s="567"/>
      <c r="CG521" s="567"/>
      <c r="CH521" s="567"/>
      <c r="CI521" s="567"/>
      <c r="CJ521" s="567"/>
      <c r="CK521" s="567"/>
      <c r="CL521" s="567"/>
      <c r="CM521" s="567"/>
      <c r="CN521" s="567"/>
      <c r="CO521" s="567"/>
      <c r="CP521" s="567"/>
      <c r="CQ521" s="567"/>
      <c r="CR521" s="567"/>
      <c r="CS521" s="567"/>
      <c r="CT521" s="567"/>
      <c r="CU521" s="567"/>
      <c r="CV521" s="567"/>
      <c r="CW521" s="567"/>
      <c r="CX521" s="567"/>
      <c r="CY521" s="567"/>
      <c r="CZ521" s="567"/>
      <c r="DA521" s="567"/>
      <c r="DB521" s="567"/>
      <c r="DC521" s="567"/>
      <c r="DD521" s="567"/>
      <c r="DE521" s="567"/>
      <c r="DF521" s="567"/>
      <c r="DG521" s="567"/>
      <c r="DH521" s="567"/>
      <c r="DI521" s="567"/>
      <c r="DJ521" s="567"/>
      <c r="DK521" s="567"/>
      <c r="DL521" s="567"/>
      <c r="DM521" s="567"/>
      <c r="DN521" s="567"/>
      <c r="DO521" s="567"/>
      <c r="DP521" s="567"/>
      <c r="DQ521" s="567"/>
    </row>
    <row r="522" spans="1:121" s="487" customFormat="1">
      <c r="A522" s="588"/>
      <c r="B522" s="588"/>
      <c r="C522" s="588"/>
      <c r="D522" s="588"/>
      <c r="E522" s="588"/>
      <c r="F522" s="588"/>
      <c r="G522" s="588"/>
      <c r="H522" s="588"/>
      <c r="I522" s="588"/>
      <c r="J522" s="588"/>
      <c r="K522" s="588"/>
      <c r="L522" s="702"/>
      <c r="M522" s="888"/>
      <c r="N522" s="888"/>
      <c r="O522" s="888"/>
      <c r="P522" s="888"/>
      <c r="Q522" s="888"/>
      <c r="R522" s="888"/>
      <c r="S522" s="888"/>
      <c r="T522" s="888"/>
      <c r="U522" s="888"/>
      <c r="V522" s="888"/>
      <c r="W522" s="888"/>
      <c r="X522" s="888"/>
      <c r="Y522" s="888"/>
      <c r="Z522" s="888"/>
      <c r="AA522" s="888"/>
      <c r="AB522" s="888"/>
      <c r="AC522" s="888"/>
      <c r="AD522" s="888"/>
      <c r="AE522" s="888"/>
      <c r="AF522" s="888"/>
      <c r="AG522" s="888"/>
      <c r="AH522" s="888"/>
      <c r="AI522" s="888"/>
      <c r="AJ522" s="888"/>
      <c r="AK522" s="888"/>
      <c r="AL522" s="888"/>
      <c r="AM522" s="888"/>
      <c r="AN522" s="888"/>
      <c r="AO522" s="888"/>
      <c r="AP522" s="888"/>
      <c r="AQ522" s="888"/>
      <c r="AR522" s="888"/>
      <c r="AS522" s="888"/>
      <c r="AT522" s="888"/>
      <c r="AU522" s="888"/>
      <c r="AV522" s="888"/>
      <c r="AW522" s="888"/>
      <c r="AX522" s="888"/>
      <c r="AY522" s="888"/>
      <c r="AZ522" s="567"/>
      <c r="BA522" s="567"/>
      <c r="BB522" s="567"/>
      <c r="BC522" s="567"/>
      <c r="BD522" s="567"/>
      <c r="BE522" s="567"/>
      <c r="BF522" s="567"/>
      <c r="BG522" s="567"/>
      <c r="BH522" s="567"/>
      <c r="BI522" s="567"/>
      <c r="BJ522" s="567"/>
      <c r="BK522" s="567"/>
      <c r="BL522" s="567"/>
      <c r="BM522" s="567"/>
      <c r="BN522" s="567"/>
      <c r="BO522" s="567"/>
      <c r="BP522" s="567"/>
      <c r="BQ522" s="567"/>
      <c r="BR522" s="567"/>
      <c r="BS522" s="567"/>
      <c r="BT522" s="567"/>
      <c r="BU522" s="567"/>
      <c r="BV522" s="567"/>
      <c r="BW522" s="567"/>
      <c r="BX522" s="567"/>
      <c r="BY522" s="567"/>
      <c r="BZ522" s="567"/>
      <c r="CA522" s="567"/>
      <c r="CB522" s="567"/>
      <c r="CC522" s="567"/>
      <c r="CD522" s="567"/>
      <c r="CE522" s="567"/>
      <c r="CF522" s="567"/>
      <c r="CG522" s="567"/>
      <c r="CH522" s="567"/>
      <c r="CI522" s="567"/>
      <c r="CJ522" s="567"/>
      <c r="CK522" s="567"/>
      <c r="CL522" s="567"/>
      <c r="CM522" s="567"/>
      <c r="CN522" s="567"/>
      <c r="CO522" s="567"/>
      <c r="CP522" s="567"/>
      <c r="CQ522" s="567"/>
      <c r="CR522" s="567"/>
      <c r="CS522" s="567"/>
      <c r="CT522" s="567"/>
      <c r="CU522" s="567"/>
      <c r="CV522" s="567"/>
      <c r="CW522" s="567"/>
      <c r="CX522" s="567"/>
      <c r="CY522" s="567"/>
      <c r="CZ522" s="567"/>
      <c r="DA522" s="567"/>
      <c r="DB522" s="567"/>
      <c r="DC522" s="567"/>
      <c r="DD522" s="567"/>
      <c r="DE522" s="567"/>
      <c r="DF522" s="567"/>
      <c r="DG522" s="567"/>
      <c r="DH522" s="567"/>
      <c r="DI522" s="567"/>
      <c r="DJ522" s="567"/>
      <c r="DK522" s="567"/>
      <c r="DL522" s="567"/>
      <c r="DM522" s="567"/>
      <c r="DN522" s="567"/>
      <c r="DO522" s="567"/>
      <c r="DP522" s="567"/>
      <c r="DQ522" s="567"/>
    </row>
    <row r="523" spans="1:121" s="487" customFormat="1">
      <c r="A523" s="588"/>
      <c r="B523" s="588"/>
      <c r="C523" s="588"/>
      <c r="D523" s="588"/>
      <c r="E523" s="588"/>
      <c r="F523" s="588"/>
      <c r="G523" s="588"/>
      <c r="H523" s="588"/>
      <c r="I523" s="588"/>
      <c r="J523" s="588"/>
      <c r="K523" s="588"/>
      <c r="L523" s="702"/>
      <c r="M523" s="888"/>
      <c r="N523" s="888"/>
      <c r="O523" s="888"/>
      <c r="P523" s="888"/>
      <c r="Q523" s="888"/>
      <c r="R523" s="888"/>
      <c r="S523" s="888"/>
      <c r="T523" s="888"/>
      <c r="U523" s="888"/>
      <c r="V523" s="888"/>
      <c r="W523" s="888"/>
      <c r="X523" s="888"/>
      <c r="Y523" s="888"/>
      <c r="Z523" s="888"/>
      <c r="AA523" s="888"/>
      <c r="AB523" s="888"/>
      <c r="AC523" s="888"/>
      <c r="AD523" s="888"/>
      <c r="AE523" s="888"/>
      <c r="AF523" s="888"/>
      <c r="AG523" s="888"/>
      <c r="AH523" s="888"/>
      <c r="AI523" s="888"/>
      <c r="AJ523" s="888"/>
      <c r="AK523" s="888"/>
      <c r="AL523" s="888"/>
      <c r="AM523" s="888"/>
      <c r="AN523" s="888"/>
      <c r="AO523" s="888"/>
      <c r="AP523" s="888"/>
      <c r="AQ523" s="888"/>
      <c r="AR523" s="888"/>
      <c r="AS523" s="888"/>
      <c r="AT523" s="888"/>
      <c r="AU523" s="888"/>
      <c r="AV523" s="888"/>
      <c r="AW523" s="888"/>
      <c r="AX523" s="888"/>
      <c r="AY523" s="888"/>
      <c r="AZ523" s="567"/>
      <c r="BA523" s="567"/>
      <c r="BB523" s="567"/>
      <c r="BC523" s="567"/>
      <c r="BD523" s="567"/>
      <c r="BE523" s="567"/>
      <c r="BF523" s="567"/>
      <c r="BG523" s="567"/>
      <c r="BH523" s="567"/>
      <c r="BI523" s="567"/>
      <c r="BJ523" s="567"/>
      <c r="BK523" s="567"/>
      <c r="BL523" s="567"/>
      <c r="BM523" s="567"/>
      <c r="BN523" s="567"/>
      <c r="BO523" s="567"/>
      <c r="BP523" s="567"/>
      <c r="BQ523" s="567"/>
      <c r="BR523" s="567"/>
      <c r="BS523" s="567"/>
      <c r="BT523" s="567"/>
      <c r="BU523" s="567"/>
      <c r="BV523" s="567"/>
      <c r="BW523" s="567"/>
      <c r="BX523" s="567"/>
      <c r="BY523" s="567"/>
      <c r="BZ523" s="567"/>
      <c r="CA523" s="567"/>
      <c r="CB523" s="567"/>
      <c r="CC523" s="567"/>
      <c r="CD523" s="567"/>
      <c r="CE523" s="567"/>
      <c r="CF523" s="567"/>
      <c r="CG523" s="567"/>
      <c r="CH523" s="567"/>
      <c r="CI523" s="567"/>
      <c r="CJ523" s="567"/>
      <c r="CK523" s="567"/>
      <c r="CL523" s="567"/>
      <c r="CM523" s="567"/>
      <c r="CN523" s="567"/>
      <c r="CO523" s="567"/>
      <c r="CP523" s="567"/>
      <c r="CQ523" s="567"/>
      <c r="CR523" s="567"/>
      <c r="CS523" s="567"/>
      <c r="CT523" s="567"/>
      <c r="CU523" s="567"/>
      <c r="CV523" s="567"/>
      <c r="CW523" s="567"/>
      <c r="CX523" s="567"/>
      <c r="CY523" s="567"/>
      <c r="CZ523" s="567"/>
      <c r="DA523" s="567"/>
      <c r="DB523" s="567"/>
      <c r="DC523" s="567"/>
      <c r="DD523" s="567"/>
      <c r="DE523" s="567"/>
      <c r="DF523" s="567"/>
      <c r="DG523" s="567"/>
      <c r="DH523" s="567"/>
      <c r="DI523" s="567"/>
      <c r="DJ523" s="567"/>
      <c r="DK523" s="567"/>
      <c r="DL523" s="567"/>
      <c r="DM523" s="567"/>
      <c r="DN523" s="567"/>
      <c r="DO523" s="567"/>
      <c r="DP523" s="567"/>
      <c r="DQ523" s="567"/>
    </row>
    <row r="524" spans="1:121" s="487" customFormat="1">
      <c r="A524" s="588"/>
      <c r="B524" s="588"/>
      <c r="C524" s="588"/>
      <c r="D524" s="588"/>
      <c r="E524" s="588"/>
      <c r="F524" s="588"/>
      <c r="G524" s="588"/>
      <c r="H524" s="588"/>
      <c r="I524" s="588"/>
      <c r="J524" s="588"/>
      <c r="K524" s="588"/>
      <c r="L524" s="702"/>
      <c r="M524" s="888"/>
      <c r="N524" s="888"/>
      <c r="O524" s="888"/>
      <c r="P524" s="888"/>
      <c r="Q524" s="888"/>
      <c r="R524" s="888"/>
      <c r="S524" s="888"/>
      <c r="T524" s="888"/>
      <c r="U524" s="888"/>
      <c r="V524" s="888"/>
      <c r="W524" s="888"/>
      <c r="X524" s="888"/>
      <c r="Y524" s="888"/>
      <c r="Z524" s="888"/>
      <c r="AA524" s="888"/>
      <c r="AB524" s="888"/>
      <c r="AC524" s="888"/>
      <c r="AD524" s="888"/>
      <c r="AE524" s="888"/>
      <c r="AF524" s="888"/>
      <c r="AG524" s="888"/>
      <c r="AH524" s="888"/>
      <c r="AI524" s="888"/>
      <c r="AJ524" s="888"/>
      <c r="AK524" s="888"/>
      <c r="AL524" s="888"/>
      <c r="AM524" s="888"/>
      <c r="AN524" s="888"/>
      <c r="AO524" s="888"/>
      <c r="AP524" s="888"/>
      <c r="AQ524" s="888"/>
      <c r="AR524" s="888"/>
      <c r="AS524" s="888"/>
      <c r="AT524" s="888"/>
      <c r="AU524" s="888"/>
      <c r="AV524" s="888"/>
      <c r="AW524" s="888"/>
      <c r="AX524" s="888"/>
      <c r="AY524" s="888"/>
      <c r="AZ524" s="567"/>
      <c r="BA524" s="567"/>
      <c r="BB524" s="567"/>
      <c r="BC524" s="567"/>
      <c r="BD524" s="567"/>
      <c r="BE524" s="567"/>
      <c r="BF524" s="567"/>
      <c r="BG524" s="567"/>
      <c r="BH524" s="567"/>
      <c r="BI524" s="567"/>
      <c r="BJ524" s="567"/>
      <c r="BK524" s="567"/>
      <c r="BL524" s="567"/>
      <c r="BM524" s="567"/>
      <c r="BN524" s="567"/>
      <c r="BO524" s="567"/>
      <c r="BP524" s="567"/>
      <c r="BQ524" s="567"/>
      <c r="BR524" s="567"/>
      <c r="BS524" s="567"/>
      <c r="BT524" s="567"/>
      <c r="BU524" s="567"/>
      <c r="BV524" s="567"/>
      <c r="BW524" s="567"/>
      <c r="BX524" s="567"/>
      <c r="BY524" s="567"/>
      <c r="BZ524" s="567"/>
      <c r="CA524" s="567"/>
      <c r="CB524" s="567"/>
      <c r="CC524" s="567"/>
      <c r="CD524" s="567"/>
      <c r="CE524" s="567"/>
      <c r="CF524" s="567"/>
      <c r="CG524" s="567"/>
      <c r="CH524" s="567"/>
      <c r="CI524" s="567"/>
      <c r="CJ524" s="567"/>
      <c r="CK524" s="567"/>
      <c r="CL524" s="567"/>
      <c r="CM524" s="567"/>
      <c r="CN524" s="567"/>
      <c r="CO524" s="567"/>
      <c r="CP524" s="567"/>
      <c r="CQ524" s="567"/>
      <c r="CR524" s="567"/>
      <c r="CS524" s="567"/>
      <c r="CT524" s="567"/>
      <c r="CU524" s="567"/>
      <c r="CV524" s="567"/>
      <c r="CW524" s="567"/>
      <c r="CX524" s="567"/>
      <c r="CY524" s="567"/>
      <c r="CZ524" s="567"/>
      <c r="DA524" s="567"/>
      <c r="DB524" s="567"/>
      <c r="DC524" s="567"/>
      <c r="DD524" s="567"/>
      <c r="DE524" s="567"/>
      <c r="DF524" s="567"/>
      <c r="DG524" s="567"/>
      <c r="DH524" s="567"/>
      <c r="DI524" s="567"/>
      <c r="DJ524" s="567"/>
      <c r="DK524" s="567"/>
      <c r="DL524" s="567"/>
      <c r="DM524" s="567"/>
      <c r="DN524" s="567"/>
      <c r="DO524" s="567"/>
      <c r="DP524" s="567"/>
      <c r="DQ524" s="567"/>
    </row>
    <row r="525" spans="1:121" s="487" customFormat="1">
      <c r="A525" s="588"/>
      <c r="B525" s="588"/>
      <c r="C525" s="588"/>
      <c r="D525" s="588"/>
      <c r="E525" s="588"/>
      <c r="F525" s="588"/>
      <c r="G525" s="588"/>
      <c r="H525" s="588"/>
      <c r="I525" s="588"/>
      <c r="J525" s="588"/>
      <c r="K525" s="588"/>
      <c r="L525" s="702"/>
      <c r="M525" s="888"/>
      <c r="N525" s="888"/>
      <c r="O525" s="888"/>
      <c r="P525" s="888"/>
      <c r="Q525" s="888"/>
      <c r="R525" s="888"/>
      <c r="S525" s="888"/>
      <c r="T525" s="888"/>
      <c r="U525" s="888"/>
      <c r="V525" s="888"/>
      <c r="W525" s="888"/>
      <c r="X525" s="888"/>
      <c r="Y525" s="888"/>
      <c r="Z525" s="888"/>
      <c r="AA525" s="888"/>
      <c r="AB525" s="888"/>
      <c r="AC525" s="888"/>
      <c r="AD525" s="888"/>
      <c r="AE525" s="888"/>
      <c r="AF525" s="888"/>
      <c r="AG525" s="888"/>
      <c r="AH525" s="888"/>
      <c r="AI525" s="888"/>
      <c r="AJ525" s="888"/>
      <c r="AK525" s="888"/>
      <c r="AL525" s="888"/>
      <c r="AM525" s="888"/>
      <c r="AN525" s="888"/>
      <c r="AO525" s="888"/>
      <c r="AP525" s="888"/>
      <c r="AQ525" s="888"/>
      <c r="AR525" s="888"/>
      <c r="AS525" s="888"/>
      <c r="AT525" s="888"/>
      <c r="AU525" s="888"/>
      <c r="AV525" s="888"/>
      <c r="AW525" s="888"/>
      <c r="AX525" s="888"/>
      <c r="AY525" s="888"/>
      <c r="AZ525" s="567"/>
      <c r="BA525" s="567"/>
      <c r="BB525" s="567"/>
      <c r="BC525" s="567"/>
      <c r="BD525" s="567"/>
      <c r="BE525" s="567"/>
      <c r="BF525" s="567"/>
      <c r="BG525" s="567"/>
      <c r="BH525" s="567"/>
      <c r="BI525" s="567"/>
      <c r="BJ525" s="567"/>
      <c r="BK525" s="567"/>
      <c r="BL525" s="567"/>
      <c r="BM525" s="567"/>
      <c r="BN525" s="567"/>
      <c r="BO525" s="567"/>
      <c r="BP525" s="567"/>
      <c r="BQ525" s="567"/>
      <c r="BR525" s="567"/>
      <c r="BS525" s="567"/>
      <c r="BT525" s="567"/>
      <c r="BU525" s="567"/>
      <c r="BV525" s="567"/>
      <c r="BW525" s="567"/>
      <c r="BX525" s="567"/>
      <c r="BY525" s="567"/>
      <c r="BZ525" s="567"/>
      <c r="CA525" s="567"/>
      <c r="CB525" s="567"/>
      <c r="CC525" s="567"/>
      <c r="CD525" s="567"/>
      <c r="CE525" s="567"/>
      <c r="CF525" s="567"/>
      <c r="CG525" s="567"/>
      <c r="CH525" s="567"/>
      <c r="CI525" s="567"/>
      <c r="CJ525" s="567"/>
      <c r="CK525" s="567"/>
      <c r="CL525" s="567"/>
      <c r="CM525" s="567"/>
      <c r="CN525" s="567"/>
      <c r="CO525" s="567"/>
      <c r="CP525" s="567"/>
      <c r="CQ525" s="567"/>
      <c r="CR525" s="567"/>
      <c r="CS525" s="567"/>
      <c r="CT525" s="567"/>
      <c r="CU525" s="567"/>
      <c r="CV525" s="567"/>
      <c r="CW525" s="567"/>
      <c r="CX525" s="567"/>
      <c r="CY525" s="567"/>
      <c r="CZ525" s="567"/>
      <c r="DA525" s="567"/>
      <c r="DB525" s="567"/>
      <c r="DC525" s="567"/>
      <c r="DD525" s="567"/>
      <c r="DE525" s="567"/>
      <c r="DF525" s="567"/>
      <c r="DG525" s="567"/>
      <c r="DH525" s="567"/>
      <c r="DI525" s="567"/>
      <c r="DJ525" s="567"/>
      <c r="DK525" s="567"/>
      <c r="DL525" s="567"/>
      <c r="DM525" s="567"/>
      <c r="DN525" s="567"/>
      <c r="DO525" s="567"/>
      <c r="DP525" s="567"/>
      <c r="DQ525" s="567"/>
    </row>
    <row r="526" spans="1:121" s="487" customFormat="1">
      <c r="A526" s="588"/>
      <c r="B526" s="588"/>
      <c r="C526" s="588"/>
      <c r="D526" s="588"/>
      <c r="E526" s="588"/>
      <c r="F526" s="588"/>
      <c r="G526" s="588"/>
      <c r="H526" s="588"/>
      <c r="I526" s="588"/>
      <c r="J526" s="588"/>
      <c r="K526" s="588"/>
      <c r="L526" s="702"/>
      <c r="M526" s="888"/>
      <c r="N526" s="888"/>
      <c r="O526" s="888"/>
      <c r="P526" s="888"/>
      <c r="Q526" s="888"/>
      <c r="R526" s="888"/>
      <c r="S526" s="888"/>
      <c r="T526" s="888"/>
      <c r="U526" s="888"/>
      <c r="V526" s="888"/>
      <c r="W526" s="888"/>
      <c r="X526" s="888"/>
      <c r="Y526" s="888"/>
      <c r="Z526" s="888"/>
      <c r="AA526" s="888"/>
      <c r="AB526" s="888"/>
      <c r="AC526" s="888"/>
      <c r="AD526" s="888"/>
      <c r="AE526" s="888"/>
      <c r="AF526" s="888"/>
      <c r="AG526" s="888"/>
      <c r="AH526" s="888"/>
      <c r="AI526" s="888"/>
      <c r="AJ526" s="888"/>
      <c r="AK526" s="888"/>
      <c r="AL526" s="888"/>
      <c r="AM526" s="888"/>
      <c r="AN526" s="888"/>
      <c r="AO526" s="888"/>
      <c r="AP526" s="888"/>
      <c r="AQ526" s="888"/>
      <c r="AR526" s="888"/>
      <c r="AS526" s="888"/>
      <c r="AT526" s="888"/>
      <c r="AU526" s="888"/>
      <c r="AV526" s="888"/>
      <c r="AW526" s="888"/>
      <c r="AX526" s="888"/>
      <c r="AY526" s="888"/>
      <c r="AZ526" s="567"/>
      <c r="BA526" s="567"/>
      <c r="BB526" s="567"/>
      <c r="BC526" s="567"/>
      <c r="BD526" s="567"/>
      <c r="BE526" s="567"/>
      <c r="BF526" s="567"/>
      <c r="BG526" s="567"/>
      <c r="BH526" s="567"/>
      <c r="BI526" s="567"/>
      <c r="BJ526" s="567"/>
      <c r="BK526" s="567"/>
      <c r="BL526" s="567"/>
      <c r="BM526" s="567"/>
      <c r="BN526" s="567"/>
      <c r="BO526" s="567"/>
      <c r="BP526" s="567"/>
      <c r="BQ526" s="567"/>
      <c r="BR526" s="567"/>
      <c r="BS526" s="567"/>
      <c r="BT526" s="567"/>
      <c r="BU526" s="567"/>
      <c r="BV526" s="567"/>
      <c r="BW526" s="567"/>
      <c r="BX526" s="567"/>
      <c r="BY526" s="567"/>
      <c r="BZ526" s="567"/>
      <c r="CA526" s="567"/>
      <c r="CB526" s="567"/>
      <c r="CC526" s="567"/>
      <c r="CD526" s="567"/>
      <c r="CE526" s="567"/>
      <c r="CF526" s="567"/>
      <c r="CG526" s="567"/>
      <c r="CH526" s="567"/>
      <c r="CI526" s="567"/>
      <c r="CJ526" s="567"/>
      <c r="CK526" s="567"/>
      <c r="CL526" s="567"/>
      <c r="CM526" s="567"/>
      <c r="CN526" s="567"/>
      <c r="CO526" s="567"/>
      <c r="CP526" s="567"/>
      <c r="CQ526" s="567"/>
      <c r="CR526" s="567"/>
      <c r="CS526" s="567"/>
      <c r="CT526" s="567"/>
      <c r="CU526" s="567"/>
      <c r="CV526" s="567"/>
      <c r="CW526" s="567"/>
      <c r="CX526" s="567"/>
      <c r="CY526" s="567"/>
      <c r="CZ526" s="567"/>
      <c r="DA526" s="567"/>
      <c r="DB526" s="567"/>
      <c r="DC526" s="567"/>
      <c r="DD526" s="567"/>
      <c r="DE526" s="567"/>
      <c r="DF526" s="567"/>
      <c r="DG526" s="567"/>
      <c r="DH526" s="567"/>
      <c r="DI526" s="567"/>
      <c r="DJ526" s="567"/>
      <c r="DK526" s="567"/>
      <c r="DL526" s="567"/>
      <c r="DM526" s="567"/>
      <c r="DN526" s="567"/>
      <c r="DO526" s="567"/>
      <c r="DP526" s="567"/>
      <c r="DQ526" s="567"/>
    </row>
    <row r="527" spans="1:121" s="487" customFormat="1">
      <c r="A527" s="588"/>
      <c r="B527" s="588"/>
      <c r="C527" s="588"/>
      <c r="D527" s="588"/>
      <c r="E527" s="588"/>
      <c r="F527" s="588"/>
      <c r="G527" s="588"/>
      <c r="H527" s="588"/>
      <c r="I527" s="588"/>
      <c r="J527" s="588"/>
      <c r="K527" s="588"/>
      <c r="L527" s="702"/>
      <c r="M527" s="888"/>
      <c r="N527" s="888"/>
      <c r="O527" s="888"/>
      <c r="P527" s="888"/>
      <c r="Q527" s="888"/>
      <c r="R527" s="888"/>
      <c r="S527" s="888"/>
      <c r="T527" s="888"/>
      <c r="U527" s="888"/>
      <c r="V527" s="888"/>
      <c r="W527" s="888"/>
      <c r="X527" s="888"/>
      <c r="Y527" s="888"/>
      <c r="Z527" s="888"/>
      <c r="AA527" s="888"/>
      <c r="AB527" s="888"/>
      <c r="AC527" s="888"/>
      <c r="AD527" s="888"/>
      <c r="AE527" s="888"/>
      <c r="AF527" s="888"/>
      <c r="AG527" s="888"/>
      <c r="AH527" s="888"/>
      <c r="AI527" s="888"/>
      <c r="AJ527" s="888"/>
      <c r="AK527" s="888"/>
      <c r="AL527" s="888"/>
      <c r="AM527" s="888"/>
      <c r="AN527" s="888"/>
      <c r="AO527" s="888"/>
      <c r="AP527" s="888"/>
      <c r="AQ527" s="888"/>
      <c r="AR527" s="888"/>
      <c r="AS527" s="888"/>
      <c r="AT527" s="888"/>
      <c r="AU527" s="888"/>
      <c r="AV527" s="888"/>
      <c r="AW527" s="888"/>
      <c r="AX527" s="888"/>
      <c r="AY527" s="888"/>
      <c r="AZ527" s="567"/>
      <c r="BA527" s="567"/>
      <c r="BB527" s="567"/>
      <c r="BC527" s="567"/>
      <c r="BD527" s="567"/>
      <c r="BE527" s="567"/>
      <c r="BF527" s="567"/>
      <c r="BG527" s="567"/>
      <c r="BH527" s="567"/>
      <c r="BI527" s="567"/>
      <c r="BJ527" s="567"/>
      <c r="BK527" s="567"/>
      <c r="BL527" s="567"/>
      <c r="BM527" s="567"/>
      <c r="BN527" s="567"/>
      <c r="BO527" s="567"/>
      <c r="BP527" s="567"/>
      <c r="BQ527" s="567"/>
      <c r="BR527" s="567"/>
      <c r="BS527" s="567"/>
      <c r="BT527" s="567"/>
      <c r="BU527" s="567"/>
      <c r="BV527" s="567"/>
      <c r="BW527" s="567"/>
      <c r="BX527" s="567"/>
      <c r="BY527" s="567"/>
      <c r="BZ527" s="567"/>
      <c r="CA527" s="567"/>
      <c r="CB527" s="567"/>
      <c r="CC527" s="567"/>
      <c r="CD527" s="567"/>
      <c r="CE527" s="567"/>
      <c r="CF527" s="567"/>
      <c r="CG527" s="567"/>
      <c r="CH527" s="567"/>
      <c r="CI527" s="567"/>
      <c r="CJ527" s="567"/>
      <c r="CK527" s="567"/>
      <c r="CL527" s="567"/>
      <c r="CM527" s="567"/>
      <c r="CN527" s="567"/>
      <c r="CO527" s="567"/>
      <c r="CP527" s="567"/>
      <c r="CQ527" s="567"/>
      <c r="CR527" s="567"/>
      <c r="CS527" s="567"/>
      <c r="CT527" s="567"/>
      <c r="CU527" s="567"/>
      <c r="CV527" s="567"/>
      <c r="CW527" s="567"/>
      <c r="CX527" s="567"/>
      <c r="CY527" s="567"/>
      <c r="CZ527" s="567"/>
      <c r="DA527" s="567"/>
      <c r="DB527" s="567"/>
      <c r="DC527" s="567"/>
      <c r="DD527" s="567"/>
      <c r="DE527" s="567"/>
      <c r="DF527" s="567"/>
      <c r="DG527" s="567"/>
      <c r="DH527" s="567"/>
      <c r="DI527" s="567"/>
      <c r="DJ527" s="567"/>
      <c r="DK527" s="567"/>
      <c r="DL527" s="567"/>
      <c r="DM527" s="567"/>
      <c r="DN527" s="567"/>
      <c r="DO527" s="567"/>
      <c r="DP527" s="567"/>
      <c r="DQ527" s="567"/>
    </row>
    <row r="528" spans="1:121" s="487" customFormat="1">
      <c r="A528" s="588"/>
      <c r="B528" s="588"/>
      <c r="C528" s="588"/>
      <c r="D528" s="588"/>
      <c r="E528" s="588"/>
      <c r="F528" s="588"/>
      <c r="G528" s="588"/>
      <c r="H528" s="588"/>
      <c r="I528" s="588"/>
      <c r="J528" s="588"/>
      <c r="K528" s="588"/>
      <c r="L528" s="702"/>
      <c r="M528" s="888"/>
      <c r="N528" s="888"/>
      <c r="O528" s="888"/>
      <c r="P528" s="888"/>
      <c r="Q528" s="888"/>
      <c r="R528" s="888"/>
      <c r="S528" s="888"/>
      <c r="T528" s="888"/>
      <c r="U528" s="888"/>
      <c r="V528" s="888"/>
      <c r="W528" s="888"/>
      <c r="X528" s="888"/>
      <c r="Y528" s="888"/>
      <c r="Z528" s="888"/>
      <c r="AA528" s="888"/>
      <c r="AB528" s="888"/>
      <c r="AC528" s="888"/>
      <c r="AD528" s="888"/>
      <c r="AE528" s="888"/>
      <c r="AF528" s="888"/>
      <c r="AG528" s="888"/>
      <c r="AH528" s="888"/>
      <c r="AI528" s="888"/>
      <c r="AJ528" s="888"/>
      <c r="AK528" s="888"/>
      <c r="AL528" s="888"/>
      <c r="AM528" s="888"/>
      <c r="AN528" s="888"/>
      <c r="AO528" s="888"/>
      <c r="AP528" s="888"/>
      <c r="AQ528" s="888"/>
      <c r="AR528" s="888"/>
      <c r="AS528" s="888"/>
      <c r="AT528" s="888"/>
      <c r="AU528" s="888"/>
      <c r="AV528" s="888"/>
      <c r="AW528" s="888"/>
      <c r="AX528" s="888"/>
      <c r="AY528" s="888"/>
      <c r="AZ528" s="567"/>
      <c r="BA528" s="567"/>
      <c r="BB528" s="567"/>
      <c r="BC528" s="567"/>
      <c r="BD528" s="567"/>
      <c r="BE528" s="567"/>
      <c r="BF528" s="567"/>
      <c r="BG528" s="567"/>
      <c r="BH528" s="567"/>
      <c r="BI528" s="567"/>
      <c r="BJ528" s="567"/>
      <c r="BK528" s="567"/>
      <c r="BL528" s="567"/>
      <c r="BM528" s="567"/>
      <c r="BN528" s="567"/>
      <c r="BO528" s="567"/>
      <c r="BP528" s="567"/>
      <c r="BQ528" s="567"/>
      <c r="BR528" s="567"/>
      <c r="BS528" s="567"/>
      <c r="BT528" s="567"/>
      <c r="BU528" s="567"/>
      <c r="BV528" s="567"/>
      <c r="BW528" s="567"/>
      <c r="BX528" s="567"/>
      <c r="BY528" s="567"/>
      <c r="BZ528" s="567"/>
      <c r="CA528" s="567"/>
      <c r="CB528" s="567"/>
      <c r="CC528" s="567"/>
      <c r="CD528" s="567"/>
      <c r="CE528" s="567"/>
      <c r="CF528" s="567"/>
      <c r="CG528" s="567"/>
      <c r="CH528" s="567"/>
      <c r="CI528" s="567"/>
      <c r="CJ528" s="567"/>
      <c r="CK528" s="567"/>
      <c r="CL528" s="567"/>
      <c r="CM528" s="567"/>
      <c r="CN528" s="567"/>
      <c r="CO528" s="567"/>
      <c r="CP528" s="567"/>
      <c r="CQ528" s="567"/>
      <c r="CR528" s="567"/>
      <c r="CS528" s="567"/>
      <c r="CT528" s="567"/>
      <c r="CU528" s="567"/>
      <c r="CV528" s="567"/>
      <c r="CW528" s="567"/>
      <c r="CX528" s="567"/>
      <c r="CY528" s="567"/>
      <c r="CZ528" s="567"/>
      <c r="DA528" s="567"/>
      <c r="DB528" s="567"/>
      <c r="DC528" s="567"/>
      <c r="DD528" s="567"/>
      <c r="DE528" s="567"/>
      <c r="DF528" s="567"/>
      <c r="DG528" s="567"/>
      <c r="DH528" s="567"/>
      <c r="DI528" s="567"/>
      <c r="DJ528" s="567"/>
      <c r="DK528" s="567"/>
      <c r="DL528" s="567"/>
      <c r="DM528" s="567"/>
      <c r="DN528" s="567"/>
      <c r="DO528" s="567"/>
      <c r="DP528" s="567"/>
      <c r="DQ528" s="567"/>
    </row>
    <row r="529" spans="1:121" s="487" customFormat="1">
      <c r="A529" s="588"/>
      <c r="B529" s="588"/>
      <c r="C529" s="588"/>
      <c r="D529" s="588"/>
      <c r="E529" s="588"/>
      <c r="F529" s="588"/>
      <c r="G529" s="588"/>
      <c r="H529" s="588"/>
      <c r="I529" s="588"/>
      <c r="J529" s="588"/>
      <c r="K529" s="588"/>
      <c r="L529" s="702"/>
      <c r="M529" s="888"/>
      <c r="N529" s="888"/>
      <c r="O529" s="888"/>
      <c r="P529" s="888"/>
      <c r="Q529" s="888"/>
      <c r="R529" s="888"/>
      <c r="S529" s="888"/>
      <c r="T529" s="888"/>
      <c r="U529" s="888"/>
      <c r="V529" s="888"/>
      <c r="W529" s="888"/>
      <c r="X529" s="888"/>
      <c r="Y529" s="888"/>
      <c r="Z529" s="888"/>
      <c r="AA529" s="888"/>
      <c r="AB529" s="888"/>
      <c r="AC529" s="888"/>
      <c r="AD529" s="888"/>
      <c r="AE529" s="888"/>
      <c r="AF529" s="888"/>
      <c r="AG529" s="888"/>
      <c r="AH529" s="888"/>
      <c r="AI529" s="888"/>
      <c r="AJ529" s="888"/>
      <c r="AK529" s="888"/>
      <c r="AL529" s="888"/>
      <c r="AM529" s="888"/>
      <c r="AN529" s="888"/>
      <c r="AO529" s="888"/>
      <c r="AP529" s="888"/>
      <c r="AQ529" s="888"/>
      <c r="AR529" s="888"/>
      <c r="AS529" s="888"/>
      <c r="AT529" s="888"/>
      <c r="AU529" s="888"/>
      <c r="AV529" s="888"/>
      <c r="AW529" s="888"/>
      <c r="AX529" s="888"/>
      <c r="AY529" s="888"/>
      <c r="AZ529" s="567"/>
      <c r="BA529" s="567"/>
      <c r="BB529" s="567"/>
      <c r="BC529" s="567"/>
      <c r="BD529" s="567"/>
      <c r="BE529" s="567"/>
      <c r="BF529" s="567"/>
      <c r="BG529" s="567"/>
      <c r="BH529" s="567"/>
      <c r="BI529" s="567"/>
      <c r="BJ529" s="567"/>
      <c r="BK529" s="567"/>
      <c r="BL529" s="567"/>
      <c r="BM529" s="567"/>
      <c r="BN529" s="567"/>
      <c r="BO529" s="567"/>
      <c r="BP529" s="567"/>
      <c r="BQ529" s="567"/>
      <c r="BR529" s="567"/>
      <c r="BS529" s="567"/>
      <c r="BT529" s="567"/>
      <c r="BU529" s="567"/>
      <c r="BV529" s="567"/>
      <c r="BW529" s="567"/>
      <c r="BX529" s="567"/>
      <c r="BY529" s="567"/>
      <c r="BZ529" s="567"/>
      <c r="CA529" s="567"/>
      <c r="CB529" s="567"/>
      <c r="CC529" s="567"/>
      <c r="CD529" s="567"/>
      <c r="CE529" s="567"/>
      <c r="CF529" s="567"/>
      <c r="CG529" s="567"/>
      <c r="CH529" s="567"/>
      <c r="CI529" s="567"/>
      <c r="CJ529" s="567"/>
      <c r="CK529" s="567"/>
      <c r="CL529" s="567"/>
      <c r="CM529" s="567"/>
      <c r="CN529" s="567"/>
      <c r="CO529" s="567"/>
      <c r="CP529" s="567"/>
      <c r="CQ529" s="567"/>
      <c r="CR529" s="567"/>
      <c r="CS529" s="567"/>
      <c r="CT529" s="567"/>
      <c r="CU529" s="567"/>
      <c r="CV529" s="567"/>
      <c r="CW529" s="567"/>
      <c r="CX529" s="567"/>
      <c r="CY529" s="567"/>
      <c r="CZ529" s="567"/>
      <c r="DA529" s="567"/>
      <c r="DB529" s="567"/>
      <c r="DC529" s="567"/>
      <c r="DD529" s="567"/>
      <c r="DE529" s="567"/>
      <c r="DF529" s="567"/>
      <c r="DG529" s="567"/>
      <c r="DH529" s="567"/>
      <c r="DI529" s="567"/>
      <c r="DJ529" s="567"/>
      <c r="DK529" s="567"/>
      <c r="DL529" s="567"/>
      <c r="DM529" s="567"/>
      <c r="DN529" s="567"/>
      <c r="DO529" s="567"/>
      <c r="DP529" s="567"/>
      <c r="DQ529" s="567"/>
    </row>
    <row r="530" spans="1:121" s="487" customFormat="1">
      <c r="A530" s="588"/>
      <c r="B530" s="588"/>
      <c r="C530" s="588"/>
      <c r="D530" s="588"/>
      <c r="E530" s="588"/>
      <c r="F530" s="588"/>
      <c r="G530" s="588"/>
      <c r="H530" s="588"/>
      <c r="I530" s="588"/>
      <c r="J530" s="588"/>
      <c r="K530" s="588"/>
      <c r="L530" s="702"/>
      <c r="M530" s="888"/>
      <c r="N530" s="888"/>
      <c r="O530" s="888"/>
      <c r="P530" s="888"/>
      <c r="Q530" s="888"/>
      <c r="R530" s="888"/>
      <c r="S530" s="888"/>
      <c r="T530" s="888"/>
      <c r="U530" s="888"/>
      <c r="V530" s="888"/>
      <c r="W530" s="888"/>
      <c r="X530" s="888"/>
      <c r="Y530" s="888"/>
      <c r="Z530" s="888"/>
      <c r="AA530" s="888"/>
      <c r="AB530" s="888"/>
      <c r="AC530" s="888"/>
      <c r="AD530" s="888"/>
      <c r="AE530" s="888"/>
      <c r="AF530" s="888"/>
      <c r="AG530" s="888"/>
      <c r="AH530" s="888"/>
      <c r="AI530" s="888"/>
      <c r="AJ530" s="888"/>
      <c r="AK530" s="888"/>
      <c r="AL530" s="888"/>
      <c r="AM530" s="888"/>
      <c r="AN530" s="888"/>
      <c r="AO530" s="888"/>
      <c r="AP530" s="888"/>
      <c r="AQ530" s="888"/>
      <c r="AR530" s="888"/>
      <c r="AS530" s="888"/>
      <c r="AT530" s="888"/>
      <c r="AU530" s="888"/>
      <c r="AV530" s="888"/>
      <c r="AW530" s="888"/>
      <c r="AX530" s="888"/>
      <c r="AY530" s="888"/>
      <c r="AZ530" s="567"/>
      <c r="BA530" s="567"/>
      <c r="BB530" s="567"/>
      <c r="BC530" s="567"/>
      <c r="BD530" s="567"/>
      <c r="BE530" s="567"/>
      <c r="BF530" s="567"/>
      <c r="BG530" s="567"/>
      <c r="BH530" s="567"/>
      <c r="BI530" s="567"/>
      <c r="BJ530" s="567"/>
      <c r="BK530" s="567"/>
      <c r="BL530" s="567"/>
      <c r="BM530" s="567"/>
      <c r="BN530" s="567"/>
      <c r="BO530" s="567"/>
      <c r="BP530" s="567"/>
      <c r="BQ530" s="567"/>
      <c r="BR530" s="567"/>
      <c r="BS530" s="567"/>
      <c r="BT530" s="567"/>
      <c r="BU530" s="567"/>
      <c r="BV530" s="567"/>
      <c r="BW530" s="567"/>
      <c r="BX530" s="567"/>
      <c r="BY530" s="567"/>
      <c r="BZ530" s="567"/>
      <c r="CA530" s="567"/>
      <c r="CB530" s="567"/>
      <c r="CC530" s="567"/>
      <c r="CD530" s="567"/>
      <c r="CE530" s="567"/>
      <c r="CF530" s="567"/>
      <c r="CG530" s="567"/>
      <c r="CH530" s="567"/>
      <c r="CI530" s="567"/>
      <c r="CJ530" s="567"/>
      <c r="CK530" s="567"/>
      <c r="CL530" s="567"/>
      <c r="CM530" s="567"/>
      <c r="CN530" s="567"/>
      <c r="CO530" s="567"/>
      <c r="CP530" s="567"/>
      <c r="CQ530" s="567"/>
      <c r="CR530" s="567"/>
      <c r="CS530" s="567"/>
      <c r="CT530" s="567"/>
      <c r="CU530" s="567"/>
      <c r="CV530" s="567"/>
      <c r="CW530" s="567"/>
      <c r="CX530" s="567"/>
      <c r="CY530" s="567"/>
      <c r="CZ530" s="567"/>
      <c r="DA530" s="567"/>
      <c r="DB530" s="567"/>
      <c r="DC530" s="567"/>
      <c r="DD530" s="567"/>
      <c r="DE530" s="567"/>
      <c r="DF530" s="567"/>
      <c r="DG530" s="567"/>
      <c r="DH530" s="567"/>
      <c r="DI530" s="567"/>
      <c r="DJ530" s="567"/>
      <c r="DK530" s="567"/>
      <c r="DL530" s="567"/>
      <c r="DM530" s="567"/>
      <c r="DN530" s="567"/>
      <c r="DO530" s="567"/>
      <c r="DP530" s="567"/>
      <c r="DQ530" s="567"/>
    </row>
    <row r="531" spans="1:121" s="487" customFormat="1">
      <c r="A531" s="588"/>
      <c r="B531" s="588"/>
      <c r="C531" s="588"/>
      <c r="D531" s="588"/>
      <c r="E531" s="588"/>
      <c r="F531" s="588"/>
      <c r="G531" s="588"/>
      <c r="H531" s="588"/>
      <c r="I531" s="588"/>
      <c r="J531" s="588"/>
      <c r="K531" s="588"/>
      <c r="L531" s="702"/>
      <c r="M531" s="888"/>
      <c r="N531" s="888"/>
      <c r="O531" s="888"/>
      <c r="P531" s="888"/>
      <c r="Q531" s="888"/>
      <c r="R531" s="888"/>
      <c r="S531" s="888"/>
      <c r="T531" s="888"/>
      <c r="U531" s="888"/>
      <c r="V531" s="888"/>
      <c r="W531" s="888"/>
      <c r="X531" s="888"/>
      <c r="Y531" s="888"/>
      <c r="Z531" s="888"/>
      <c r="AA531" s="888"/>
      <c r="AB531" s="888"/>
      <c r="AC531" s="888"/>
      <c r="AD531" s="888"/>
      <c r="AE531" s="888"/>
      <c r="AF531" s="888"/>
      <c r="AG531" s="888"/>
      <c r="AH531" s="888"/>
      <c r="AI531" s="888"/>
      <c r="AJ531" s="888"/>
      <c r="AK531" s="888"/>
      <c r="AL531" s="888"/>
      <c r="AM531" s="888"/>
      <c r="AN531" s="888"/>
      <c r="AO531" s="888"/>
      <c r="AP531" s="888"/>
      <c r="AQ531" s="888"/>
      <c r="AR531" s="888"/>
      <c r="AS531" s="888"/>
      <c r="AT531" s="888"/>
      <c r="AU531" s="888"/>
      <c r="AV531" s="888"/>
      <c r="AW531" s="888"/>
      <c r="AX531" s="888"/>
      <c r="AY531" s="888"/>
      <c r="AZ531" s="567"/>
      <c r="BA531" s="567"/>
      <c r="BB531" s="567"/>
      <c r="BC531" s="567"/>
      <c r="BD531" s="567"/>
      <c r="BE531" s="567"/>
      <c r="BF531" s="567"/>
      <c r="BG531" s="567"/>
      <c r="BH531" s="567"/>
      <c r="BI531" s="567"/>
      <c r="BJ531" s="567"/>
      <c r="BK531" s="567"/>
      <c r="BL531" s="567"/>
      <c r="BM531" s="567"/>
      <c r="BN531" s="567"/>
      <c r="BO531" s="567"/>
      <c r="BP531" s="567"/>
      <c r="BQ531" s="567"/>
      <c r="BR531" s="567"/>
      <c r="BS531" s="567"/>
      <c r="BT531" s="567"/>
      <c r="BU531" s="567"/>
      <c r="BV531" s="567"/>
      <c r="BW531" s="567"/>
      <c r="BX531" s="567"/>
      <c r="BY531" s="567"/>
      <c r="BZ531" s="567"/>
      <c r="CA531" s="567"/>
      <c r="CB531" s="567"/>
      <c r="CC531" s="567"/>
      <c r="CD531" s="567"/>
      <c r="CE531" s="567"/>
      <c r="CF531" s="567"/>
      <c r="CG531" s="567"/>
      <c r="CH531" s="567"/>
      <c r="CI531" s="567"/>
      <c r="CJ531" s="567"/>
      <c r="CK531" s="567"/>
      <c r="CL531" s="567"/>
      <c r="CM531" s="567"/>
      <c r="CN531" s="567"/>
      <c r="CO531" s="567"/>
      <c r="CP531" s="567"/>
      <c r="CQ531" s="567"/>
      <c r="CR531" s="567"/>
      <c r="CS531" s="567"/>
      <c r="CT531" s="567"/>
      <c r="CU531" s="567"/>
      <c r="CV531" s="567"/>
      <c r="CW531" s="567"/>
      <c r="CX531" s="567"/>
      <c r="CY531" s="567"/>
      <c r="CZ531" s="567"/>
      <c r="DA531" s="567"/>
      <c r="DB531" s="567"/>
      <c r="DC531" s="567"/>
      <c r="DD531" s="567"/>
      <c r="DE531" s="567"/>
      <c r="DF531" s="567"/>
      <c r="DG531" s="567"/>
      <c r="DH531" s="567"/>
      <c r="DI531" s="567"/>
      <c r="DJ531" s="567"/>
      <c r="DK531" s="567"/>
      <c r="DL531" s="567"/>
      <c r="DM531" s="567"/>
      <c r="DN531" s="567"/>
      <c r="DO531" s="567"/>
      <c r="DP531" s="567"/>
      <c r="DQ531" s="567"/>
    </row>
    <row r="532" spans="1:121" s="487" customFormat="1">
      <c r="A532" s="588"/>
      <c r="B532" s="588"/>
      <c r="C532" s="588"/>
      <c r="D532" s="588"/>
      <c r="E532" s="588"/>
      <c r="F532" s="588"/>
      <c r="G532" s="588"/>
      <c r="H532" s="588"/>
      <c r="I532" s="588"/>
      <c r="J532" s="588"/>
      <c r="K532" s="588"/>
      <c r="L532" s="702"/>
      <c r="M532" s="888"/>
      <c r="N532" s="888"/>
      <c r="O532" s="888"/>
      <c r="P532" s="888"/>
      <c r="Q532" s="888"/>
      <c r="R532" s="888"/>
      <c r="S532" s="888"/>
      <c r="T532" s="888"/>
      <c r="U532" s="888"/>
      <c r="V532" s="888"/>
      <c r="W532" s="888"/>
      <c r="X532" s="888"/>
      <c r="Y532" s="888"/>
      <c r="Z532" s="888"/>
      <c r="AA532" s="888"/>
      <c r="AB532" s="888"/>
      <c r="AC532" s="888"/>
      <c r="AD532" s="888"/>
      <c r="AE532" s="888"/>
      <c r="AF532" s="888"/>
      <c r="AG532" s="888"/>
      <c r="AH532" s="888"/>
      <c r="AI532" s="888"/>
      <c r="AJ532" s="888"/>
      <c r="AK532" s="888"/>
      <c r="AL532" s="888"/>
      <c r="AM532" s="888"/>
      <c r="AN532" s="888"/>
      <c r="AO532" s="888"/>
      <c r="AP532" s="888"/>
      <c r="AQ532" s="888"/>
      <c r="AR532" s="888"/>
      <c r="AS532" s="888"/>
      <c r="AT532" s="888"/>
      <c r="AU532" s="888"/>
      <c r="AV532" s="888"/>
      <c r="AW532" s="888"/>
      <c r="AX532" s="888"/>
      <c r="AY532" s="888"/>
      <c r="AZ532" s="567"/>
      <c r="BA532" s="567"/>
      <c r="BB532" s="567"/>
      <c r="BC532" s="567"/>
      <c r="BD532" s="567"/>
      <c r="BE532" s="567"/>
      <c r="BF532" s="567"/>
      <c r="BG532" s="567"/>
      <c r="BH532" s="567"/>
      <c r="BI532" s="567"/>
      <c r="BJ532" s="567"/>
      <c r="BK532" s="567"/>
      <c r="BL532" s="567"/>
      <c r="BM532" s="567"/>
      <c r="BN532" s="567"/>
      <c r="BO532" s="567"/>
      <c r="BP532" s="567"/>
      <c r="BQ532" s="567"/>
      <c r="BR532" s="567"/>
      <c r="BS532" s="567"/>
      <c r="BT532" s="567"/>
      <c r="BU532" s="567"/>
      <c r="BV532" s="567"/>
      <c r="BW532" s="567"/>
      <c r="BX532" s="567"/>
      <c r="BY532" s="567"/>
      <c r="BZ532" s="567"/>
      <c r="CA532" s="567"/>
      <c r="CB532" s="567"/>
      <c r="CC532" s="567"/>
      <c r="CD532" s="567"/>
      <c r="CE532" s="567"/>
      <c r="CF532" s="567"/>
      <c r="CG532" s="567"/>
      <c r="CH532" s="567"/>
      <c r="CI532" s="567"/>
      <c r="CJ532" s="567"/>
      <c r="CK532" s="567"/>
      <c r="CL532" s="567"/>
      <c r="CM532" s="567"/>
      <c r="CN532" s="567"/>
      <c r="CO532" s="567"/>
      <c r="CP532" s="567"/>
      <c r="CQ532" s="567"/>
      <c r="CR532" s="567"/>
      <c r="CS532" s="567"/>
      <c r="CT532" s="567"/>
      <c r="CU532" s="567"/>
      <c r="CV532" s="567"/>
      <c r="CW532" s="567"/>
      <c r="CX532" s="567"/>
      <c r="CY532" s="567"/>
      <c r="CZ532" s="567"/>
      <c r="DA532" s="567"/>
      <c r="DB532" s="567"/>
      <c r="DC532" s="567"/>
      <c r="DD532" s="567"/>
      <c r="DE532" s="567"/>
      <c r="DF532" s="567"/>
      <c r="DG532" s="567"/>
      <c r="DH532" s="567"/>
      <c r="DI532" s="567"/>
      <c r="DJ532" s="567"/>
      <c r="DK532" s="567"/>
      <c r="DL532" s="567"/>
      <c r="DM532" s="567"/>
      <c r="DN532" s="567"/>
      <c r="DO532" s="567"/>
      <c r="DP532" s="567"/>
      <c r="DQ532" s="567"/>
    </row>
    <row r="533" spans="1:121" s="487" customFormat="1">
      <c r="A533" s="588"/>
      <c r="B533" s="588"/>
      <c r="C533" s="588"/>
      <c r="D533" s="588"/>
      <c r="E533" s="588"/>
      <c r="F533" s="588"/>
      <c r="G533" s="588"/>
      <c r="H533" s="588"/>
      <c r="I533" s="588"/>
      <c r="J533" s="588"/>
      <c r="K533" s="588"/>
      <c r="L533" s="702"/>
      <c r="M533" s="888"/>
      <c r="N533" s="888"/>
      <c r="O533" s="888"/>
      <c r="P533" s="888"/>
      <c r="Q533" s="888"/>
      <c r="R533" s="888"/>
      <c r="S533" s="888"/>
      <c r="T533" s="888"/>
      <c r="U533" s="888"/>
      <c r="V533" s="888"/>
      <c r="W533" s="888"/>
      <c r="X533" s="888"/>
      <c r="Y533" s="888"/>
      <c r="Z533" s="888"/>
      <c r="AA533" s="888"/>
      <c r="AB533" s="888"/>
      <c r="AC533" s="888"/>
      <c r="AD533" s="888"/>
      <c r="AE533" s="888"/>
      <c r="AF533" s="888"/>
      <c r="AG533" s="888"/>
      <c r="AH533" s="888"/>
      <c r="AI533" s="888"/>
      <c r="AJ533" s="888"/>
      <c r="AK533" s="888"/>
      <c r="AL533" s="888"/>
      <c r="AM533" s="888"/>
      <c r="AN533" s="888"/>
      <c r="AO533" s="888"/>
      <c r="AP533" s="888"/>
      <c r="AQ533" s="888"/>
      <c r="AR533" s="888"/>
      <c r="AS533" s="888"/>
      <c r="AT533" s="888"/>
      <c r="AU533" s="888"/>
      <c r="AV533" s="888"/>
      <c r="AW533" s="888"/>
      <c r="AX533" s="888"/>
      <c r="AY533" s="888"/>
      <c r="AZ533" s="567"/>
      <c r="BA533" s="567"/>
      <c r="BB533" s="567"/>
      <c r="BC533" s="567"/>
      <c r="BD533" s="567"/>
      <c r="BE533" s="567"/>
      <c r="BF533" s="567"/>
      <c r="BG533" s="567"/>
      <c r="BH533" s="567"/>
      <c r="BI533" s="567"/>
      <c r="BJ533" s="567"/>
      <c r="BK533" s="567"/>
      <c r="BL533" s="567"/>
      <c r="BM533" s="567"/>
      <c r="BN533" s="567"/>
      <c r="BO533" s="567"/>
      <c r="BP533" s="567"/>
      <c r="BQ533" s="567"/>
      <c r="BR533" s="567"/>
      <c r="BS533" s="567"/>
      <c r="BT533" s="567"/>
      <c r="BU533" s="567"/>
      <c r="BV533" s="567"/>
      <c r="BW533" s="567"/>
      <c r="BX533" s="567"/>
      <c r="BY533" s="567"/>
      <c r="BZ533" s="567"/>
      <c r="CA533" s="567"/>
      <c r="CB533" s="567"/>
      <c r="CC533" s="567"/>
      <c r="CD533" s="567"/>
      <c r="CE533" s="567"/>
      <c r="CF533" s="567"/>
      <c r="CG533" s="567"/>
      <c r="CH533" s="567"/>
      <c r="CI533" s="567"/>
      <c r="CJ533" s="567"/>
      <c r="CK533" s="567"/>
      <c r="CL533" s="567"/>
      <c r="CM533" s="567"/>
      <c r="CN533" s="567"/>
      <c r="CO533" s="567"/>
      <c r="CP533" s="567"/>
      <c r="CQ533" s="567"/>
      <c r="CR533" s="567"/>
      <c r="CS533" s="567"/>
      <c r="CT533" s="567"/>
      <c r="CU533" s="567"/>
      <c r="CV533" s="567"/>
      <c r="CW533" s="567"/>
      <c r="CX533" s="567"/>
      <c r="CY533" s="567"/>
      <c r="CZ533" s="567"/>
      <c r="DA533" s="567"/>
      <c r="DB533" s="567"/>
      <c r="DC533" s="567"/>
      <c r="DD533" s="567"/>
      <c r="DE533" s="567"/>
      <c r="DF533" s="567"/>
      <c r="DG533" s="567"/>
      <c r="DH533" s="567"/>
      <c r="DI533" s="567"/>
      <c r="DJ533" s="567"/>
      <c r="DK533" s="567"/>
      <c r="DL533" s="567"/>
      <c r="DM533" s="567"/>
      <c r="DN533" s="567"/>
      <c r="DO533" s="567"/>
      <c r="DP533" s="567"/>
      <c r="DQ533" s="567"/>
    </row>
    <row r="534" spans="1:121" s="487" customFormat="1">
      <c r="A534" s="588"/>
      <c r="B534" s="588"/>
      <c r="C534" s="588"/>
      <c r="D534" s="588"/>
      <c r="E534" s="588"/>
      <c r="F534" s="588"/>
      <c r="G534" s="588"/>
      <c r="H534" s="588"/>
      <c r="I534" s="588"/>
      <c r="J534" s="588"/>
      <c r="K534" s="588"/>
      <c r="L534" s="702"/>
      <c r="M534" s="888"/>
      <c r="N534" s="888"/>
      <c r="O534" s="888"/>
      <c r="P534" s="888"/>
      <c r="Q534" s="888"/>
      <c r="R534" s="888"/>
      <c r="S534" s="888"/>
      <c r="T534" s="888"/>
      <c r="U534" s="888"/>
      <c r="V534" s="888"/>
      <c r="W534" s="888"/>
      <c r="X534" s="888"/>
      <c r="Y534" s="888"/>
      <c r="Z534" s="888"/>
      <c r="AA534" s="888"/>
      <c r="AB534" s="888"/>
      <c r="AC534" s="888"/>
      <c r="AD534" s="888"/>
      <c r="AE534" s="888"/>
      <c r="AF534" s="888"/>
      <c r="AG534" s="888"/>
      <c r="AH534" s="888"/>
      <c r="AI534" s="888"/>
      <c r="AJ534" s="888"/>
      <c r="AK534" s="888"/>
      <c r="AL534" s="888"/>
      <c r="AM534" s="888"/>
      <c r="AN534" s="888"/>
      <c r="AO534" s="888"/>
      <c r="AP534" s="888"/>
      <c r="AQ534" s="888"/>
      <c r="AR534" s="888"/>
      <c r="AS534" s="888"/>
      <c r="AT534" s="888"/>
      <c r="AU534" s="888"/>
      <c r="AV534" s="888"/>
      <c r="AW534" s="888"/>
      <c r="AX534" s="888"/>
      <c r="AY534" s="888"/>
      <c r="AZ534" s="567"/>
      <c r="BA534" s="567"/>
      <c r="BB534" s="567"/>
      <c r="BC534" s="567"/>
      <c r="BD534" s="567"/>
      <c r="BE534" s="567"/>
      <c r="BF534" s="567"/>
      <c r="BG534" s="567"/>
      <c r="BH534" s="567"/>
      <c r="BI534" s="567"/>
      <c r="BJ534" s="567"/>
      <c r="BK534" s="567"/>
      <c r="BL534" s="567"/>
      <c r="BM534" s="567"/>
      <c r="BN534" s="567"/>
      <c r="BO534" s="567"/>
      <c r="BP534" s="567"/>
      <c r="BQ534" s="567"/>
      <c r="BR534" s="567"/>
      <c r="BS534" s="567"/>
      <c r="BT534" s="567"/>
      <c r="BU534" s="567"/>
      <c r="BV534" s="567"/>
      <c r="BW534" s="567"/>
      <c r="BX534" s="567"/>
      <c r="BY534" s="567"/>
      <c r="BZ534" s="567"/>
      <c r="CA534" s="567"/>
      <c r="CB534" s="567"/>
      <c r="CC534" s="567"/>
      <c r="CD534" s="567"/>
      <c r="CE534" s="567"/>
      <c r="CF534" s="567"/>
      <c r="CG534" s="567"/>
      <c r="CH534" s="567"/>
      <c r="CI534" s="567"/>
      <c r="CJ534" s="567"/>
      <c r="CK534" s="567"/>
      <c r="CL534" s="567"/>
      <c r="CM534" s="567"/>
      <c r="CN534" s="567"/>
      <c r="CO534" s="567"/>
      <c r="CP534" s="567"/>
      <c r="CQ534" s="567"/>
      <c r="CR534" s="567"/>
      <c r="CS534" s="567"/>
      <c r="CT534" s="567"/>
      <c r="CU534" s="567"/>
      <c r="CV534" s="567"/>
      <c r="CW534" s="567"/>
      <c r="CX534" s="567"/>
      <c r="CY534" s="567"/>
      <c r="CZ534" s="567"/>
      <c r="DA534" s="567"/>
      <c r="DB534" s="567"/>
      <c r="DC534" s="567"/>
      <c r="DD534" s="567"/>
      <c r="DE534" s="567"/>
      <c r="DF534" s="567"/>
      <c r="DG534" s="567"/>
      <c r="DH534" s="567"/>
      <c r="DI534" s="567"/>
      <c r="DJ534" s="567"/>
      <c r="DK534" s="567"/>
      <c r="DL534" s="567"/>
      <c r="DM534" s="567"/>
      <c r="DN534" s="567"/>
      <c r="DO534" s="567"/>
      <c r="DP534" s="567"/>
      <c r="DQ534" s="567"/>
    </row>
    <row r="535" spans="1:121" s="487" customFormat="1">
      <c r="A535" s="588"/>
      <c r="B535" s="588"/>
      <c r="C535" s="588"/>
      <c r="D535" s="588"/>
      <c r="E535" s="588"/>
      <c r="F535" s="588"/>
      <c r="G535" s="588"/>
      <c r="H535" s="588"/>
      <c r="I535" s="588"/>
      <c r="J535" s="588"/>
      <c r="K535" s="588"/>
      <c r="L535" s="702"/>
      <c r="M535" s="888"/>
      <c r="N535" s="888"/>
      <c r="O535" s="888"/>
      <c r="P535" s="888"/>
      <c r="Q535" s="888"/>
      <c r="R535" s="888"/>
      <c r="S535" s="888"/>
      <c r="T535" s="888"/>
      <c r="U535" s="888"/>
      <c r="V535" s="888"/>
      <c r="W535" s="888"/>
      <c r="X535" s="888"/>
      <c r="Y535" s="888"/>
      <c r="Z535" s="888"/>
      <c r="AA535" s="888"/>
      <c r="AB535" s="888"/>
      <c r="AC535" s="888"/>
      <c r="AD535" s="888"/>
      <c r="AE535" s="888"/>
      <c r="AF535" s="888"/>
      <c r="AG535" s="888"/>
      <c r="AH535" s="888"/>
      <c r="AI535" s="888"/>
      <c r="AJ535" s="888"/>
      <c r="AK535" s="888"/>
      <c r="AL535" s="888"/>
      <c r="AM535" s="888"/>
      <c r="AN535" s="888"/>
      <c r="AO535" s="888"/>
      <c r="AP535" s="888"/>
      <c r="AQ535" s="888"/>
      <c r="AR535" s="888"/>
      <c r="AS535" s="888"/>
      <c r="AT535" s="888"/>
      <c r="AU535" s="888"/>
      <c r="AV535" s="888"/>
      <c r="AW535" s="888"/>
      <c r="AX535" s="888"/>
      <c r="AY535" s="888"/>
      <c r="AZ535" s="567"/>
      <c r="BA535" s="567"/>
      <c r="BB535" s="567"/>
      <c r="BC535" s="567"/>
      <c r="BD535" s="567"/>
      <c r="BE535" s="567"/>
      <c r="BF535" s="567"/>
      <c r="BG535" s="567"/>
      <c r="BH535" s="567"/>
      <c r="BI535" s="567"/>
      <c r="BJ535" s="567"/>
      <c r="BK535" s="567"/>
      <c r="BL535" s="567"/>
      <c r="BM535" s="567"/>
      <c r="BN535" s="567"/>
      <c r="BO535" s="567"/>
      <c r="BP535" s="567"/>
      <c r="BQ535" s="567"/>
      <c r="BR535" s="567"/>
      <c r="BS535" s="567"/>
      <c r="BT535" s="567"/>
      <c r="BU535" s="567"/>
      <c r="BV535" s="567"/>
      <c r="BW535" s="567"/>
      <c r="BX535" s="567"/>
      <c r="BY535" s="567"/>
      <c r="BZ535" s="567"/>
      <c r="CA535" s="567"/>
      <c r="CB535" s="567"/>
      <c r="CC535" s="567"/>
      <c r="CD535" s="567"/>
      <c r="CE535" s="567"/>
      <c r="CF535" s="567"/>
      <c r="CG535" s="567"/>
      <c r="CH535" s="567"/>
      <c r="CI535" s="567"/>
      <c r="CJ535" s="567"/>
      <c r="CK535" s="567"/>
      <c r="CL535" s="567"/>
      <c r="CM535" s="567"/>
      <c r="CN535" s="567"/>
      <c r="CO535" s="567"/>
      <c r="CP535" s="567"/>
      <c r="CQ535" s="567"/>
      <c r="CR535" s="567"/>
      <c r="CS535" s="567"/>
      <c r="CT535" s="567"/>
      <c r="CU535" s="567"/>
      <c r="CV535" s="567"/>
      <c r="CW535" s="567"/>
      <c r="CX535" s="567"/>
      <c r="CY535" s="567"/>
      <c r="CZ535" s="567"/>
      <c r="DA535" s="567"/>
      <c r="DB535" s="567"/>
      <c r="DC535" s="567"/>
      <c r="DD535" s="567"/>
      <c r="DE535" s="567"/>
      <c r="DF535" s="567"/>
      <c r="DG535" s="567"/>
      <c r="DH535" s="567"/>
      <c r="DI535" s="567"/>
      <c r="DJ535" s="567"/>
      <c r="DK535" s="567"/>
      <c r="DL535" s="567"/>
      <c r="DM535" s="567"/>
      <c r="DN535" s="567"/>
      <c r="DO535" s="567"/>
      <c r="DP535" s="567"/>
      <c r="DQ535" s="567"/>
    </row>
    <row r="536" spans="1:121" s="487" customFormat="1">
      <c r="A536" s="588"/>
      <c r="B536" s="588"/>
      <c r="C536" s="588"/>
      <c r="D536" s="588"/>
      <c r="E536" s="588"/>
      <c r="F536" s="588"/>
      <c r="G536" s="588"/>
      <c r="H536" s="588"/>
      <c r="I536" s="588"/>
      <c r="J536" s="588"/>
      <c r="K536" s="588"/>
      <c r="L536" s="702"/>
      <c r="M536" s="888"/>
      <c r="N536" s="888"/>
      <c r="O536" s="888"/>
      <c r="P536" s="888"/>
      <c r="Q536" s="888"/>
      <c r="R536" s="888"/>
      <c r="S536" s="888"/>
      <c r="T536" s="888"/>
      <c r="U536" s="888"/>
      <c r="V536" s="888"/>
      <c r="W536" s="888"/>
      <c r="X536" s="888"/>
      <c r="Y536" s="888"/>
      <c r="Z536" s="888"/>
      <c r="AA536" s="888"/>
      <c r="AB536" s="888"/>
      <c r="AC536" s="888"/>
      <c r="AD536" s="888"/>
      <c r="AE536" s="888"/>
      <c r="AF536" s="888"/>
      <c r="AG536" s="888"/>
      <c r="AH536" s="888"/>
      <c r="AI536" s="888"/>
      <c r="AJ536" s="888"/>
      <c r="AK536" s="888"/>
      <c r="AL536" s="888"/>
      <c r="AM536" s="888"/>
      <c r="AN536" s="888"/>
      <c r="AO536" s="888"/>
      <c r="AP536" s="888"/>
      <c r="AQ536" s="888"/>
      <c r="AR536" s="888"/>
      <c r="AS536" s="888"/>
      <c r="AT536" s="888"/>
      <c r="AU536" s="888"/>
      <c r="AV536" s="888"/>
      <c r="AW536" s="888"/>
      <c r="AX536" s="888"/>
      <c r="AY536" s="888"/>
      <c r="AZ536" s="567"/>
      <c r="BA536" s="567"/>
      <c r="BB536" s="567"/>
      <c r="BC536" s="567"/>
      <c r="BD536" s="567"/>
      <c r="BE536" s="567"/>
      <c r="BF536" s="567"/>
      <c r="BG536" s="567"/>
      <c r="BH536" s="567"/>
      <c r="BI536" s="567"/>
      <c r="BJ536" s="567"/>
      <c r="BK536" s="567"/>
      <c r="BL536" s="567"/>
      <c r="BM536" s="567"/>
      <c r="BN536" s="567"/>
      <c r="BO536" s="567"/>
      <c r="BP536" s="567"/>
      <c r="BQ536" s="567"/>
      <c r="BR536" s="567"/>
      <c r="BS536" s="567"/>
      <c r="BT536" s="567"/>
      <c r="BU536" s="567"/>
      <c r="BV536" s="567"/>
      <c r="BW536" s="567"/>
      <c r="BX536" s="567"/>
      <c r="BY536" s="567"/>
      <c r="BZ536" s="567"/>
      <c r="CA536" s="567"/>
      <c r="CB536" s="567"/>
      <c r="CC536" s="567"/>
      <c r="CD536" s="567"/>
      <c r="CE536" s="567"/>
      <c r="CF536" s="567"/>
      <c r="CG536" s="567"/>
      <c r="CH536" s="567"/>
      <c r="CI536" s="567"/>
      <c r="CJ536" s="567"/>
      <c r="CK536" s="567"/>
      <c r="CL536" s="567"/>
      <c r="CM536" s="567"/>
      <c r="CN536" s="567"/>
      <c r="CO536" s="567"/>
      <c r="CP536" s="567"/>
      <c r="CQ536" s="567"/>
      <c r="CR536" s="567"/>
      <c r="CS536" s="567"/>
      <c r="CT536" s="567"/>
      <c r="CU536" s="567"/>
      <c r="CV536" s="567"/>
      <c r="CW536" s="567"/>
      <c r="CX536" s="567"/>
      <c r="CY536" s="567"/>
      <c r="CZ536" s="567"/>
      <c r="DA536" s="567"/>
      <c r="DB536" s="567"/>
      <c r="DC536" s="567"/>
      <c r="DD536" s="567"/>
      <c r="DE536" s="567"/>
      <c r="DF536" s="567"/>
      <c r="DG536" s="567"/>
      <c r="DH536" s="567"/>
      <c r="DI536" s="567"/>
      <c r="DJ536" s="567"/>
      <c r="DK536" s="567"/>
      <c r="DL536" s="567"/>
      <c r="DM536" s="567"/>
      <c r="DN536" s="567"/>
      <c r="DO536" s="567"/>
      <c r="DP536" s="567"/>
      <c r="DQ536" s="567"/>
    </row>
    <row r="537" spans="1:121" s="487" customFormat="1">
      <c r="A537" s="588"/>
      <c r="B537" s="588"/>
      <c r="C537" s="588"/>
      <c r="D537" s="588"/>
      <c r="E537" s="588"/>
      <c r="F537" s="588"/>
      <c r="G537" s="588"/>
      <c r="H537" s="588"/>
      <c r="I537" s="588"/>
      <c r="J537" s="588"/>
      <c r="K537" s="588"/>
      <c r="L537" s="702"/>
      <c r="M537" s="888"/>
      <c r="N537" s="888"/>
      <c r="O537" s="888"/>
      <c r="P537" s="888"/>
      <c r="Q537" s="888"/>
      <c r="R537" s="888"/>
      <c r="S537" s="888"/>
      <c r="T537" s="888"/>
      <c r="U537" s="888"/>
      <c r="V537" s="888"/>
      <c r="W537" s="888"/>
      <c r="X537" s="888"/>
      <c r="Y537" s="888"/>
      <c r="Z537" s="888"/>
      <c r="AA537" s="888"/>
      <c r="AB537" s="888"/>
      <c r="AC537" s="888"/>
      <c r="AD537" s="888"/>
      <c r="AE537" s="888"/>
      <c r="AF537" s="888"/>
      <c r="AG537" s="888"/>
      <c r="AH537" s="888"/>
      <c r="AI537" s="888"/>
      <c r="AJ537" s="888"/>
      <c r="AK537" s="888"/>
      <c r="AL537" s="888"/>
      <c r="AM537" s="888"/>
      <c r="AN537" s="888"/>
      <c r="AO537" s="888"/>
      <c r="AP537" s="888"/>
      <c r="AQ537" s="888"/>
      <c r="AR537" s="888"/>
      <c r="AS537" s="888"/>
      <c r="AT537" s="888"/>
      <c r="AU537" s="888"/>
      <c r="AV537" s="888"/>
      <c r="AW537" s="888"/>
      <c r="AX537" s="888"/>
      <c r="AY537" s="888"/>
      <c r="AZ537" s="567"/>
      <c r="BA537" s="567"/>
      <c r="BB537" s="567"/>
      <c r="BC537" s="567"/>
      <c r="BD537" s="567"/>
      <c r="BE537" s="567"/>
      <c r="BF537" s="567"/>
      <c r="BG537" s="567"/>
      <c r="BH537" s="567"/>
      <c r="BI537" s="567"/>
      <c r="BJ537" s="567"/>
      <c r="BK537" s="567"/>
      <c r="BL537" s="567"/>
      <c r="BM537" s="567"/>
      <c r="BN537" s="567"/>
      <c r="BO537" s="567"/>
      <c r="BP537" s="567"/>
      <c r="BQ537" s="567"/>
      <c r="BR537" s="567"/>
      <c r="BS537" s="567"/>
      <c r="BT537" s="567"/>
      <c r="BU537" s="567"/>
      <c r="BV537" s="567"/>
      <c r="BW537" s="567"/>
      <c r="BX537" s="567"/>
      <c r="BY537" s="567"/>
      <c r="BZ537" s="567"/>
      <c r="CA537" s="567"/>
      <c r="CB537" s="567"/>
      <c r="CC537" s="567"/>
      <c r="CD537" s="567"/>
      <c r="CE537" s="567"/>
      <c r="CF537" s="567"/>
      <c r="CG537" s="567"/>
      <c r="CH537" s="567"/>
      <c r="CI537" s="567"/>
      <c r="CJ537" s="567"/>
      <c r="CK537" s="567"/>
      <c r="CL537" s="567"/>
      <c r="CM537" s="567"/>
      <c r="CN537" s="567"/>
      <c r="CO537" s="567"/>
      <c r="CP537" s="567"/>
      <c r="CQ537" s="567"/>
      <c r="CR537" s="567"/>
      <c r="CS537" s="567"/>
      <c r="CT537" s="567"/>
      <c r="CU537" s="567"/>
      <c r="CV537" s="567"/>
      <c r="CW537" s="567"/>
      <c r="CX537" s="567"/>
      <c r="CY537" s="567"/>
      <c r="CZ537" s="567"/>
      <c r="DA537" s="567"/>
      <c r="DB537" s="567"/>
      <c r="DC537" s="567"/>
      <c r="DD537" s="567"/>
      <c r="DE537" s="567"/>
      <c r="DF537" s="567"/>
      <c r="DG537" s="567"/>
      <c r="DH537" s="567"/>
      <c r="DI537" s="567"/>
      <c r="DJ537" s="567"/>
      <c r="DK537" s="567"/>
      <c r="DL537" s="567"/>
      <c r="DM537" s="567"/>
      <c r="DN537" s="567"/>
      <c r="DO537" s="567"/>
      <c r="DP537" s="567"/>
      <c r="DQ537" s="567"/>
    </row>
    <row r="538" spans="1:121" s="487" customFormat="1">
      <c r="A538" s="588"/>
      <c r="B538" s="588"/>
      <c r="C538" s="588"/>
      <c r="D538" s="588"/>
      <c r="E538" s="588"/>
      <c r="F538" s="588"/>
      <c r="G538" s="588"/>
      <c r="H538" s="588"/>
      <c r="I538" s="588"/>
      <c r="J538" s="588"/>
      <c r="K538" s="588"/>
      <c r="L538" s="702"/>
      <c r="M538" s="888"/>
      <c r="N538" s="888"/>
      <c r="O538" s="888"/>
      <c r="P538" s="888"/>
      <c r="Q538" s="888"/>
      <c r="R538" s="888"/>
      <c r="S538" s="888"/>
      <c r="T538" s="888"/>
      <c r="U538" s="888"/>
      <c r="V538" s="888"/>
      <c r="W538" s="888"/>
      <c r="X538" s="888"/>
      <c r="Y538" s="888"/>
      <c r="Z538" s="888"/>
      <c r="AA538" s="888"/>
      <c r="AB538" s="888"/>
      <c r="AC538" s="888"/>
      <c r="AD538" s="888"/>
      <c r="AE538" s="888"/>
      <c r="AF538" s="888"/>
      <c r="AG538" s="888"/>
      <c r="AH538" s="888"/>
      <c r="AI538" s="888"/>
      <c r="AJ538" s="888"/>
      <c r="AK538" s="888"/>
      <c r="AL538" s="888"/>
      <c r="AM538" s="888"/>
      <c r="AN538" s="888"/>
      <c r="AO538" s="888"/>
      <c r="AP538" s="888"/>
      <c r="AQ538" s="888"/>
      <c r="AR538" s="888"/>
      <c r="AS538" s="888"/>
      <c r="AT538" s="888"/>
      <c r="AU538" s="888"/>
      <c r="AV538" s="888"/>
      <c r="AW538" s="888"/>
      <c r="AX538" s="888"/>
      <c r="AY538" s="888"/>
      <c r="AZ538" s="567"/>
      <c r="BA538" s="567"/>
      <c r="BB538" s="567"/>
      <c r="BC538" s="567"/>
      <c r="BD538" s="567"/>
      <c r="BE538" s="567"/>
      <c r="BF538" s="567"/>
      <c r="BG538" s="567"/>
      <c r="BH538" s="567"/>
      <c r="BI538" s="567"/>
      <c r="BJ538" s="567"/>
      <c r="BK538" s="567"/>
      <c r="BL538" s="567"/>
      <c r="BM538" s="567"/>
      <c r="BN538" s="567"/>
      <c r="BO538" s="567"/>
      <c r="BP538" s="567"/>
      <c r="BQ538" s="567"/>
      <c r="BR538" s="567"/>
      <c r="BS538" s="567"/>
      <c r="BT538" s="567"/>
      <c r="BU538" s="567"/>
      <c r="BV538" s="567"/>
      <c r="BW538" s="567"/>
      <c r="BX538" s="567"/>
      <c r="BY538" s="567"/>
      <c r="BZ538" s="567"/>
      <c r="CA538" s="567"/>
      <c r="CB538" s="567"/>
      <c r="CC538" s="567"/>
      <c r="CD538" s="567"/>
      <c r="CE538" s="567"/>
      <c r="CF538" s="567"/>
      <c r="CG538" s="567"/>
      <c r="CH538" s="567"/>
      <c r="CI538" s="567"/>
      <c r="CJ538" s="567"/>
      <c r="CK538" s="567"/>
      <c r="CL538" s="567"/>
      <c r="CM538" s="567"/>
      <c r="CN538" s="567"/>
      <c r="CO538" s="567"/>
      <c r="CP538" s="567"/>
      <c r="CQ538" s="567"/>
      <c r="CR538" s="567"/>
      <c r="CS538" s="567"/>
      <c r="CT538" s="567"/>
      <c r="CU538" s="567"/>
      <c r="CV538" s="567"/>
      <c r="CW538" s="567"/>
      <c r="CX538" s="567"/>
      <c r="CY538" s="567"/>
      <c r="CZ538" s="567"/>
      <c r="DA538" s="567"/>
      <c r="DB538" s="567"/>
      <c r="DC538" s="567"/>
      <c r="DD538" s="567"/>
      <c r="DE538" s="567"/>
      <c r="DF538" s="567"/>
      <c r="DG538" s="567"/>
      <c r="DH538" s="567"/>
      <c r="DI538" s="567"/>
      <c r="DJ538" s="567"/>
      <c r="DK538" s="567"/>
      <c r="DL538" s="567"/>
      <c r="DM538" s="567"/>
      <c r="DN538" s="567"/>
      <c r="DO538" s="567"/>
      <c r="DP538" s="567"/>
      <c r="DQ538" s="567"/>
    </row>
    <row r="539" spans="1:121" s="487" customFormat="1">
      <c r="A539" s="588"/>
      <c r="B539" s="588"/>
      <c r="C539" s="588"/>
      <c r="D539" s="588"/>
      <c r="E539" s="588"/>
      <c r="F539" s="588"/>
      <c r="G539" s="588"/>
      <c r="H539" s="588"/>
      <c r="I539" s="588"/>
      <c r="J539" s="588"/>
      <c r="K539" s="588"/>
      <c r="L539" s="702"/>
      <c r="M539" s="888"/>
      <c r="N539" s="888"/>
      <c r="O539" s="888"/>
      <c r="P539" s="888"/>
      <c r="Q539" s="888"/>
      <c r="R539" s="888"/>
      <c r="S539" s="888"/>
      <c r="T539" s="888"/>
      <c r="U539" s="888"/>
      <c r="V539" s="888"/>
      <c r="W539" s="888"/>
      <c r="X539" s="888"/>
      <c r="Y539" s="888"/>
      <c r="Z539" s="888"/>
      <c r="AA539" s="888"/>
      <c r="AB539" s="888"/>
      <c r="AC539" s="888"/>
      <c r="AD539" s="888"/>
      <c r="AE539" s="888"/>
      <c r="AF539" s="888"/>
      <c r="AG539" s="888"/>
      <c r="AH539" s="888"/>
      <c r="AI539" s="888"/>
      <c r="AJ539" s="888"/>
      <c r="AK539" s="888"/>
      <c r="AL539" s="888"/>
      <c r="AM539" s="888"/>
      <c r="AN539" s="888"/>
      <c r="AO539" s="888"/>
      <c r="AP539" s="888"/>
      <c r="AQ539" s="888"/>
      <c r="AR539" s="888"/>
      <c r="AS539" s="888"/>
      <c r="AT539" s="888"/>
      <c r="AU539" s="888"/>
      <c r="AV539" s="888"/>
      <c r="AW539" s="888"/>
      <c r="AX539" s="888"/>
      <c r="AY539" s="888"/>
      <c r="AZ539" s="567"/>
      <c r="BA539" s="567"/>
      <c r="BB539" s="567"/>
      <c r="BC539" s="567"/>
      <c r="BD539" s="567"/>
      <c r="BE539" s="567"/>
      <c r="BF539" s="567"/>
      <c r="BG539" s="567"/>
      <c r="BH539" s="567"/>
      <c r="BI539" s="567"/>
      <c r="BJ539" s="567"/>
      <c r="BK539" s="567"/>
      <c r="BL539" s="567"/>
      <c r="BM539" s="567"/>
      <c r="BN539" s="567"/>
      <c r="BO539" s="567"/>
      <c r="BP539" s="567"/>
      <c r="BQ539" s="567"/>
      <c r="BR539" s="567"/>
      <c r="BS539" s="567"/>
      <c r="BT539" s="567"/>
      <c r="BU539" s="567"/>
      <c r="BV539" s="567"/>
      <c r="BW539" s="567"/>
      <c r="BX539" s="567"/>
      <c r="BY539" s="567"/>
      <c r="BZ539" s="567"/>
      <c r="CA539" s="567"/>
      <c r="CB539" s="567"/>
      <c r="CC539" s="567"/>
      <c r="CD539" s="567"/>
      <c r="CE539" s="567"/>
      <c r="CF539" s="567"/>
      <c r="CG539" s="567"/>
      <c r="CH539" s="567"/>
      <c r="CI539" s="567"/>
      <c r="CJ539" s="567"/>
      <c r="CK539" s="567"/>
      <c r="CL539" s="567"/>
      <c r="CM539" s="567"/>
      <c r="CN539" s="567"/>
      <c r="CO539" s="567"/>
      <c r="CP539" s="567"/>
      <c r="CQ539" s="567"/>
      <c r="CR539" s="567"/>
      <c r="CS539" s="567"/>
      <c r="CT539" s="567"/>
      <c r="CU539" s="567"/>
      <c r="CV539" s="567"/>
      <c r="CW539" s="567"/>
      <c r="CX539" s="567"/>
      <c r="CY539" s="567"/>
      <c r="CZ539" s="567"/>
      <c r="DA539" s="567"/>
      <c r="DB539" s="567"/>
      <c r="DC539" s="567"/>
      <c r="DD539" s="567"/>
      <c r="DE539" s="567"/>
      <c r="DF539" s="567"/>
      <c r="DG539" s="567"/>
      <c r="DH539" s="567"/>
      <c r="DI539" s="567"/>
      <c r="DJ539" s="567"/>
      <c r="DK539" s="567"/>
      <c r="DL539" s="567"/>
      <c r="DM539" s="567"/>
      <c r="DN539" s="567"/>
      <c r="DO539" s="567"/>
      <c r="DP539" s="567"/>
      <c r="DQ539" s="567"/>
    </row>
    <row r="540" spans="1:121" s="487" customFormat="1">
      <c r="A540" s="588"/>
      <c r="B540" s="588"/>
      <c r="C540" s="588"/>
      <c r="D540" s="588"/>
      <c r="E540" s="588"/>
      <c r="F540" s="588"/>
      <c r="G540" s="588"/>
      <c r="H540" s="588"/>
      <c r="I540" s="588"/>
      <c r="J540" s="588"/>
      <c r="K540" s="588"/>
      <c r="L540" s="702"/>
      <c r="M540" s="888"/>
      <c r="N540" s="888"/>
      <c r="O540" s="888"/>
      <c r="P540" s="888"/>
      <c r="Q540" s="888"/>
      <c r="R540" s="888"/>
      <c r="S540" s="888"/>
      <c r="T540" s="888"/>
      <c r="U540" s="888"/>
      <c r="V540" s="888"/>
      <c r="W540" s="888"/>
      <c r="X540" s="888"/>
      <c r="Y540" s="888"/>
      <c r="Z540" s="888"/>
      <c r="AA540" s="888"/>
      <c r="AB540" s="888"/>
      <c r="AC540" s="888"/>
      <c r="AD540" s="888"/>
      <c r="AE540" s="888"/>
      <c r="AF540" s="888"/>
      <c r="AG540" s="888"/>
      <c r="AH540" s="888"/>
      <c r="AI540" s="888"/>
      <c r="AJ540" s="888"/>
      <c r="AK540" s="888"/>
      <c r="AL540" s="888"/>
      <c r="AM540" s="888"/>
      <c r="AN540" s="888"/>
      <c r="AO540" s="888"/>
      <c r="AP540" s="888"/>
      <c r="AQ540" s="888"/>
      <c r="AR540" s="888"/>
      <c r="AS540" s="888"/>
      <c r="AT540" s="888"/>
      <c r="AU540" s="888"/>
      <c r="AV540" s="888"/>
      <c r="AW540" s="888"/>
      <c r="AX540" s="888"/>
      <c r="AY540" s="888"/>
      <c r="AZ540" s="567"/>
      <c r="BA540" s="567"/>
      <c r="BB540" s="567"/>
      <c r="BC540" s="567"/>
      <c r="BD540" s="567"/>
      <c r="BE540" s="567"/>
      <c r="BF540" s="567"/>
      <c r="BG540" s="567"/>
      <c r="BH540" s="567"/>
      <c r="BI540" s="567"/>
      <c r="BJ540" s="567"/>
      <c r="BK540" s="567"/>
      <c r="BL540" s="567"/>
      <c r="BM540" s="567"/>
      <c r="BN540" s="567"/>
      <c r="BO540" s="567"/>
      <c r="BP540" s="567"/>
      <c r="BQ540" s="567"/>
      <c r="BR540" s="567"/>
      <c r="BS540" s="567"/>
      <c r="BT540" s="567"/>
      <c r="BU540" s="567"/>
      <c r="BV540" s="567"/>
      <c r="BW540" s="567"/>
      <c r="BX540" s="567"/>
      <c r="BY540" s="567"/>
      <c r="BZ540" s="567"/>
      <c r="CA540" s="567"/>
      <c r="CB540" s="567"/>
      <c r="CC540" s="567"/>
      <c r="CD540" s="567"/>
      <c r="CE540" s="567"/>
      <c r="CF540" s="567"/>
      <c r="CG540" s="567"/>
      <c r="CH540" s="567"/>
      <c r="CI540" s="567"/>
      <c r="CJ540" s="567"/>
      <c r="CK540" s="567"/>
      <c r="CL540" s="567"/>
      <c r="CM540" s="567"/>
      <c r="CN540" s="567"/>
      <c r="CO540" s="567"/>
      <c r="CP540" s="567"/>
      <c r="CQ540" s="567"/>
      <c r="CR540" s="567"/>
      <c r="CS540" s="567"/>
      <c r="CT540" s="567"/>
      <c r="CU540" s="567"/>
      <c r="CV540" s="567"/>
      <c r="CW540" s="567"/>
      <c r="CX540" s="567"/>
      <c r="CY540" s="567"/>
      <c r="CZ540" s="567"/>
      <c r="DA540" s="567"/>
      <c r="DB540" s="567"/>
      <c r="DC540" s="567"/>
      <c r="DD540" s="567"/>
      <c r="DE540" s="567"/>
      <c r="DF540" s="567"/>
      <c r="DG540" s="567"/>
      <c r="DH540" s="567"/>
      <c r="DI540" s="567"/>
      <c r="DJ540" s="567"/>
      <c r="DK540" s="567"/>
      <c r="DL540" s="567"/>
      <c r="DM540" s="567"/>
      <c r="DN540" s="567"/>
      <c r="DO540" s="567"/>
      <c r="DP540" s="567"/>
      <c r="DQ540" s="567"/>
    </row>
    <row r="541" spans="1:121" s="487" customFormat="1">
      <c r="A541" s="588"/>
      <c r="B541" s="588"/>
      <c r="C541" s="588"/>
      <c r="D541" s="588"/>
      <c r="E541" s="588"/>
      <c r="F541" s="588"/>
      <c r="G541" s="588"/>
      <c r="H541" s="588"/>
      <c r="I541" s="588"/>
      <c r="J541" s="588"/>
      <c r="K541" s="588"/>
      <c r="L541" s="702"/>
      <c r="M541" s="888"/>
      <c r="N541" s="888"/>
      <c r="O541" s="888"/>
      <c r="P541" s="888"/>
      <c r="Q541" s="888"/>
      <c r="R541" s="888"/>
      <c r="S541" s="888"/>
      <c r="T541" s="888"/>
      <c r="U541" s="888"/>
      <c r="V541" s="888"/>
      <c r="W541" s="888"/>
      <c r="X541" s="888"/>
      <c r="Y541" s="888"/>
      <c r="Z541" s="888"/>
      <c r="AA541" s="888"/>
      <c r="AB541" s="888"/>
      <c r="AC541" s="888"/>
      <c r="AD541" s="888"/>
      <c r="AE541" s="888"/>
      <c r="AF541" s="888"/>
      <c r="AG541" s="888"/>
      <c r="AH541" s="888"/>
      <c r="AI541" s="888"/>
      <c r="AJ541" s="888"/>
      <c r="AK541" s="888"/>
      <c r="AL541" s="888"/>
      <c r="AM541" s="888"/>
      <c r="AN541" s="888"/>
      <c r="AO541" s="888"/>
      <c r="AP541" s="888"/>
      <c r="AQ541" s="888"/>
      <c r="AR541" s="888"/>
      <c r="AS541" s="888"/>
      <c r="AT541" s="888"/>
      <c r="AU541" s="888"/>
      <c r="AV541" s="888"/>
      <c r="AW541" s="888"/>
      <c r="AX541" s="888"/>
      <c r="AY541" s="888"/>
      <c r="AZ541" s="567"/>
      <c r="BA541" s="567"/>
      <c r="BB541" s="567"/>
      <c r="BC541" s="567"/>
      <c r="BD541" s="567"/>
      <c r="BE541" s="567"/>
      <c r="BF541" s="567"/>
      <c r="BG541" s="567"/>
      <c r="BH541" s="567"/>
      <c r="BI541" s="567"/>
      <c r="BJ541" s="567"/>
      <c r="BK541" s="567"/>
      <c r="BL541" s="567"/>
      <c r="BM541" s="567"/>
      <c r="BN541" s="567"/>
      <c r="BO541" s="567"/>
      <c r="BP541" s="567"/>
      <c r="BQ541" s="567"/>
      <c r="BR541" s="567"/>
      <c r="BS541" s="567"/>
      <c r="BT541" s="567"/>
      <c r="BU541" s="567"/>
      <c r="BV541" s="567"/>
      <c r="BW541" s="567"/>
      <c r="BX541" s="567"/>
      <c r="BY541" s="567"/>
      <c r="BZ541" s="567"/>
      <c r="CA541" s="567"/>
      <c r="CB541" s="567"/>
      <c r="CC541" s="567"/>
      <c r="CD541" s="567"/>
      <c r="CE541" s="567"/>
      <c r="CF541" s="567"/>
      <c r="CG541" s="567"/>
      <c r="CH541" s="567"/>
      <c r="CI541" s="567"/>
      <c r="CJ541" s="567"/>
      <c r="CK541" s="567"/>
      <c r="CL541" s="567"/>
      <c r="CM541" s="567"/>
      <c r="CN541" s="567"/>
      <c r="CO541" s="567"/>
      <c r="CP541" s="567"/>
      <c r="CQ541" s="567"/>
      <c r="CR541" s="567"/>
      <c r="CS541" s="567"/>
      <c r="CT541" s="567"/>
      <c r="CU541" s="567"/>
      <c r="CV541" s="567"/>
      <c r="CW541" s="567"/>
      <c r="CX541" s="567"/>
      <c r="CY541" s="567"/>
      <c r="CZ541" s="567"/>
      <c r="DA541" s="567"/>
      <c r="DB541" s="567"/>
      <c r="DC541" s="567"/>
      <c r="DD541" s="567"/>
      <c r="DE541" s="567"/>
      <c r="DF541" s="567"/>
      <c r="DG541" s="567"/>
      <c r="DH541" s="567"/>
      <c r="DI541" s="567"/>
      <c r="DJ541" s="567"/>
      <c r="DK541" s="567"/>
      <c r="DL541" s="567"/>
      <c r="DM541" s="567"/>
      <c r="DN541" s="567"/>
      <c r="DO541" s="567"/>
      <c r="DP541" s="567"/>
      <c r="DQ541" s="567"/>
    </row>
    <row r="542" spans="1:121" s="487" customFormat="1">
      <c r="A542" s="588"/>
      <c r="B542" s="588"/>
      <c r="C542" s="588"/>
      <c r="D542" s="588"/>
      <c r="E542" s="588"/>
      <c r="F542" s="588"/>
      <c r="G542" s="588"/>
      <c r="H542" s="588"/>
      <c r="I542" s="588"/>
      <c r="J542" s="588"/>
      <c r="K542" s="588"/>
      <c r="L542" s="702"/>
      <c r="M542" s="888"/>
      <c r="N542" s="888"/>
      <c r="O542" s="888"/>
      <c r="P542" s="888"/>
      <c r="Q542" s="888"/>
      <c r="R542" s="888"/>
      <c r="S542" s="888"/>
      <c r="T542" s="888"/>
      <c r="U542" s="888"/>
      <c r="V542" s="888"/>
      <c r="W542" s="888"/>
      <c r="X542" s="888"/>
      <c r="Y542" s="888"/>
      <c r="Z542" s="888"/>
      <c r="AA542" s="888"/>
      <c r="AB542" s="888"/>
      <c r="AC542" s="888"/>
      <c r="AD542" s="888"/>
      <c r="AE542" s="888"/>
      <c r="AF542" s="888"/>
      <c r="AG542" s="888"/>
      <c r="AH542" s="888"/>
      <c r="AI542" s="888"/>
      <c r="AJ542" s="888"/>
      <c r="AK542" s="888"/>
      <c r="AL542" s="888"/>
      <c r="AM542" s="888"/>
      <c r="AN542" s="888"/>
      <c r="AO542" s="888"/>
      <c r="AP542" s="888"/>
      <c r="AQ542" s="888"/>
      <c r="AR542" s="888"/>
      <c r="AS542" s="888"/>
      <c r="AT542" s="888"/>
      <c r="AU542" s="888"/>
      <c r="AV542" s="888"/>
      <c r="AW542" s="888"/>
      <c r="AX542" s="888"/>
      <c r="AY542" s="888"/>
      <c r="AZ542" s="567"/>
      <c r="BA542" s="567"/>
      <c r="BB542" s="567"/>
      <c r="BC542" s="567"/>
      <c r="BD542" s="567"/>
      <c r="BE542" s="567"/>
      <c r="BF542" s="567"/>
      <c r="BG542" s="567"/>
      <c r="BH542" s="567"/>
      <c r="BI542" s="567"/>
      <c r="BJ542" s="567"/>
      <c r="BK542" s="567"/>
      <c r="BL542" s="567"/>
      <c r="BM542" s="567"/>
      <c r="BN542" s="567"/>
      <c r="BO542" s="567"/>
      <c r="BP542" s="567"/>
      <c r="BQ542" s="567"/>
      <c r="BR542" s="567"/>
      <c r="BS542" s="567"/>
      <c r="BT542" s="567"/>
      <c r="BU542" s="567"/>
      <c r="BV542" s="567"/>
      <c r="BW542" s="567"/>
      <c r="BX542" s="567"/>
      <c r="BY542" s="567"/>
      <c r="BZ542" s="567"/>
      <c r="CA542" s="567"/>
      <c r="CB542" s="567"/>
      <c r="CC542" s="567"/>
      <c r="CD542" s="567"/>
      <c r="CE542" s="567"/>
      <c r="CF542" s="567"/>
      <c r="CG542" s="567"/>
      <c r="CH542" s="567"/>
      <c r="CI542" s="567"/>
      <c r="CJ542" s="567"/>
      <c r="CK542" s="567"/>
      <c r="CL542" s="567"/>
      <c r="CM542" s="567"/>
      <c r="CN542" s="567"/>
      <c r="CO542" s="567"/>
      <c r="CP542" s="567"/>
      <c r="CQ542" s="567"/>
      <c r="CR542" s="567"/>
      <c r="CS542" s="567"/>
      <c r="CT542" s="567"/>
      <c r="CU542" s="567"/>
      <c r="CV542" s="567"/>
      <c r="CW542" s="567"/>
      <c r="CX542" s="567"/>
      <c r="CY542" s="567"/>
      <c r="CZ542" s="567"/>
      <c r="DA542" s="567"/>
      <c r="DB542" s="567"/>
      <c r="DC542" s="567"/>
      <c r="DD542" s="567"/>
      <c r="DE542" s="567"/>
      <c r="DF542" s="567"/>
      <c r="DG542" s="567"/>
      <c r="DH542" s="567"/>
      <c r="DI542" s="567"/>
      <c r="DJ542" s="567"/>
      <c r="DK542" s="567"/>
      <c r="DL542" s="567"/>
      <c r="DM542" s="567"/>
      <c r="DN542" s="567"/>
      <c r="DO542" s="567"/>
      <c r="DP542" s="567"/>
      <c r="DQ542" s="567"/>
    </row>
    <row r="543" spans="1:121" s="487" customFormat="1">
      <c r="A543" s="588"/>
      <c r="B543" s="588"/>
      <c r="C543" s="588"/>
      <c r="D543" s="588"/>
      <c r="E543" s="588"/>
      <c r="F543" s="588"/>
      <c r="G543" s="588"/>
      <c r="H543" s="588"/>
      <c r="I543" s="588"/>
      <c r="J543" s="588"/>
      <c r="K543" s="588"/>
      <c r="L543" s="702"/>
      <c r="M543" s="888"/>
      <c r="N543" s="888"/>
      <c r="O543" s="888"/>
      <c r="P543" s="888"/>
      <c r="Q543" s="888"/>
      <c r="R543" s="888"/>
      <c r="S543" s="888"/>
      <c r="T543" s="888"/>
      <c r="U543" s="888"/>
      <c r="V543" s="888"/>
      <c r="W543" s="888"/>
      <c r="X543" s="888"/>
      <c r="Y543" s="888"/>
      <c r="Z543" s="888"/>
      <c r="AA543" s="888"/>
      <c r="AB543" s="888"/>
      <c r="AC543" s="888"/>
      <c r="AD543" s="888"/>
      <c r="AE543" s="888"/>
      <c r="AF543" s="888"/>
      <c r="AG543" s="888"/>
      <c r="AH543" s="888"/>
      <c r="AI543" s="888"/>
      <c r="AJ543" s="888"/>
      <c r="AK543" s="888"/>
      <c r="AL543" s="888"/>
      <c r="AM543" s="888"/>
      <c r="AN543" s="888"/>
      <c r="AO543" s="888"/>
      <c r="AP543" s="888"/>
      <c r="AQ543" s="888"/>
      <c r="AR543" s="888"/>
      <c r="AS543" s="888"/>
      <c r="AT543" s="888"/>
      <c r="AU543" s="888"/>
      <c r="AV543" s="888"/>
      <c r="AW543" s="888"/>
      <c r="AX543" s="888"/>
      <c r="AY543" s="888"/>
      <c r="AZ543" s="567"/>
      <c r="BA543" s="567"/>
      <c r="BB543" s="567"/>
      <c r="BC543" s="567"/>
      <c r="BD543" s="567"/>
      <c r="BE543" s="567"/>
      <c r="BF543" s="567"/>
      <c r="BG543" s="567"/>
      <c r="BH543" s="567"/>
      <c r="BI543" s="567"/>
      <c r="BJ543" s="567"/>
      <c r="BK543" s="567"/>
      <c r="BL543" s="567"/>
      <c r="BM543" s="567"/>
      <c r="BN543" s="567"/>
      <c r="BO543" s="567"/>
      <c r="BP543" s="567"/>
      <c r="BQ543" s="567"/>
      <c r="BR543" s="567"/>
      <c r="BS543" s="567"/>
      <c r="BT543" s="567"/>
      <c r="BU543" s="567"/>
      <c r="BV543" s="567"/>
      <c r="BW543" s="567"/>
      <c r="BX543" s="567"/>
      <c r="BY543" s="567"/>
      <c r="BZ543" s="567"/>
      <c r="CA543" s="567"/>
      <c r="CB543" s="567"/>
      <c r="CC543" s="567"/>
      <c r="CD543" s="567"/>
      <c r="CE543" s="567"/>
      <c r="CF543" s="567"/>
      <c r="CG543" s="567"/>
      <c r="CH543" s="567"/>
      <c r="CI543" s="567"/>
      <c r="CJ543" s="567"/>
      <c r="CK543" s="567"/>
      <c r="CL543" s="567"/>
      <c r="CM543" s="567"/>
      <c r="CN543" s="567"/>
      <c r="CO543" s="567"/>
      <c r="CP543" s="567"/>
      <c r="CQ543" s="567"/>
      <c r="CR543" s="567"/>
      <c r="CS543" s="567"/>
      <c r="CT543" s="567"/>
      <c r="CU543" s="567"/>
      <c r="CV543" s="567"/>
      <c r="CW543" s="567"/>
      <c r="CX543" s="567"/>
      <c r="CY543" s="567"/>
      <c r="CZ543" s="567"/>
      <c r="DA543" s="567"/>
      <c r="DB543" s="567"/>
      <c r="DC543" s="567"/>
      <c r="DD543" s="567"/>
      <c r="DE543" s="567"/>
      <c r="DF543" s="567"/>
      <c r="DG543" s="567"/>
      <c r="DH543" s="567"/>
      <c r="DI543" s="567"/>
      <c r="DJ543" s="567"/>
      <c r="DK543" s="567"/>
      <c r="DL543" s="567"/>
      <c r="DM543" s="567"/>
      <c r="DN543" s="567"/>
      <c r="DO543" s="567"/>
      <c r="DP543" s="567"/>
      <c r="DQ543" s="567"/>
    </row>
    <row r="544" spans="1:121" s="487" customFormat="1">
      <c r="A544" s="588"/>
      <c r="B544" s="588"/>
      <c r="C544" s="588"/>
      <c r="D544" s="588"/>
      <c r="E544" s="588"/>
      <c r="F544" s="588"/>
      <c r="G544" s="588"/>
      <c r="H544" s="588"/>
      <c r="I544" s="588"/>
      <c r="J544" s="588"/>
      <c r="K544" s="588"/>
      <c r="L544" s="702"/>
      <c r="M544" s="888"/>
      <c r="N544" s="888"/>
      <c r="O544" s="888"/>
      <c r="P544" s="888"/>
      <c r="Q544" s="888"/>
      <c r="R544" s="888"/>
      <c r="S544" s="888"/>
      <c r="T544" s="888"/>
      <c r="U544" s="888"/>
      <c r="V544" s="888"/>
      <c r="W544" s="888"/>
      <c r="X544" s="888"/>
      <c r="Y544" s="888"/>
      <c r="Z544" s="888"/>
      <c r="AA544" s="888"/>
      <c r="AB544" s="888"/>
      <c r="AC544" s="888"/>
      <c r="AD544" s="888"/>
      <c r="AE544" s="888"/>
      <c r="AF544" s="888"/>
      <c r="AG544" s="888"/>
      <c r="AH544" s="888"/>
      <c r="AI544" s="888"/>
      <c r="AJ544" s="888"/>
      <c r="AK544" s="888"/>
      <c r="AL544" s="888"/>
      <c r="AM544" s="888"/>
      <c r="AN544" s="888"/>
      <c r="AO544" s="888"/>
      <c r="AP544" s="888"/>
      <c r="AQ544" s="888"/>
      <c r="AR544" s="888"/>
      <c r="AS544" s="888"/>
      <c r="AT544" s="888"/>
      <c r="AU544" s="888"/>
      <c r="AV544" s="888"/>
      <c r="AW544" s="888"/>
      <c r="AX544" s="888"/>
      <c r="AY544" s="888"/>
      <c r="AZ544" s="567"/>
      <c r="BA544" s="567"/>
      <c r="BB544" s="567"/>
      <c r="BC544" s="567"/>
      <c r="BD544" s="567"/>
      <c r="BE544" s="567"/>
      <c r="BF544" s="567"/>
      <c r="BG544" s="567"/>
      <c r="BH544" s="567"/>
      <c r="BI544" s="567"/>
      <c r="BJ544" s="567"/>
      <c r="BK544" s="567"/>
      <c r="BL544" s="567"/>
      <c r="BM544" s="567"/>
      <c r="BN544" s="567"/>
      <c r="BO544" s="567"/>
      <c r="BP544" s="567"/>
      <c r="BQ544" s="567"/>
      <c r="BR544" s="567"/>
      <c r="BS544" s="567"/>
      <c r="BT544" s="567"/>
      <c r="BU544" s="567"/>
      <c r="BV544" s="567"/>
      <c r="BW544" s="567"/>
      <c r="BX544" s="567"/>
      <c r="BY544" s="567"/>
      <c r="BZ544" s="567"/>
      <c r="CA544" s="567"/>
      <c r="CB544" s="567"/>
      <c r="CC544" s="567"/>
      <c r="CD544" s="567"/>
      <c r="CE544" s="567"/>
      <c r="CF544" s="567"/>
      <c r="CG544" s="567"/>
      <c r="CH544" s="567"/>
      <c r="CI544" s="567"/>
      <c r="CJ544" s="567"/>
      <c r="CK544" s="567"/>
      <c r="CL544" s="567"/>
      <c r="CM544" s="567"/>
      <c r="CN544" s="567"/>
      <c r="CO544" s="567"/>
      <c r="CP544" s="567"/>
      <c r="CQ544" s="567"/>
      <c r="CR544" s="567"/>
      <c r="CS544" s="567"/>
      <c r="CT544" s="567"/>
      <c r="CU544" s="567"/>
      <c r="CV544" s="567"/>
      <c r="CW544" s="567"/>
      <c r="CX544" s="567"/>
      <c r="CY544" s="567"/>
      <c r="CZ544" s="567"/>
      <c r="DA544" s="567"/>
      <c r="DB544" s="567"/>
      <c r="DC544" s="567"/>
      <c r="DD544" s="567"/>
      <c r="DE544" s="567"/>
      <c r="DF544" s="567"/>
      <c r="DG544" s="567"/>
      <c r="DH544" s="567"/>
      <c r="DI544" s="567"/>
      <c r="DJ544" s="567"/>
      <c r="DK544" s="567"/>
      <c r="DL544" s="567"/>
      <c r="DM544" s="567"/>
      <c r="DN544" s="567"/>
      <c r="DO544" s="567"/>
      <c r="DP544" s="567"/>
      <c r="DQ544" s="567"/>
    </row>
    <row r="545" spans="1:121" s="487" customFormat="1">
      <c r="A545" s="588"/>
      <c r="B545" s="588"/>
      <c r="C545" s="588"/>
      <c r="D545" s="588"/>
      <c r="E545" s="588"/>
      <c r="F545" s="588"/>
      <c r="G545" s="588"/>
      <c r="H545" s="588"/>
      <c r="I545" s="588"/>
      <c r="J545" s="588"/>
      <c r="K545" s="588"/>
      <c r="L545" s="702"/>
      <c r="M545" s="888"/>
      <c r="N545" s="888"/>
      <c r="O545" s="888"/>
      <c r="P545" s="888"/>
      <c r="Q545" s="888"/>
      <c r="R545" s="888"/>
      <c r="S545" s="888"/>
      <c r="T545" s="888"/>
      <c r="U545" s="888"/>
      <c r="V545" s="888"/>
      <c r="W545" s="888"/>
      <c r="X545" s="888"/>
      <c r="Y545" s="888"/>
      <c r="Z545" s="888"/>
      <c r="AA545" s="888"/>
      <c r="AB545" s="888"/>
      <c r="AC545" s="888"/>
      <c r="AD545" s="888"/>
      <c r="AE545" s="888"/>
      <c r="AF545" s="888"/>
      <c r="AG545" s="888"/>
      <c r="AH545" s="888"/>
      <c r="AI545" s="888"/>
      <c r="AJ545" s="888"/>
      <c r="AK545" s="888"/>
      <c r="AL545" s="888"/>
      <c r="AM545" s="888"/>
      <c r="AN545" s="888"/>
      <c r="AO545" s="888"/>
      <c r="AP545" s="888"/>
      <c r="AQ545" s="888"/>
      <c r="AR545" s="888"/>
      <c r="AS545" s="888"/>
      <c r="AT545" s="888"/>
      <c r="AU545" s="888"/>
      <c r="AV545" s="888"/>
      <c r="AW545" s="888"/>
      <c r="AX545" s="888"/>
      <c r="AY545" s="888"/>
      <c r="AZ545" s="567"/>
      <c r="BA545" s="567"/>
      <c r="BB545" s="567"/>
      <c r="BC545" s="567"/>
      <c r="BD545" s="567"/>
      <c r="BE545" s="567"/>
      <c r="BF545" s="567"/>
      <c r="BG545" s="567"/>
      <c r="BH545" s="567"/>
      <c r="BI545" s="567"/>
      <c r="BJ545" s="567"/>
      <c r="BK545" s="567"/>
      <c r="BL545" s="567"/>
      <c r="BM545" s="567"/>
      <c r="BN545" s="567"/>
      <c r="BO545" s="567"/>
      <c r="BP545" s="567"/>
      <c r="BQ545" s="567"/>
      <c r="BR545" s="567"/>
      <c r="BS545" s="567"/>
      <c r="BT545" s="567"/>
      <c r="BU545" s="567"/>
      <c r="BV545" s="567"/>
      <c r="BW545" s="567"/>
      <c r="BX545" s="567"/>
      <c r="BY545" s="567"/>
      <c r="BZ545" s="567"/>
      <c r="CA545" s="567"/>
      <c r="CB545" s="567"/>
      <c r="CC545" s="567"/>
      <c r="CD545" s="567"/>
      <c r="CE545" s="567"/>
      <c r="CF545" s="567"/>
      <c r="CG545" s="567"/>
      <c r="CH545" s="567"/>
      <c r="CI545" s="567"/>
      <c r="CJ545" s="567"/>
      <c r="CK545" s="567"/>
      <c r="CL545" s="567"/>
      <c r="CM545" s="567"/>
      <c r="CN545" s="567"/>
      <c r="CO545" s="567"/>
      <c r="CP545" s="567"/>
      <c r="CQ545" s="567"/>
      <c r="CR545" s="567"/>
      <c r="CS545" s="567"/>
      <c r="CT545" s="567"/>
      <c r="CU545" s="567"/>
      <c r="CV545" s="567"/>
      <c r="CW545" s="567"/>
      <c r="CX545" s="567"/>
      <c r="CY545" s="567"/>
      <c r="CZ545" s="567"/>
      <c r="DA545" s="567"/>
      <c r="DB545" s="567"/>
      <c r="DC545" s="567"/>
      <c r="DD545" s="567"/>
      <c r="DE545" s="567"/>
      <c r="DF545" s="567"/>
      <c r="DG545" s="567"/>
      <c r="DH545" s="567"/>
      <c r="DI545" s="567"/>
      <c r="DJ545" s="567"/>
      <c r="DK545" s="567"/>
      <c r="DL545" s="567"/>
      <c r="DM545" s="567"/>
      <c r="DN545" s="567"/>
      <c r="DO545" s="567"/>
      <c r="DP545" s="567"/>
      <c r="DQ545" s="567"/>
    </row>
    <row r="546" spans="1:121" s="487" customFormat="1">
      <c r="A546" s="588"/>
      <c r="B546" s="588"/>
      <c r="C546" s="588"/>
      <c r="D546" s="588"/>
      <c r="E546" s="588"/>
      <c r="F546" s="588"/>
      <c r="G546" s="588"/>
      <c r="H546" s="588"/>
      <c r="I546" s="588"/>
      <c r="J546" s="588"/>
      <c r="K546" s="588"/>
      <c r="L546" s="702"/>
      <c r="M546" s="888"/>
      <c r="N546" s="888"/>
      <c r="O546" s="888"/>
      <c r="P546" s="888"/>
      <c r="Q546" s="888"/>
      <c r="R546" s="888"/>
      <c r="S546" s="888"/>
      <c r="T546" s="888"/>
      <c r="U546" s="888"/>
      <c r="V546" s="888"/>
      <c r="W546" s="888"/>
      <c r="X546" s="888"/>
      <c r="Y546" s="888"/>
      <c r="Z546" s="888"/>
      <c r="AA546" s="888"/>
      <c r="AB546" s="888"/>
      <c r="AC546" s="888"/>
      <c r="AD546" s="888"/>
      <c r="AE546" s="888"/>
      <c r="AF546" s="888"/>
      <c r="AG546" s="888"/>
      <c r="AH546" s="888"/>
      <c r="AI546" s="888"/>
      <c r="AJ546" s="888"/>
      <c r="AK546" s="888"/>
      <c r="AL546" s="888"/>
      <c r="AM546" s="888"/>
      <c r="AN546" s="888"/>
      <c r="AO546" s="888"/>
      <c r="AP546" s="888"/>
      <c r="AQ546" s="888"/>
      <c r="AR546" s="888"/>
      <c r="AS546" s="888"/>
      <c r="AT546" s="888"/>
      <c r="AU546" s="888"/>
      <c r="AV546" s="888"/>
      <c r="AW546" s="888"/>
      <c r="AX546" s="888"/>
      <c r="AY546" s="888"/>
      <c r="AZ546" s="567"/>
      <c r="BA546" s="567"/>
      <c r="BB546" s="567"/>
      <c r="BC546" s="567"/>
      <c r="BD546" s="567"/>
      <c r="BE546" s="567"/>
      <c r="BF546" s="567"/>
      <c r="BG546" s="567"/>
      <c r="BH546" s="567"/>
      <c r="BI546" s="567"/>
      <c r="BJ546" s="567"/>
      <c r="BK546" s="567"/>
      <c r="BL546" s="567"/>
      <c r="BM546" s="567"/>
      <c r="BN546" s="567"/>
      <c r="BO546" s="567"/>
      <c r="BP546" s="567"/>
      <c r="BQ546" s="567"/>
      <c r="BR546" s="567"/>
      <c r="BS546" s="567"/>
      <c r="BT546" s="567"/>
      <c r="BU546" s="567"/>
      <c r="BV546" s="567"/>
      <c r="BW546" s="567"/>
      <c r="BX546" s="567"/>
      <c r="BY546" s="567"/>
      <c r="BZ546" s="567"/>
      <c r="CA546" s="567"/>
      <c r="CB546" s="567"/>
      <c r="CC546" s="567"/>
      <c r="CD546" s="567"/>
      <c r="CE546" s="567"/>
      <c r="CF546" s="567"/>
      <c r="CG546" s="567"/>
      <c r="CH546" s="567"/>
      <c r="CI546" s="567"/>
      <c r="CJ546" s="567"/>
      <c r="CK546" s="567"/>
      <c r="CL546" s="567"/>
      <c r="CM546" s="567"/>
      <c r="CN546" s="567"/>
      <c r="CO546" s="567"/>
      <c r="CP546" s="567"/>
      <c r="CQ546" s="567"/>
      <c r="CR546" s="567"/>
      <c r="CS546" s="567"/>
      <c r="CT546" s="567"/>
      <c r="CU546" s="567"/>
      <c r="CV546" s="567"/>
      <c r="CW546" s="567"/>
      <c r="CX546" s="567"/>
      <c r="CY546" s="567"/>
      <c r="CZ546" s="567"/>
      <c r="DA546" s="567"/>
      <c r="DB546" s="567"/>
      <c r="DC546" s="567"/>
      <c r="DD546" s="567"/>
      <c r="DE546" s="567"/>
      <c r="DF546" s="567"/>
      <c r="DG546" s="567"/>
      <c r="DH546" s="567"/>
      <c r="DI546" s="567"/>
      <c r="DJ546" s="567"/>
      <c r="DK546" s="567"/>
      <c r="DL546" s="567"/>
      <c r="DM546" s="567"/>
      <c r="DN546" s="567"/>
      <c r="DO546" s="567"/>
      <c r="DP546" s="567"/>
      <c r="DQ546" s="567"/>
    </row>
    <row r="547" spans="1:121" s="487" customFormat="1">
      <c r="A547" s="588"/>
      <c r="B547" s="588"/>
      <c r="C547" s="588"/>
      <c r="D547" s="588"/>
      <c r="E547" s="588"/>
      <c r="F547" s="588"/>
      <c r="G547" s="588"/>
      <c r="H547" s="588"/>
      <c r="I547" s="588"/>
      <c r="J547" s="588"/>
      <c r="K547" s="588"/>
      <c r="L547" s="702"/>
      <c r="M547" s="888"/>
      <c r="N547" s="888"/>
      <c r="O547" s="888"/>
      <c r="P547" s="888"/>
      <c r="Q547" s="888"/>
      <c r="R547" s="888"/>
      <c r="S547" s="888"/>
      <c r="T547" s="888"/>
      <c r="U547" s="888"/>
      <c r="V547" s="888"/>
      <c r="W547" s="888"/>
      <c r="X547" s="888"/>
      <c r="Y547" s="888"/>
      <c r="Z547" s="888"/>
      <c r="AA547" s="888"/>
      <c r="AB547" s="888"/>
      <c r="AC547" s="888"/>
      <c r="AD547" s="888"/>
      <c r="AE547" s="888"/>
      <c r="AF547" s="888"/>
      <c r="AG547" s="888"/>
      <c r="AH547" s="888"/>
      <c r="AI547" s="888"/>
      <c r="AJ547" s="888"/>
      <c r="AK547" s="888"/>
      <c r="AL547" s="888"/>
      <c r="AM547" s="888"/>
      <c r="AN547" s="888"/>
      <c r="AO547" s="888"/>
      <c r="AP547" s="888"/>
      <c r="AQ547" s="888"/>
      <c r="AR547" s="888"/>
      <c r="AS547" s="888"/>
      <c r="AT547" s="888"/>
      <c r="AU547" s="888"/>
      <c r="AV547" s="888"/>
      <c r="AW547" s="888"/>
      <c r="AX547" s="888"/>
      <c r="AY547" s="888"/>
      <c r="AZ547" s="567"/>
      <c r="BA547" s="567"/>
      <c r="BB547" s="567"/>
      <c r="BC547" s="567"/>
      <c r="BD547" s="567"/>
      <c r="BE547" s="567"/>
      <c r="BF547" s="567"/>
      <c r="BG547" s="567"/>
      <c r="BH547" s="567"/>
      <c r="BI547" s="567"/>
      <c r="BJ547" s="567"/>
      <c r="BK547" s="567"/>
      <c r="BL547" s="567"/>
      <c r="BM547" s="567"/>
      <c r="BN547" s="567"/>
      <c r="BO547" s="567"/>
      <c r="BP547" s="567"/>
      <c r="BQ547" s="567"/>
      <c r="BR547" s="567"/>
      <c r="BS547" s="567"/>
      <c r="BT547" s="567"/>
      <c r="BU547" s="567"/>
      <c r="BV547" s="567"/>
      <c r="BW547" s="567"/>
      <c r="BX547" s="567"/>
      <c r="BY547" s="567"/>
      <c r="BZ547" s="567"/>
      <c r="CA547" s="567"/>
      <c r="CB547" s="567"/>
      <c r="CC547" s="567"/>
      <c r="CD547" s="567"/>
      <c r="CE547" s="567"/>
      <c r="CF547" s="567"/>
      <c r="CG547" s="567"/>
      <c r="CH547" s="567"/>
      <c r="CI547" s="567"/>
      <c r="CJ547" s="567"/>
      <c r="CK547" s="567"/>
      <c r="CL547" s="567"/>
      <c r="CM547" s="567"/>
      <c r="CN547" s="567"/>
      <c r="CO547" s="567"/>
      <c r="CP547" s="567"/>
      <c r="CQ547" s="567"/>
      <c r="CR547" s="567"/>
      <c r="CS547" s="567"/>
      <c r="CT547" s="567"/>
      <c r="CU547" s="567"/>
      <c r="CV547" s="567"/>
      <c r="CW547" s="567"/>
      <c r="CX547" s="567"/>
      <c r="CY547" s="567"/>
      <c r="CZ547" s="567"/>
      <c r="DA547" s="567"/>
      <c r="DB547" s="567"/>
      <c r="DC547" s="567"/>
      <c r="DD547" s="567"/>
      <c r="DE547" s="567"/>
      <c r="DF547" s="567"/>
      <c r="DG547" s="567"/>
      <c r="DH547" s="567"/>
      <c r="DI547" s="567"/>
      <c r="DJ547" s="567"/>
      <c r="DK547" s="567"/>
      <c r="DL547" s="567"/>
      <c r="DM547" s="567"/>
      <c r="DN547" s="567"/>
      <c r="DO547" s="567"/>
      <c r="DP547" s="567"/>
      <c r="DQ547" s="567"/>
    </row>
    <row r="548" spans="1:121" s="487" customFormat="1">
      <c r="A548" s="588"/>
      <c r="B548" s="588"/>
      <c r="C548" s="588"/>
      <c r="D548" s="588"/>
      <c r="E548" s="588"/>
      <c r="F548" s="588"/>
      <c r="G548" s="588"/>
      <c r="H548" s="588"/>
      <c r="I548" s="588"/>
      <c r="J548" s="588"/>
      <c r="K548" s="588"/>
      <c r="L548" s="702"/>
      <c r="M548" s="888"/>
      <c r="N548" s="888"/>
      <c r="O548" s="888"/>
      <c r="P548" s="888"/>
      <c r="Q548" s="888"/>
      <c r="R548" s="888"/>
      <c r="S548" s="888"/>
      <c r="T548" s="888"/>
      <c r="U548" s="888"/>
      <c r="V548" s="888"/>
      <c r="W548" s="888"/>
      <c r="X548" s="888"/>
      <c r="Y548" s="888"/>
      <c r="Z548" s="888"/>
      <c r="AA548" s="888"/>
      <c r="AB548" s="888"/>
      <c r="AC548" s="888"/>
      <c r="AD548" s="888"/>
      <c r="AE548" s="888"/>
      <c r="AF548" s="888"/>
      <c r="AG548" s="888"/>
      <c r="AH548" s="888"/>
      <c r="AI548" s="888"/>
      <c r="AJ548" s="888"/>
      <c r="AK548" s="888"/>
      <c r="AL548" s="888"/>
      <c r="AM548" s="888"/>
      <c r="AN548" s="888"/>
      <c r="AO548" s="888"/>
      <c r="AP548" s="888"/>
      <c r="AQ548" s="888"/>
      <c r="AR548" s="888"/>
      <c r="AS548" s="888"/>
      <c r="AT548" s="888"/>
      <c r="AU548" s="888"/>
      <c r="AV548" s="888"/>
      <c r="AW548" s="888"/>
      <c r="AX548" s="888"/>
      <c r="AY548" s="888"/>
      <c r="AZ548" s="567"/>
      <c r="BA548" s="567"/>
      <c r="BB548" s="567"/>
      <c r="BC548" s="567"/>
      <c r="BD548" s="567"/>
      <c r="BE548" s="567"/>
      <c r="BF548" s="567"/>
      <c r="BG548" s="567"/>
      <c r="BH548" s="567"/>
      <c r="BI548" s="567"/>
      <c r="BJ548" s="567"/>
      <c r="BK548" s="567"/>
      <c r="BL548" s="567"/>
      <c r="BM548" s="567"/>
      <c r="BN548" s="567"/>
      <c r="BO548" s="567"/>
      <c r="BP548" s="567"/>
      <c r="BQ548" s="567"/>
      <c r="BR548" s="567"/>
      <c r="BS548" s="567"/>
      <c r="BT548" s="567"/>
      <c r="BU548" s="567"/>
      <c r="BV548" s="567"/>
      <c r="BW548" s="567"/>
      <c r="BX548" s="567"/>
      <c r="BY548" s="567"/>
      <c r="BZ548" s="567"/>
      <c r="CA548" s="567"/>
      <c r="CB548" s="567"/>
      <c r="CC548" s="567"/>
      <c r="CD548" s="567"/>
      <c r="CE548" s="567"/>
      <c r="CF548" s="567"/>
      <c r="CG548" s="567"/>
      <c r="CH548" s="567"/>
      <c r="CI548" s="567"/>
      <c r="CJ548" s="567"/>
      <c r="CK548" s="567"/>
      <c r="CL548" s="567"/>
      <c r="CM548" s="567"/>
      <c r="CN548" s="567"/>
      <c r="CO548" s="567"/>
      <c r="CP548" s="567"/>
      <c r="CQ548" s="567"/>
      <c r="CR548" s="567"/>
      <c r="CS548" s="567"/>
      <c r="CT548" s="567"/>
      <c r="CU548" s="567"/>
      <c r="CV548" s="567"/>
      <c r="CW548" s="567"/>
      <c r="CX548" s="567"/>
      <c r="CY548" s="567"/>
      <c r="CZ548" s="567"/>
      <c r="DA548" s="567"/>
      <c r="DB548" s="567"/>
      <c r="DC548" s="567"/>
      <c r="DD548" s="567"/>
      <c r="DE548" s="567"/>
      <c r="DF548" s="567"/>
      <c r="DG548" s="567"/>
      <c r="DH548" s="567"/>
      <c r="DI548" s="567"/>
      <c r="DJ548" s="567"/>
      <c r="DK548" s="567"/>
      <c r="DL548" s="567"/>
      <c r="DM548" s="567"/>
      <c r="DN548" s="567"/>
      <c r="DO548" s="567"/>
      <c r="DP548" s="567"/>
      <c r="DQ548" s="567"/>
    </row>
    <row r="549" spans="1:121" s="487" customFormat="1">
      <c r="A549" s="588"/>
      <c r="B549" s="588"/>
      <c r="C549" s="588"/>
      <c r="D549" s="588"/>
      <c r="E549" s="588"/>
      <c r="F549" s="588"/>
      <c r="G549" s="588"/>
      <c r="H549" s="588"/>
      <c r="I549" s="588"/>
      <c r="J549" s="588"/>
      <c r="K549" s="588"/>
      <c r="L549" s="702"/>
      <c r="M549" s="888"/>
      <c r="N549" s="888"/>
      <c r="O549" s="888"/>
      <c r="P549" s="888"/>
      <c r="Q549" s="888"/>
      <c r="R549" s="888"/>
      <c r="S549" s="888"/>
      <c r="T549" s="888"/>
      <c r="U549" s="888"/>
      <c r="V549" s="888"/>
      <c r="W549" s="888"/>
      <c r="X549" s="888"/>
      <c r="Y549" s="888"/>
      <c r="Z549" s="888"/>
      <c r="AA549" s="888"/>
      <c r="AB549" s="888"/>
      <c r="AC549" s="888"/>
      <c r="AD549" s="888"/>
      <c r="AE549" s="888"/>
      <c r="AF549" s="888"/>
      <c r="AG549" s="888"/>
      <c r="AH549" s="888"/>
      <c r="AI549" s="888"/>
      <c r="AJ549" s="888"/>
      <c r="AK549" s="888"/>
      <c r="AL549" s="888"/>
      <c r="AM549" s="888"/>
      <c r="AN549" s="888"/>
      <c r="AO549" s="888"/>
      <c r="AP549" s="888"/>
      <c r="AQ549" s="888"/>
      <c r="AR549" s="888"/>
      <c r="AS549" s="888"/>
      <c r="AT549" s="888"/>
      <c r="AU549" s="888"/>
      <c r="AV549" s="888"/>
      <c r="AW549" s="888"/>
      <c r="AX549" s="888"/>
      <c r="AY549" s="888"/>
      <c r="AZ549" s="567"/>
      <c r="BA549" s="567"/>
      <c r="BB549" s="567"/>
      <c r="BC549" s="567"/>
      <c r="BD549" s="567"/>
      <c r="BE549" s="567"/>
      <c r="BF549" s="567"/>
      <c r="BG549" s="567"/>
      <c r="BH549" s="567"/>
      <c r="BI549" s="567"/>
      <c r="BJ549" s="567"/>
      <c r="BK549" s="567"/>
      <c r="BL549" s="567"/>
      <c r="BM549" s="567"/>
      <c r="BN549" s="567"/>
      <c r="BO549" s="567"/>
      <c r="BP549" s="567"/>
      <c r="BQ549" s="567"/>
      <c r="BR549" s="567"/>
      <c r="BS549" s="567"/>
      <c r="BT549" s="567"/>
      <c r="BU549" s="567"/>
      <c r="BV549" s="567"/>
      <c r="BW549" s="567"/>
      <c r="BX549" s="567"/>
      <c r="BY549" s="567"/>
      <c r="BZ549" s="567"/>
      <c r="CA549" s="567"/>
      <c r="CB549" s="567"/>
      <c r="CC549" s="567"/>
      <c r="CD549" s="567"/>
      <c r="CE549" s="567"/>
      <c r="CF549" s="567"/>
      <c r="CG549" s="567"/>
      <c r="CH549" s="567"/>
      <c r="CI549" s="567"/>
      <c r="CJ549" s="567"/>
      <c r="CK549" s="567"/>
      <c r="CL549" s="567"/>
      <c r="CM549" s="567"/>
      <c r="CN549" s="567"/>
      <c r="CO549" s="567"/>
      <c r="CP549" s="567"/>
      <c r="CQ549" s="567"/>
      <c r="CR549" s="567"/>
      <c r="CS549" s="567"/>
      <c r="CT549" s="567"/>
      <c r="CU549" s="567"/>
      <c r="CV549" s="567"/>
      <c r="CW549" s="567"/>
      <c r="CX549" s="567"/>
      <c r="CY549" s="567"/>
      <c r="CZ549" s="567"/>
      <c r="DA549" s="567"/>
      <c r="DB549" s="567"/>
      <c r="DC549" s="567"/>
      <c r="DD549" s="567"/>
      <c r="DE549" s="567"/>
      <c r="DF549" s="567"/>
      <c r="DG549" s="567"/>
      <c r="DH549" s="567"/>
      <c r="DI549" s="567"/>
      <c r="DJ549" s="567"/>
      <c r="DK549" s="567"/>
      <c r="DL549" s="567"/>
      <c r="DM549" s="567"/>
      <c r="DN549" s="567"/>
      <c r="DO549" s="567"/>
      <c r="DP549" s="567"/>
      <c r="DQ549" s="567"/>
    </row>
    <row r="550" spans="1:121" s="487" customFormat="1">
      <c r="A550" s="588"/>
      <c r="B550" s="588"/>
      <c r="C550" s="588"/>
      <c r="D550" s="588"/>
      <c r="E550" s="588"/>
      <c r="F550" s="588"/>
      <c r="G550" s="588"/>
      <c r="H550" s="588"/>
      <c r="I550" s="588"/>
      <c r="J550" s="588"/>
      <c r="K550" s="588"/>
      <c r="L550" s="702"/>
      <c r="M550" s="888"/>
      <c r="N550" s="888"/>
      <c r="O550" s="888"/>
      <c r="P550" s="888"/>
      <c r="Q550" s="888"/>
      <c r="R550" s="888"/>
      <c r="S550" s="888"/>
      <c r="T550" s="888"/>
      <c r="U550" s="888"/>
      <c r="V550" s="888"/>
      <c r="W550" s="888"/>
      <c r="X550" s="888"/>
      <c r="Y550" s="888"/>
      <c r="Z550" s="888"/>
      <c r="AA550" s="888"/>
      <c r="AB550" s="888"/>
      <c r="AC550" s="888"/>
      <c r="AD550" s="888"/>
      <c r="AE550" s="888"/>
      <c r="AF550" s="888"/>
      <c r="AG550" s="888"/>
      <c r="AH550" s="888"/>
      <c r="AI550" s="888"/>
      <c r="AJ550" s="888"/>
      <c r="AK550" s="888"/>
      <c r="AL550" s="888"/>
      <c r="AM550" s="888"/>
      <c r="AN550" s="888"/>
      <c r="AO550" s="888"/>
      <c r="AP550" s="888"/>
      <c r="AQ550" s="888"/>
      <c r="AR550" s="888"/>
      <c r="AS550" s="888"/>
      <c r="AT550" s="888"/>
      <c r="AU550" s="888"/>
      <c r="AV550" s="888"/>
      <c r="AW550" s="888"/>
      <c r="AX550" s="888"/>
      <c r="AY550" s="888"/>
      <c r="AZ550" s="567"/>
      <c r="BA550" s="567"/>
      <c r="BB550" s="567"/>
      <c r="BC550" s="567"/>
      <c r="BD550" s="567"/>
      <c r="BE550" s="567"/>
      <c r="BF550" s="567"/>
      <c r="BG550" s="567"/>
      <c r="BH550" s="567"/>
      <c r="BI550" s="567"/>
      <c r="BJ550" s="567"/>
      <c r="BK550" s="567"/>
      <c r="BL550" s="567"/>
      <c r="BM550" s="567"/>
      <c r="BN550" s="567"/>
      <c r="BO550" s="567"/>
      <c r="BP550" s="567"/>
      <c r="BQ550" s="567"/>
      <c r="BR550" s="567"/>
      <c r="BS550" s="567"/>
      <c r="BT550" s="567"/>
      <c r="BU550" s="567"/>
      <c r="BV550" s="567"/>
      <c r="BW550" s="567"/>
      <c r="BX550" s="567"/>
      <c r="BY550" s="567"/>
      <c r="BZ550" s="567"/>
      <c r="CA550" s="567"/>
      <c r="CB550" s="567"/>
      <c r="CC550" s="567"/>
      <c r="CD550" s="567"/>
      <c r="CE550" s="567"/>
      <c r="CF550" s="567"/>
      <c r="CG550" s="567"/>
      <c r="CH550" s="567"/>
      <c r="CI550" s="567"/>
      <c r="CJ550" s="567"/>
      <c r="CK550" s="567"/>
      <c r="CL550" s="567"/>
      <c r="CM550" s="567"/>
      <c r="CN550" s="567"/>
      <c r="CO550" s="567"/>
      <c r="CP550" s="567"/>
      <c r="CQ550" s="567"/>
      <c r="CR550" s="567"/>
      <c r="CS550" s="567"/>
      <c r="CT550" s="567"/>
      <c r="CU550" s="567"/>
      <c r="CV550" s="567"/>
      <c r="CW550" s="567"/>
      <c r="CX550" s="567"/>
      <c r="CY550" s="567"/>
      <c r="CZ550" s="567"/>
      <c r="DA550" s="567"/>
      <c r="DB550" s="567"/>
      <c r="DC550" s="567"/>
      <c r="DD550" s="567"/>
      <c r="DE550" s="567"/>
      <c r="DF550" s="567"/>
      <c r="DG550" s="567"/>
      <c r="DH550" s="567"/>
      <c r="DI550" s="567"/>
      <c r="DJ550" s="567"/>
      <c r="DK550" s="567"/>
      <c r="DL550" s="567"/>
      <c r="DM550" s="567"/>
      <c r="DN550" s="567"/>
      <c r="DO550" s="567"/>
      <c r="DP550" s="567"/>
      <c r="DQ550" s="567"/>
    </row>
    <row r="551" spans="1:121" s="487" customFormat="1">
      <c r="A551" s="588"/>
      <c r="B551" s="588"/>
      <c r="C551" s="588"/>
      <c r="D551" s="588"/>
      <c r="E551" s="588"/>
      <c r="F551" s="588"/>
      <c r="G551" s="588"/>
      <c r="H551" s="588"/>
      <c r="I551" s="588"/>
      <c r="J551" s="588"/>
      <c r="K551" s="588"/>
      <c r="L551" s="702"/>
      <c r="M551" s="888"/>
      <c r="N551" s="888"/>
      <c r="O551" s="888"/>
      <c r="P551" s="888"/>
      <c r="Q551" s="888"/>
      <c r="R551" s="888"/>
      <c r="S551" s="888"/>
      <c r="T551" s="888"/>
      <c r="U551" s="888"/>
      <c r="V551" s="888"/>
      <c r="W551" s="888"/>
      <c r="X551" s="888"/>
      <c r="Y551" s="888"/>
      <c r="Z551" s="888"/>
      <c r="AA551" s="888"/>
      <c r="AB551" s="888"/>
      <c r="AC551" s="888"/>
      <c r="AD551" s="888"/>
      <c r="AE551" s="888"/>
      <c r="AF551" s="888"/>
      <c r="AG551" s="888"/>
      <c r="AH551" s="888"/>
      <c r="AI551" s="888"/>
      <c r="AJ551" s="888"/>
      <c r="AK551" s="888"/>
      <c r="AL551" s="888"/>
      <c r="AM551" s="888"/>
      <c r="AN551" s="888"/>
      <c r="AO551" s="888"/>
      <c r="AP551" s="888"/>
      <c r="AQ551" s="888"/>
      <c r="AR551" s="888"/>
      <c r="AS551" s="888"/>
      <c r="AT551" s="888"/>
      <c r="AU551" s="888"/>
      <c r="AV551" s="888"/>
      <c r="AW551" s="888"/>
      <c r="AX551" s="888"/>
      <c r="AY551" s="888"/>
      <c r="AZ551" s="567"/>
      <c r="BA551" s="567"/>
      <c r="BB551" s="567"/>
      <c r="BC551" s="567"/>
      <c r="BD551" s="567"/>
      <c r="BE551" s="567"/>
      <c r="BF551" s="567"/>
      <c r="BG551" s="567"/>
      <c r="BH551" s="567"/>
      <c r="BI551" s="567"/>
      <c r="BJ551" s="567"/>
      <c r="BK551" s="567"/>
      <c r="BL551" s="567"/>
      <c r="BM551" s="567"/>
      <c r="BN551" s="567"/>
      <c r="BO551" s="567"/>
      <c r="BP551" s="567"/>
      <c r="BQ551" s="567"/>
      <c r="BR551" s="567"/>
      <c r="BS551" s="567"/>
      <c r="BT551" s="567"/>
      <c r="BU551" s="567"/>
      <c r="BV551" s="567"/>
      <c r="BW551" s="567"/>
      <c r="BX551" s="567"/>
      <c r="BY551" s="567"/>
      <c r="BZ551" s="567"/>
      <c r="CA551" s="567"/>
      <c r="CB551" s="567"/>
      <c r="CC551" s="567"/>
      <c r="CD551" s="567"/>
      <c r="CE551" s="567"/>
      <c r="CF551" s="567"/>
      <c r="CG551" s="567"/>
      <c r="CH551" s="567"/>
      <c r="CI551" s="567"/>
      <c r="CJ551" s="567"/>
      <c r="CK551" s="567"/>
      <c r="CL551" s="567"/>
      <c r="CM551" s="567"/>
      <c r="CN551" s="567"/>
      <c r="CO551" s="567"/>
      <c r="CP551" s="567"/>
      <c r="CQ551" s="567"/>
      <c r="CR551" s="567"/>
      <c r="CS551" s="567"/>
      <c r="CT551" s="567"/>
      <c r="CU551" s="567"/>
      <c r="CV551" s="567"/>
      <c r="CW551" s="567"/>
      <c r="CX551" s="567"/>
      <c r="CY551" s="567"/>
      <c r="CZ551" s="567"/>
      <c r="DA551" s="567"/>
      <c r="DB551" s="567"/>
      <c r="DC551" s="567"/>
      <c r="DD551" s="567"/>
      <c r="DE551" s="567"/>
      <c r="DF551" s="567"/>
      <c r="DG551" s="567"/>
      <c r="DH551" s="567"/>
      <c r="DI551" s="567"/>
      <c r="DJ551" s="567"/>
      <c r="DK551" s="567"/>
      <c r="DL551" s="567"/>
      <c r="DM551" s="567"/>
      <c r="DN551" s="567"/>
      <c r="DO551" s="567"/>
      <c r="DP551" s="567"/>
      <c r="DQ551" s="567"/>
    </row>
    <row r="552" spans="1:121" s="487" customFormat="1">
      <c r="A552" s="588"/>
      <c r="B552" s="588"/>
      <c r="C552" s="588"/>
      <c r="D552" s="588"/>
      <c r="E552" s="588"/>
      <c r="F552" s="588"/>
      <c r="G552" s="588"/>
      <c r="H552" s="588"/>
      <c r="I552" s="588"/>
      <c r="J552" s="588"/>
      <c r="K552" s="588"/>
      <c r="L552" s="702"/>
      <c r="M552" s="888"/>
      <c r="N552" s="888"/>
      <c r="O552" s="888"/>
      <c r="P552" s="888"/>
      <c r="Q552" s="888"/>
      <c r="R552" s="888"/>
      <c r="S552" s="888"/>
      <c r="T552" s="888"/>
      <c r="U552" s="888"/>
      <c r="V552" s="888"/>
      <c r="W552" s="888"/>
      <c r="X552" s="888"/>
      <c r="Y552" s="888"/>
      <c r="Z552" s="888"/>
      <c r="AA552" s="888"/>
      <c r="AB552" s="888"/>
      <c r="AC552" s="888"/>
      <c r="AD552" s="888"/>
      <c r="AE552" s="888"/>
      <c r="AF552" s="888"/>
      <c r="AG552" s="888"/>
      <c r="AH552" s="888"/>
      <c r="AI552" s="888"/>
      <c r="AJ552" s="888"/>
      <c r="AK552" s="888"/>
      <c r="AL552" s="888"/>
      <c r="AM552" s="888"/>
      <c r="AN552" s="888"/>
      <c r="AO552" s="888"/>
      <c r="AP552" s="888"/>
      <c r="AQ552" s="888"/>
      <c r="AR552" s="888"/>
      <c r="AS552" s="888"/>
      <c r="AT552" s="888"/>
      <c r="AU552" s="888"/>
      <c r="AV552" s="888"/>
      <c r="AW552" s="888"/>
      <c r="AX552" s="888"/>
      <c r="AY552" s="888"/>
      <c r="AZ552" s="567"/>
      <c r="BA552" s="567"/>
      <c r="BB552" s="567"/>
      <c r="BC552" s="567"/>
      <c r="BD552" s="567"/>
      <c r="BE552" s="567"/>
      <c r="BF552" s="567"/>
      <c r="BG552" s="567"/>
      <c r="BH552" s="567"/>
      <c r="BI552" s="567"/>
      <c r="BJ552" s="567"/>
      <c r="BK552" s="567"/>
      <c r="BL552" s="567"/>
      <c r="BM552" s="567"/>
      <c r="BN552" s="567"/>
      <c r="BO552" s="567"/>
      <c r="BP552" s="567"/>
      <c r="BQ552" s="567"/>
      <c r="BR552" s="567"/>
      <c r="BS552" s="567"/>
      <c r="BT552" s="567"/>
      <c r="BU552" s="567"/>
      <c r="BV552" s="567"/>
      <c r="BW552" s="567"/>
      <c r="BX552" s="567"/>
      <c r="BY552" s="567"/>
      <c r="BZ552" s="567"/>
      <c r="CA552" s="567"/>
      <c r="CB552" s="567"/>
      <c r="CC552" s="567"/>
      <c r="CD552" s="567"/>
      <c r="CE552" s="567"/>
      <c r="CF552" s="567"/>
      <c r="CG552" s="567"/>
      <c r="CH552" s="567"/>
      <c r="CI552" s="567"/>
      <c r="CJ552" s="567"/>
      <c r="CK552" s="567"/>
      <c r="CL552" s="567"/>
      <c r="CM552" s="567"/>
      <c r="CN552" s="567"/>
      <c r="CO552" s="567"/>
      <c r="CP552" s="567"/>
      <c r="CQ552" s="567"/>
      <c r="CR552" s="567"/>
      <c r="CS552" s="567"/>
      <c r="CT552" s="567"/>
      <c r="CU552" s="567"/>
      <c r="CV552" s="567"/>
      <c r="CW552" s="567"/>
      <c r="CX552" s="567"/>
      <c r="CY552" s="567"/>
      <c r="CZ552" s="567"/>
      <c r="DA552" s="567"/>
      <c r="DB552" s="567"/>
      <c r="DC552" s="567"/>
      <c r="DD552" s="567"/>
      <c r="DE552" s="567"/>
      <c r="DF552" s="567"/>
      <c r="DG552" s="567"/>
      <c r="DH552" s="567"/>
      <c r="DI552" s="567"/>
      <c r="DJ552" s="567"/>
      <c r="DK552" s="567"/>
      <c r="DL552" s="567"/>
      <c r="DM552" s="567"/>
      <c r="DN552" s="567"/>
      <c r="DO552" s="567"/>
      <c r="DP552" s="567"/>
      <c r="DQ552" s="567"/>
    </row>
    <row r="553" spans="1:121" s="487" customFormat="1">
      <c r="A553" s="588"/>
      <c r="B553" s="588"/>
      <c r="C553" s="588"/>
      <c r="D553" s="588"/>
      <c r="E553" s="588"/>
      <c r="F553" s="588"/>
      <c r="G553" s="588"/>
      <c r="H553" s="588"/>
      <c r="I553" s="588"/>
      <c r="J553" s="588"/>
      <c r="K553" s="588"/>
      <c r="L553" s="702"/>
      <c r="M553" s="888"/>
      <c r="N553" s="888"/>
      <c r="O553" s="888"/>
      <c r="P553" s="888"/>
      <c r="Q553" s="888"/>
      <c r="R553" s="888"/>
      <c r="S553" s="888"/>
      <c r="T553" s="888"/>
      <c r="U553" s="888"/>
      <c r="V553" s="888"/>
      <c r="W553" s="888"/>
      <c r="X553" s="888"/>
      <c r="Y553" s="888"/>
      <c r="Z553" s="888"/>
      <c r="AA553" s="888"/>
      <c r="AB553" s="888"/>
      <c r="AC553" s="888"/>
      <c r="AD553" s="888"/>
      <c r="AE553" s="888"/>
      <c r="AF553" s="888"/>
      <c r="AG553" s="888"/>
      <c r="AH553" s="888"/>
      <c r="AI553" s="888"/>
      <c r="AJ553" s="888"/>
      <c r="AK553" s="888"/>
      <c r="AL553" s="888"/>
      <c r="AM553" s="888"/>
      <c r="AN553" s="888"/>
      <c r="AO553" s="888"/>
      <c r="AP553" s="888"/>
      <c r="AQ553" s="888"/>
      <c r="AR553" s="888"/>
      <c r="AS553" s="888"/>
      <c r="AT553" s="888"/>
      <c r="AU553" s="888"/>
      <c r="AV553" s="888"/>
      <c r="AW553" s="888"/>
      <c r="AX553" s="888"/>
      <c r="AY553" s="888"/>
      <c r="AZ553" s="567"/>
      <c r="BA553" s="567"/>
      <c r="BB553" s="567"/>
      <c r="BC553" s="567"/>
      <c r="BD553" s="567"/>
      <c r="BE553" s="567"/>
      <c r="BF553" s="567"/>
      <c r="BG553" s="567"/>
      <c r="BH553" s="567"/>
      <c r="BI553" s="567"/>
      <c r="BJ553" s="567"/>
      <c r="BK553" s="567"/>
      <c r="BL553" s="567"/>
      <c r="BM553" s="567"/>
      <c r="BN553" s="567"/>
      <c r="BO553" s="567"/>
      <c r="BP553" s="567"/>
      <c r="BQ553" s="567"/>
      <c r="BR553" s="567"/>
      <c r="BS553" s="567"/>
      <c r="BT553" s="567"/>
      <c r="BU553" s="567"/>
      <c r="BV553" s="567"/>
      <c r="BW553" s="567"/>
      <c r="BX553" s="567"/>
      <c r="BY553" s="567"/>
      <c r="BZ553" s="567"/>
      <c r="CA553" s="567"/>
      <c r="CB553" s="567"/>
      <c r="CC553" s="567"/>
      <c r="CD553" s="567"/>
      <c r="CE553" s="567"/>
      <c r="CF553" s="567"/>
      <c r="CG553" s="567"/>
      <c r="CH553" s="567"/>
      <c r="CI553" s="567"/>
      <c r="CJ553" s="567"/>
      <c r="CK553" s="567"/>
      <c r="CL553" s="567"/>
      <c r="CM553" s="567"/>
      <c r="CN553" s="567"/>
      <c r="CO553" s="567"/>
      <c r="CP553" s="567"/>
      <c r="CQ553" s="567"/>
      <c r="CR553" s="567"/>
      <c r="CS553" s="567"/>
      <c r="CT553" s="567"/>
      <c r="CU553" s="567"/>
      <c r="CV553" s="567"/>
      <c r="CW553" s="567"/>
      <c r="CX553" s="567"/>
      <c r="CY553" s="567"/>
      <c r="CZ553" s="567"/>
      <c r="DA553" s="567"/>
      <c r="DB553" s="567"/>
      <c r="DC553" s="567"/>
      <c r="DD553" s="567"/>
      <c r="DE553" s="567"/>
      <c r="DF553" s="567"/>
      <c r="DG553" s="567"/>
      <c r="DH553" s="567"/>
      <c r="DI553" s="567"/>
      <c r="DJ553" s="567"/>
      <c r="DK553" s="567"/>
      <c r="DL553" s="567"/>
      <c r="DM553" s="567"/>
      <c r="DN553" s="567"/>
      <c r="DO553" s="567"/>
      <c r="DP553" s="567"/>
      <c r="DQ553" s="567"/>
    </row>
    <row r="554" spans="1:121" s="487" customFormat="1">
      <c r="A554" s="588"/>
      <c r="B554" s="588"/>
      <c r="C554" s="588"/>
      <c r="D554" s="588"/>
      <c r="E554" s="588"/>
      <c r="F554" s="588"/>
      <c r="G554" s="588"/>
      <c r="H554" s="588"/>
      <c r="I554" s="588"/>
      <c r="J554" s="588"/>
      <c r="K554" s="588"/>
      <c r="L554" s="702"/>
      <c r="M554" s="888"/>
      <c r="N554" s="888"/>
      <c r="O554" s="888"/>
      <c r="P554" s="888"/>
      <c r="Q554" s="888"/>
      <c r="R554" s="888"/>
      <c r="S554" s="888"/>
      <c r="T554" s="888"/>
      <c r="U554" s="888"/>
      <c r="V554" s="888"/>
      <c r="W554" s="888"/>
      <c r="X554" s="888"/>
      <c r="Y554" s="888"/>
      <c r="Z554" s="888"/>
      <c r="AA554" s="888"/>
      <c r="AB554" s="888"/>
      <c r="AC554" s="888"/>
      <c r="AD554" s="888"/>
      <c r="AE554" s="888"/>
      <c r="AF554" s="888"/>
      <c r="AG554" s="888"/>
      <c r="AH554" s="888"/>
      <c r="AI554" s="888"/>
      <c r="AJ554" s="888"/>
      <c r="AK554" s="888"/>
      <c r="AL554" s="888"/>
      <c r="AM554" s="888"/>
      <c r="AN554" s="888"/>
      <c r="AO554" s="888"/>
      <c r="AP554" s="888"/>
      <c r="AQ554" s="888"/>
      <c r="AR554" s="888"/>
      <c r="AS554" s="888"/>
      <c r="AT554" s="888"/>
      <c r="AU554" s="888"/>
      <c r="AV554" s="888"/>
      <c r="AW554" s="888"/>
      <c r="AX554" s="888"/>
      <c r="AY554" s="888"/>
      <c r="AZ554" s="567"/>
      <c r="BA554" s="567"/>
      <c r="BB554" s="567"/>
      <c r="BC554" s="567"/>
      <c r="BD554" s="567"/>
      <c r="BE554" s="567"/>
      <c r="BF554" s="567"/>
      <c r="BG554" s="567"/>
      <c r="BH554" s="567"/>
      <c r="BI554" s="567"/>
      <c r="BJ554" s="567"/>
      <c r="BK554" s="567"/>
      <c r="BL554" s="567"/>
      <c r="BM554" s="567"/>
      <c r="BN554" s="567"/>
      <c r="BO554" s="567"/>
      <c r="BP554" s="567"/>
      <c r="BQ554" s="567"/>
      <c r="BR554" s="567"/>
      <c r="BS554" s="567"/>
      <c r="BT554" s="567"/>
      <c r="BU554" s="567"/>
      <c r="BV554" s="567"/>
      <c r="BW554" s="567"/>
      <c r="BX554" s="567"/>
      <c r="BY554" s="567"/>
      <c r="BZ554" s="567"/>
      <c r="CA554" s="567"/>
      <c r="CB554" s="567"/>
      <c r="CC554" s="567"/>
      <c r="CD554" s="567"/>
      <c r="CE554" s="567"/>
      <c r="CF554" s="567"/>
      <c r="CG554" s="567"/>
      <c r="CH554" s="567"/>
      <c r="CI554" s="567"/>
      <c r="CJ554" s="567"/>
      <c r="CK554" s="567"/>
      <c r="CL554" s="567"/>
      <c r="CM554" s="567"/>
      <c r="CN554" s="567"/>
      <c r="CO554" s="567"/>
      <c r="CP554" s="567"/>
      <c r="CQ554" s="567"/>
      <c r="CR554" s="567"/>
      <c r="CS554" s="567"/>
      <c r="CT554" s="567"/>
      <c r="CU554" s="567"/>
      <c r="CV554" s="567"/>
      <c r="CW554" s="567"/>
      <c r="CX554" s="567"/>
      <c r="CY554" s="567"/>
      <c r="CZ554" s="567"/>
      <c r="DA554" s="567"/>
      <c r="DB554" s="567"/>
      <c r="DC554" s="567"/>
      <c r="DD554" s="567"/>
      <c r="DE554" s="567"/>
      <c r="DF554" s="567"/>
      <c r="DG554" s="567"/>
      <c r="DH554" s="567"/>
      <c r="DI554" s="567"/>
      <c r="DJ554" s="567"/>
      <c r="DK554" s="567"/>
      <c r="DL554" s="567"/>
      <c r="DM554" s="567"/>
      <c r="DN554" s="567"/>
      <c r="DO554" s="567"/>
      <c r="DP554" s="567"/>
      <c r="DQ554" s="567"/>
    </row>
    <row r="555" spans="1:121" s="487" customFormat="1">
      <c r="A555" s="588"/>
      <c r="B555" s="588"/>
      <c r="C555" s="588"/>
      <c r="D555" s="588"/>
      <c r="E555" s="588"/>
      <c r="F555" s="588"/>
      <c r="G555" s="588"/>
      <c r="H555" s="588"/>
      <c r="I555" s="588"/>
      <c r="J555" s="588"/>
      <c r="K555" s="588"/>
      <c r="L555" s="702"/>
      <c r="M555" s="888"/>
      <c r="N555" s="888"/>
      <c r="O555" s="888"/>
      <c r="P555" s="888"/>
      <c r="Q555" s="888"/>
      <c r="R555" s="888"/>
      <c r="S555" s="888"/>
      <c r="T555" s="888"/>
      <c r="U555" s="888"/>
      <c r="V555" s="888"/>
      <c r="W555" s="888"/>
      <c r="X555" s="888"/>
      <c r="Y555" s="888"/>
      <c r="Z555" s="888"/>
      <c r="AA555" s="888"/>
      <c r="AB555" s="888"/>
      <c r="AC555" s="888"/>
      <c r="AD555" s="888"/>
      <c r="AE555" s="888"/>
      <c r="AF555" s="888"/>
      <c r="AG555" s="888"/>
      <c r="AH555" s="888"/>
      <c r="AI555" s="888"/>
      <c r="AJ555" s="888"/>
      <c r="AK555" s="888"/>
      <c r="AL555" s="888"/>
      <c r="AM555" s="888"/>
      <c r="AN555" s="888"/>
      <c r="AO555" s="888"/>
      <c r="AP555" s="888"/>
      <c r="AQ555" s="888"/>
      <c r="AR555" s="888"/>
      <c r="AS555" s="888"/>
      <c r="AT555" s="888"/>
      <c r="AU555" s="888"/>
      <c r="AV555" s="888"/>
      <c r="AW555" s="888"/>
      <c r="AX555" s="888"/>
      <c r="AY555" s="888"/>
      <c r="AZ555" s="567"/>
      <c r="BA555" s="567"/>
      <c r="BB555" s="567"/>
      <c r="BC555" s="567"/>
      <c r="BD555" s="567"/>
      <c r="BE555" s="567"/>
      <c r="BF555" s="567"/>
      <c r="BG555" s="567"/>
      <c r="BH555" s="567"/>
      <c r="BI555" s="567"/>
      <c r="BJ555" s="567"/>
      <c r="BK555" s="567"/>
      <c r="BL555" s="567"/>
      <c r="BM555" s="567"/>
      <c r="BN555" s="567"/>
      <c r="BO555" s="567"/>
      <c r="BP555" s="567"/>
      <c r="BQ555" s="567"/>
      <c r="BR555" s="567"/>
      <c r="BS555" s="567"/>
      <c r="BT555" s="567"/>
      <c r="BU555" s="567"/>
      <c r="BV555" s="567"/>
      <c r="BW555" s="567"/>
      <c r="BX555" s="567"/>
      <c r="BY555" s="567"/>
      <c r="BZ555" s="567"/>
      <c r="CA555" s="567"/>
      <c r="CB555" s="567"/>
      <c r="CC555" s="567"/>
      <c r="CD555" s="567"/>
      <c r="CE555" s="567"/>
      <c r="CF555" s="567"/>
      <c r="CG555" s="567"/>
      <c r="CH555" s="567"/>
      <c r="CI555" s="567"/>
      <c r="CJ555" s="567"/>
      <c r="CK555" s="567"/>
      <c r="CL555" s="567"/>
      <c r="CM555" s="567"/>
      <c r="CN555" s="567"/>
      <c r="CO555" s="567"/>
      <c r="CP555" s="567"/>
      <c r="CQ555" s="567"/>
      <c r="CR555" s="567"/>
      <c r="CS555" s="567"/>
      <c r="CT555" s="567"/>
      <c r="CU555" s="567"/>
      <c r="CV555" s="567"/>
      <c r="CW555" s="567"/>
      <c r="CX555" s="567"/>
      <c r="CY555" s="567"/>
      <c r="CZ555" s="567"/>
      <c r="DA555" s="567"/>
      <c r="DB555" s="567"/>
      <c r="DC555" s="567"/>
      <c r="DD555" s="567"/>
      <c r="DE555" s="567"/>
      <c r="DF555" s="567"/>
      <c r="DG555" s="567"/>
      <c r="DH555" s="567"/>
      <c r="DI555" s="567"/>
      <c r="DJ555" s="567"/>
      <c r="DK555" s="567"/>
      <c r="DL555" s="567"/>
      <c r="DM555" s="567"/>
      <c r="DN555" s="567"/>
      <c r="DO555" s="567"/>
      <c r="DP555" s="567"/>
      <c r="DQ555" s="567"/>
    </row>
    <row r="556" spans="1:121" s="487" customFormat="1">
      <c r="A556" s="588"/>
      <c r="B556" s="588"/>
      <c r="C556" s="588"/>
      <c r="D556" s="588"/>
      <c r="E556" s="588"/>
      <c r="F556" s="588"/>
      <c r="G556" s="588"/>
      <c r="H556" s="588"/>
      <c r="I556" s="588"/>
      <c r="J556" s="588"/>
      <c r="K556" s="588"/>
      <c r="L556" s="702"/>
      <c r="M556" s="888"/>
      <c r="N556" s="888"/>
      <c r="O556" s="888"/>
      <c r="P556" s="888"/>
      <c r="Q556" s="888"/>
      <c r="R556" s="888"/>
      <c r="S556" s="888"/>
      <c r="T556" s="888"/>
      <c r="U556" s="888"/>
      <c r="V556" s="888"/>
      <c r="W556" s="888"/>
      <c r="X556" s="888"/>
      <c r="Y556" s="888"/>
      <c r="Z556" s="888"/>
      <c r="AA556" s="888"/>
      <c r="AB556" s="888"/>
      <c r="AC556" s="888"/>
      <c r="AD556" s="888"/>
      <c r="AE556" s="888"/>
      <c r="AF556" s="888"/>
      <c r="AG556" s="888"/>
      <c r="AH556" s="888"/>
      <c r="AI556" s="888"/>
      <c r="AJ556" s="888"/>
      <c r="AK556" s="888"/>
      <c r="AL556" s="888"/>
      <c r="AM556" s="888"/>
      <c r="AN556" s="888"/>
      <c r="AO556" s="888"/>
      <c r="AP556" s="888"/>
      <c r="AQ556" s="888"/>
      <c r="AR556" s="888"/>
      <c r="AS556" s="888"/>
      <c r="AT556" s="888"/>
      <c r="AU556" s="888"/>
      <c r="AV556" s="888"/>
      <c r="AW556" s="888"/>
      <c r="AX556" s="888"/>
      <c r="AY556" s="888"/>
      <c r="AZ556" s="567"/>
      <c r="BA556" s="567"/>
      <c r="BB556" s="567"/>
      <c r="BC556" s="567"/>
      <c r="BD556" s="567"/>
      <c r="BE556" s="567"/>
      <c r="BF556" s="567"/>
      <c r="BG556" s="567"/>
      <c r="BH556" s="567"/>
      <c r="BI556" s="567"/>
      <c r="BJ556" s="567"/>
      <c r="BK556" s="567"/>
      <c r="BL556" s="567"/>
      <c r="BM556" s="567"/>
      <c r="BN556" s="567"/>
      <c r="BO556" s="567"/>
      <c r="BP556" s="567"/>
      <c r="BQ556" s="567"/>
      <c r="BR556" s="567"/>
      <c r="BS556" s="567"/>
      <c r="BT556" s="567"/>
      <c r="BU556" s="567"/>
      <c r="BV556" s="567"/>
      <c r="BW556" s="567"/>
      <c r="BX556" s="567"/>
      <c r="BY556" s="567"/>
      <c r="BZ556" s="567"/>
      <c r="CA556" s="567"/>
      <c r="CB556" s="567"/>
      <c r="CC556" s="567"/>
      <c r="CD556" s="567"/>
      <c r="CE556" s="567"/>
      <c r="CF556" s="567"/>
      <c r="CG556" s="567"/>
      <c r="CH556" s="567"/>
      <c r="CI556" s="567"/>
      <c r="CJ556" s="567"/>
      <c r="CK556" s="567"/>
      <c r="CL556" s="567"/>
      <c r="CM556" s="567"/>
      <c r="CN556" s="567"/>
      <c r="CO556" s="567"/>
      <c r="CP556" s="567"/>
      <c r="CQ556" s="567"/>
      <c r="CR556" s="567"/>
      <c r="CS556" s="567"/>
      <c r="CT556" s="567"/>
      <c r="CU556" s="567"/>
      <c r="CV556" s="567"/>
      <c r="CW556" s="567"/>
      <c r="CX556" s="567"/>
      <c r="CY556" s="567"/>
      <c r="CZ556" s="567"/>
      <c r="DA556" s="567"/>
      <c r="DB556" s="567"/>
      <c r="DC556" s="567"/>
      <c r="DD556" s="567"/>
      <c r="DE556" s="567"/>
      <c r="DF556" s="567"/>
      <c r="DG556" s="567"/>
      <c r="DH556" s="567"/>
      <c r="DI556" s="567"/>
      <c r="DJ556" s="567"/>
      <c r="DK556" s="567"/>
      <c r="DL556" s="567"/>
      <c r="DM556" s="567"/>
      <c r="DN556" s="567"/>
      <c r="DO556" s="567"/>
      <c r="DP556" s="567"/>
      <c r="DQ556" s="567"/>
    </row>
  </sheetData>
  <sheetProtection password="F90B" sheet="1" objects="1" scenarios="1" formatColumns="0" formatRows="0" selectLockedCells="1" autoFilter="0"/>
  <protectedRanges>
    <protectedRange password="CF7A" sqref="E22:K22" name="Range2"/>
  </protectedRanges>
  <autoFilter ref="L3:L97">
    <filterColumn colId="0">
      <customFilters>
        <customFilter operator="notEqual" val=" "/>
      </customFilters>
    </filterColumn>
  </autoFilter>
  <customSheetViews>
    <customSheetView guid="{AF8DD0C3-82AF-40F4-9518-B58C2E7D25DB}" filter="1" showAutoFilter="1">
      <selection activeCell="E21" sqref="E21"/>
      <pageMargins left="0" right="0" top="0.196850393700787" bottom="0.196850393700787" header="0.511811023622047" footer="0.511811023622047"/>
      <printOptions horizontalCentered="1" verticalCentered="1"/>
      <pageSetup paperSize="5" scale="85" orientation="portrait" horizontalDpi="180" verticalDpi="180" r:id="rId1"/>
      <headerFooter alignWithMargins="0"/>
      <autoFilter ref="L3:L91">
        <filterColumn colId="0">
          <customFilters>
            <customFilter operator="notEqual" val=" "/>
          </customFilters>
        </filterColumn>
      </autoFilter>
    </customSheetView>
    <customSheetView guid="{42E2D281-D8CE-4199-94CF-E6DFE3EDCACD}" topLeftCell="B61">
      <selection activeCell="D66" sqref="D66"/>
      <pageMargins left="0" right="0" top="0.19685039370078741" bottom="0.19685039370078741" header="0.51181102362204722" footer="0.51181102362204722"/>
      <printOptions horizontalCentered="1"/>
      <pageSetup paperSize="5" scale="83" orientation="portrait" horizontalDpi="180" verticalDpi="180" r:id="rId2"/>
      <headerFooter alignWithMargins="0"/>
    </customSheetView>
    <customSheetView guid="{79BDAD5E-470D-413B-AE3A-BBB122EFD8E5}" showGridLines="0" filter="1" showAutoFilter="1" topLeftCell="A65">
      <selection activeCell="L41" sqref="L41"/>
      <pageMargins left="0" right="0" top="0.196850393700787" bottom="0.196850393700787" header="0.511811023622047" footer="0.511811023622047"/>
      <printOptions horizontalCentered="1"/>
      <pageSetup paperSize="5" scale="90" orientation="portrait" horizontalDpi="180" verticalDpi="180" r:id="rId3"/>
      <headerFooter alignWithMargins="0"/>
      <autoFilter ref="L3:L95">
        <filterColumn colId="0">
          <customFilters>
            <customFilter operator="notEqual" val=" "/>
          </customFilters>
        </filterColumn>
      </autoFilter>
    </customSheetView>
  </customSheetViews>
  <mergeCells count="88">
    <mergeCell ref="A1:K1"/>
    <mergeCell ref="C64:E64"/>
    <mergeCell ref="F22:G22"/>
    <mergeCell ref="H22:I22"/>
    <mergeCell ref="D61:E61"/>
    <mergeCell ref="D62:E62"/>
    <mergeCell ref="D63:E63"/>
    <mergeCell ref="D56:E56"/>
    <mergeCell ref="D57:E57"/>
    <mergeCell ref="D58:E58"/>
    <mergeCell ref="C52:D52"/>
    <mergeCell ref="D42:E42"/>
    <mergeCell ref="D44:E44"/>
    <mergeCell ref="D60:E60"/>
    <mergeCell ref="F50:G50"/>
    <mergeCell ref="H50:I50"/>
    <mergeCell ref="A93:K93"/>
    <mergeCell ref="C101:D101"/>
    <mergeCell ref="A91:I91"/>
    <mergeCell ref="G95:I95"/>
    <mergeCell ref="C78:E78"/>
    <mergeCell ref="B88:E88"/>
    <mergeCell ref="C80:D80"/>
    <mergeCell ref="C81:D81"/>
    <mergeCell ref="B82:E82"/>
    <mergeCell ref="A92:K92"/>
    <mergeCell ref="B83:E83"/>
    <mergeCell ref="G83:K83"/>
    <mergeCell ref="C79:D79"/>
    <mergeCell ref="C102:D102"/>
    <mergeCell ref="C103:D103"/>
    <mergeCell ref="C97:D97"/>
    <mergeCell ref="C98:D98"/>
    <mergeCell ref="C99:D99"/>
    <mergeCell ref="C100:D100"/>
    <mergeCell ref="F3:K3"/>
    <mergeCell ref="J19:K19"/>
    <mergeCell ref="B3:E3"/>
    <mergeCell ref="D4:E4"/>
    <mergeCell ref="F4:H4"/>
    <mergeCell ref="D5:E5"/>
    <mergeCell ref="F19:G19"/>
    <mergeCell ref="H19:I19"/>
    <mergeCell ref="F8:I8"/>
    <mergeCell ref="B6:E6"/>
    <mergeCell ref="B7:E7"/>
    <mergeCell ref="B8:E8"/>
    <mergeCell ref="B18:E18"/>
    <mergeCell ref="F6:K6"/>
    <mergeCell ref="F7:K7"/>
    <mergeCell ref="E9:K9"/>
    <mergeCell ref="B72:D72"/>
    <mergeCell ref="A67:B67"/>
    <mergeCell ref="A68:B68"/>
    <mergeCell ref="C67:E67"/>
    <mergeCell ref="C68:E68"/>
    <mergeCell ref="B70:E70"/>
    <mergeCell ref="B71:D71"/>
    <mergeCell ref="A69:B69"/>
    <mergeCell ref="C69:E69"/>
    <mergeCell ref="D77:E77"/>
    <mergeCell ref="C36:D36"/>
    <mergeCell ref="J21:K21"/>
    <mergeCell ref="C25:E25"/>
    <mergeCell ref="C26:E26"/>
    <mergeCell ref="H21:I21"/>
    <mergeCell ref="F21:G21"/>
    <mergeCell ref="D21:D22"/>
    <mergeCell ref="B30:E30"/>
    <mergeCell ref="B33:D33"/>
    <mergeCell ref="C27:E27"/>
    <mergeCell ref="C28:E28"/>
    <mergeCell ref="J50:K50"/>
    <mergeCell ref="J41:K41"/>
    <mergeCell ref="C48:E48"/>
    <mergeCell ref="F41:G41"/>
    <mergeCell ref="D45:E45"/>
    <mergeCell ref="D46:E46"/>
    <mergeCell ref="D47:E47"/>
    <mergeCell ref="H41:I41"/>
    <mergeCell ref="C29:E29"/>
    <mergeCell ref="A51:B51"/>
    <mergeCell ref="C66:E66"/>
    <mergeCell ref="C51:E51"/>
    <mergeCell ref="D54:E54"/>
    <mergeCell ref="D55:E55"/>
    <mergeCell ref="C65:E65"/>
    <mergeCell ref="D59:E59"/>
  </mergeCells>
  <phoneticPr fontId="9" type="noConversion"/>
  <conditionalFormatting sqref="E22:K22 H10:I16 J10:J53 K10:K38 K40:K53 G41:G51 G10:G39 F77 H77:K77 F78:K82 F84:K89 H18:I51 F83:G83 F10:F51 F54:K76">
    <cfRule type="cellIs" dxfId="10" priority="4" operator="equal">
      <formula>0</formula>
    </cfRule>
  </conditionalFormatting>
  <conditionalFormatting sqref="F53">
    <cfRule type="cellIs" dxfId="9" priority="1" operator="equal">
      <formula>0</formula>
    </cfRule>
  </conditionalFormatting>
  <printOptions horizontalCentered="1"/>
  <pageMargins left="0" right="0" top="0.44685039399999998" bottom="0.196850393700787" header="0.511811023622047" footer="0.511811023622047"/>
  <pageSetup paperSize="5" scale="90" orientation="portrait" horizontalDpi="180" verticalDpi="180" r:id="rId4"/>
  <headerFooter alignWithMargins="0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filterMode="1"/>
  <dimension ref="A1:CP42"/>
  <sheetViews>
    <sheetView tabSelected="1" zoomScaleSheetLayoutView="100" workbookViewId="0">
      <selection activeCell="AB21" sqref="AB21"/>
    </sheetView>
  </sheetViews>
  <sheetFormatPr defaultColWidth="9.140625" defaultRowHeight="13.5"/>
  <cols>
    <col min="1" max="1" width="15.140625" style="631" customWidth="1"/>
    <col min="2" max="2" width="8.42578125" style="632" customWidth="1"/>
    <col min="3" max="3" width="6.5703125" style="632" customWidth="1"/>
    <col min="4" max="5" width="7.5703125" style="632" customWidth="1"/>
    <col min="6" max="6" width="5.42578125" style="632" customWidth="1"/>
    <col min="7" max="7" width="7.140625" style="632" customWidth="1"/>
    <col min="8" max="8" width="6.28515625" style="632" customWidth="1"/>
    <col min="9" max="9" width="6.85546875" style="632" customWidth="1"/>
    <col min="10" max="10" width="5.140625" style="632" customWidth="1"/>
    <col min="11" max="11" width="7.28515625" style="632" customWidth="1"/>
    <col min="12" max="12" width="6.140625" style="632" customWidth="1"/>
    <col min="13" max="13" width="7" style="632" customWidth="1"/>
    <col min="14" max="14" width="8.42578125" style="632" customWidth="1"/>
    <col min="15" max="15" width="10.140625" style="632" customWidth="1"/>
    <col min="16" max="16" width="6.140625" style="632" customWidth="1"/>
    <col min="17" max="17" width="5" style="632" customWidth="1"/>
    <col min="18" max="19" width="6.7109375" style="632" customWidth="1"/>
    <col min="20" max="20" width="6.5703125" style="632" customWidth="1"/>
    <col min="21" max="21" width="6.140625" style="632" customWidth="1"/>
    <col min="22" max="22" width="6.85546875" style="632" customWidth="1"/>
    <col min="23" max="23" width="8.42578125" style="632" customWidth="1"/>
    <col min="24" max="24" width="7.85546875" style="632" customWidth="1"/>
    <col min="25" max="25" width="11.5703125" style="632" customWidth="1"/>
    <col min="26" max="26" width="6.5703125" style="632" customWidth="1"/>
    <col min="27" max="27" width="23.85546875" style="632" customWidth="1"/>
    <col min="28" max="28" width="37" style="632" customWidth="1"/>
    <col min="29" max="35" width="9.140625" style="632" customWidth="1"/>
    <col min="36" max="36" width="9" style="623" customWidth="1"/>
    <col min="37" max="37" width="9.140625" style="627"/>
    <col min="38" max="50" width="9.140625" style="623"/>
    <col min="51" max="16384" width="9.140625" style="632"/>
  </cols>
  <sheetData>
    <row r="1" spans="1:94" s="614" customFormat="1" ht="40.5" customHeight="1" thickTop="1">
      <c r="A1" s="1182" t="str">
        <f>CONCATENATE("Statement of Annual Income of ", Main!BZ25,",  ",Main!C5,", ",Main!C6,"  For the Financial Year   ",Main!CC8)</f>
        <v>Statement of Annual Income of Smt: ANURADHA KORA,  School Assistant ( Biological Science ), R.S.R.M.MCHS, NELLORE  For the Financial Year   2015-2016</v>
      </c>
      <c r="B1" s="1183"/>
      <c r="C1" s="1183"/>
      <c r="D1" s="1183"/>
      <c r="E1" s="1183"/>
      <c r="F1" s="1183"/>
      <c r="G1" s="1184"/>
      <c r="H1" s="1183"/>
      <c r="I1" s="1183"/>
      <c r="J1" s="1183"/>
      <c r="K1" s="1183"/>
      <c r="L1" s="1183"/>
      <c r="M1" s="1183"/>
      <c r="N1" s="1183"/>
      <c r="O1" s="1183"/>
      <c r="P1" s="1183"/>
      <c r="Q1" s="1183"/>
      <c r="R1" s="1183"/>
      <c r="S1" s="1183"/>
      <c r="T1" s="1183"/>
      <c r="U1" s="1183"/>
      <c r="V1" s="1183"/>
      <c r="W1" s="1183"/>
      <c r="X1" s="657"/>
      <c r="Y1" s="665"/>
      <c r="AG1" s="615" t="s">
        <v>1817</v>
      </c>
      <c r="AJ1" s="616"/>
      <c r="AL1" s="616"/>
      <c r="AM1" s="616"/>
      <c r="AN1" s="616"/>
      <c r="AO1" s="616"/>
      <c r="AP1" s="616"/>
      <c r="AQ1" s="616"/>
      <c r="AR1" s="616"/>
      <c r="AS1" s="616"/>
      <c r="AT1" s="616"/>
      <c r="AU1" s="616"/>
      <c r="AV1" s="616"/>
      <c r="AW1" s="616"/>
      <c r="AX1" s="616"/>
    </row>
    <row r="2" spans="1:94" s="617" customFormat="1" ht="18" customHeight="1">
      <c r="A2" s="611" t="s">
        <v>52</v>
      </c>
      <c r="B2" s="1187" t="s">
        <v>53</v>
      </c>
      <c r="C2" s="1187"/>
      <c r="D2" s="1187"/>
      <c r="E2" s="1187"/>
      <c r="F2" s="1187"/>
      <c r="G2" s="1188"/>
      <c r="H2" s="1187"/>
      <c r="I2" s="1187"/>
      <c r="J2" s="1187"/>
      <c r="K2" s="1187"/>
      <c r="L2" s="1187"/>
      <c r="M2" s="1187"/>
      <c r="N2" s="1187"/>
      <c r="O2" s="1189" t="s">
        <v>50</v>
      </c>
      <c r="P2" s="1190"/>
      <c r="Q2" s="1190"/>
      <c r="R2" s="1190"/>
      <c r="S2" s="1190"/>
      <c r="T2" s="1190"/>
      <c r="U2" s="1190"/>
      <c r="V2" s="1190"/>
      <c r="W2" s="1191"/>
      <c r="X2" s="1185" t="s">
        <v>51</v>
      </c>
      <c r="Y2" s="665"/>
      <c r="AG2" s="615" t="s">
        <v>1818</v>
      </c>
      <c r="AJ2" s="618"/>
      <c r="AL2" s="618"/>
      <c r="AM2" s="618"/>
      <c r="AN2" s="618"/>
      <c r="AO2" s="618"/>
      <c r="AP2" s="618"/>
      <c r="AQ2" s="618"/>
      <c r="AR2" s="618"/>
      <c r="AS2" s="618"/>
      <c r="AT2" s="618"/>
      <c r="AU2" s="618"/>
      <c r="AV2" s="618"/>
      <c r="AW2" s="618"/>
      <c r="AX2" s="618"/>
    </row>
    <row r="3" spans="1:94" s="619" customFormat="1" ht="40.5" customHeight="1">
      <c r="A3" s="183" t="s">
        <v>0</v>
      </c>
      <c r="B3" s="653" t="s">
        <v>1</v>
      </c>
      <c r="C3" s="653" t="s">
        <v>1825</v>
      </c>
      <c r="D3" s="653" t="s">
        <v>46</v>
      </c>
      <c r="E3" s="653" t="s">
        <v>29</v>
      </c>
      <c r="F3" s="653" t="s">
        <v>61</v>
      </c>
      <c r="G3" s="653" t="s">
        <v>40</v>
      </c>
      <c r="H3" s="653" t="s">
        <v>1364</v>
      </c>
      <c r="I3" s="653" t="s">
        <v>48</v>
      </c>
      <c r="J3" s="653" t="s">
        <v>47</v>
      </c>
      <c r="K3" s="653" t="s">
        <v>1381</v>
      </c>
      <c r="L3" s="653" t="s">
        <v>62</v>
      </c>
      <c r="M3" s="653" t="s">
        <v>1382</v>
      </c>
      <c r="N3" s="653" t="s">
        <v>2</v>
      </c>
      <c r="O3" s="653" t="str">
        <f>IF(Main!$F$22=Main!$CA$20,Main!CA21,Main!F22)</f>
        <v>CPS</v>
      </c>
      <c r="P3" s="653" t="s">
        <v>5</v>
      </c>
      <c r="Q3" s="653" t="s">
        <v>3</v>
      </c>
      <c r="R3" s="653" t="s">
        <v>4</v>
      </c>
      <c r="S3" s="653" t="s">
        <v>1819</v>
      </c>
      <c r="T3" s="595" t="s">
        <v>1812</v>
      </c>
      <c r="U3" s="653" t="str">
        <f>Main!F25</f>
        <v>LIC (SSS)</v>
      </c>
      <c r="V3" s="653" t="s">
        <v>1384</v>
      </c>
      <c r="W3" s="660" t="s">
        <v>54</v>
      </c>
      <c r="X3" s="1186"/>
      <c r="Y3" s="940" t="s">
        <v>1734</v>
      </c>
      <c r="AJ3" s="620"/>
      <c r="AL3" s="620"/>
      <c r="AM3" s="620"/>
      <c r="AN3" s="620"/>
      <c r="AO3" s="620"/>
      <c r="AP3" s="620"/>
      <c r="AQ3" s="620"/>
      <c r="AR3" s="620"/>
      <c r="AS3" s="620"/>
      <c r="AT3" s="620"/>
      <c r="AU3" s="620"/>
      <c r="AV3" s="620"/>
      <c r="AW3" s="620"/>
      <c r="AX3" s="620"/>
    </row>
    <row r="4" spans="1:94" s="614" customFormat="1" ht="21.95" customHeight="1">
      <c r="A4" s="636">
        <f>Main!BL4</f>
        <v>42064</v>
      </c>
      <c r="B4" s="641">
        <f>SUMIF(W!$K$3:$K$27,A4,W!$O$3:$O$27)</f>
        <v>25600</v>
      </c>
      <c r="C4" s="641">
        <f>SUMIF(W!$K$3:$K$27,A4,W!$P$3:$P$27)</f>
        <v>105</v>
      </c>
      <c r="D4" s="641">
        <f>MAX(SUMIF(W!$K$3:$K$27,A4,W!$Q$3:$Q$27),ROUND(B4*IF(SUMIF(W!$K$3:$K$27,A4,W!$Q$3:$Q$27)&gt;0,VLOOKUP(A4,W!$H$9:$I$12,2,TRUE),0)%,0))</f>
        <v>19941</v>
      </c>
      <c r="E4" s="641">
        <f>MIN(SUMIF(W!$K$3:$K$27,A4,W!$R$3:$R$27),VLOOKUP(A4,W!$B$2:$I$4,IF(A4&lt;Main!$C$27,7,8),TRUE))</f>
        <v>5120</v>
      </c>
      <c r="F4" s="641">
        <f>SUMIF(W!$K$3:$K$27,A4,W!$S$3:$S$27)</f>
        <v>0</v>
      </c>
      <c r="G4" s="641">
        <f>SUMIF(W!$K$3:$K$27,A4,W!$T$3:$T$27)</f>
        <v>6912</v>
      </c>
      <c r="H4" s="641">
        <f>SUMIF(W!$K$3:$K$27,A4,W!$U$3:$U$27)</f>
        <v>0</v>
      </c>
      <c r="I4" s="641">
        <f>SUMIF(W!$K$3:$K$27,A4,W!$V$3:$V$27)</f>
        <v>900</v>
      </c>
      <c r="J4" s="641">
        <f>IF(Main!$C$26="UGC",0,SUMIF(W!$K$3:$K$27,A4,W!$W$3:$W$27))</f>
        <v>140</v>
      </c>
      <c r="K4" s="641">
        <f>SUMIF(W!$K$3:$K$27,A4,W!$X$3:$X$27)</f>
        <v>0</v>
      </c>
      <c r="L4" s="651">
        <f>SUMIF(W!$K$3:$K$27,A4,W!$Y$3:$Y$27)</f>
        <v>0</v>
      </c>
      <c r="M4" s="641">
        <f>SUMIF(W!$K$3:$K$27,A4,W!$Z$3:$Z$27)</f>
        <v>0</v>
      </c>
      <c r="N4" s="641">
        <f>SUM(B4:M4)</f>
        <v>58718</v>
      </c>
      <c r="O4" s="641">
        <f>IF(Main!$F$22=Main!$CA$20,0,IF(OR(AND(Main!$AN$10=4,A4&lt;Main!$L$6),N4&lt;6500),0,IF(Main!$CA$24=Main!$F$22,ROUND(SUM(B4,D4)*10%,0),LOOKUP(A4,W!$H$192:$I$193))))</f>
        <v>4554</v>
      </c>
      <c r="P4" s="642">
        <f>IF(OR(AND(Main!$AN$10=4,A4&lt;Main!$L$6),N4&lt;6400),0,LOOKUP(A4,W!$H$195:$I$196))</f>
        <v>750</v>
      </c>
      <c r="Q4" s="641">
        <f>IF(OR(AND(Main!$AN$10=4,A4&lt;Main!$L$6),N4&lt;6400),0,LOOKUP(A4,W!$H$198:$I$199))</f>
        <v>60</v>
      </c>
      <c r="R4" s="641">
        <f>IF(OR(Main!$H$10=Main!$BH$4,Main!$H$10=Main!$BH$5,N4=0),0,LOOKUP(N4,W!$H$184:$I$189))</f>
        <v>0</v>
      </c>
      <c r="S4" s="641">
        <f>IF(OR(AND(Main!$AN$10=4,A4&lt;Main!$L$6),N4&lt;6400),0,LOOKUP(A4,W!$H$209:$I$211))</f>
        <v>90</v>
      </c>
      <c r="T4" s="641">
        <f>IF(A4=$AB$10,ROUND((B4*$AC$10/DAY(EOMONTH(A4,0))),0),IF(A4=$AB$11,ROUND((B4*$AC$11/DAY(EOMONTH(A4,0))),0),IF(A4=$AB$12,ROUND((B4*$AC$12/DAY(EOMONTH(A4,0))),0),IF(A4=DATE(YEAR(Main!$BL$2),3,1),Main!$H$26,IF(A4=DATE(YEAR(Main!$BL$2),12,1),Main!$L$26,"")))))</f>
        <v>20</v>
      </c>
      <c r="U4" s="641">
        <f>IF(OR(AND(Main!$AN$10=4,A4&lt;Main!$L$6),N4&lt;6000),0,LOOKUP(A4,W!$H$201:$I$202))</f>
        <v>0</v>
      </c>
      <c r="V4" s="641">
        <f>IF(OR(AND(Main!$AN$10=4,A4&lt;Main!$L$6),N4&lt;6000),0,LOOKUP(A4,'Advance Tax'!$A$3:$B$14))</f>
        <v>0</v>
      </c>
      <c r="W4" s="661">
        <f t="shared" ref="W4:W27" si="0">SUM(O4:V4)</f>
        <v>5474</v>
      </c>
      <c r="X4" s="659">
        <f t="shared" ref="X4:X27" si="1">N4-W4</f>
        <v>53244</v>
      </c>
      <c r="Y4" s="666">
        <f t="shared" ref="Y4:Y28" si="2">IF(N4&gt;0,1,"")</f>
        <v>1</v>
      </c>
      <c r="AJ4" s="616"/>
      <c r="AL4" s="616"/>
      <c r="AM4" s="616"/>
      <c r="AN4" s="616"/>
      <c r="AO4" s="616"/>
      <c r="AP4" s="616"/>
      <c r="AQ4" s="616"/>
      <c r="AR4" s="616"/>
      <c r="AS4" s="616"/>
      <c r="AT4" s="616"/>
      <c r="AU4" s="616"/>
      <c r="AV4" s="616"/>
      <c r="AW4" s="616"/>
      <c r="AX4" s="616"/>
    </row>
    <row r="5" spans="1:94" s="614" customFormat="1" ht="21.95" customHeight="1">
      <c r="A5" s="636">
        <f>Main!BL5</f>
        <v>42095</v>
      </c>
      <c r="B5" s="641">
        <f>SUMIF(W!$K$3:$K$27,A5,W!$O$3:$O$27)</f>
        <v>25600</v>
      </c>
      <c r="C5" s="641">
        <f>SUMIF(W!$K$3:$K$27,A5,W!$P$3:$P$27)</f>
        <v>105</v>
      </c>
      <c r="D5" s="641">
        <f>MAX(SUMIF(W!$K$3:$K$27,A5,W!$Q$3:$Q$27),ROUND(B5*IF(SUMIF(W!$K$3:$K$27,A5,W!$Q$3:$Q$27)&gt;0,VLOOKUP(A5,W!$H$9:$I$12,2,TRUE),0)%,0))</f>
        <v>19941</v>
      </c>
      <c r="E5" s="641">
        <f>MIN(SUMIF(W!$K$3:$K$27,A5,W!$R$3:$R$27),VLOOKUP(A5,W!$B$2:$I$4,IF(A5&lt;Main!$C$27,7,8),TRUE))</f>
        <v>5120</v>
      </c>
      <c r="F5" s="641">
        <f>SUMIF(W!$K$3:$K$27,A5,W!$S$3:$S$27)</f>
        <v>0</v>
      </c>
      <c r="G5" s="641">
        <f>SUMIF(W!$K$3:$K$27,A5,W!$T$3:$T$27)</f>
        <v>6912</v>
      </c>
      <c r="H5" s="641">
        <f>SUMIF(W!$K$3:$K$27,A5,W!$U$3:$U$27)</f>
        <v>0</v>
      </c>
      <c r="I5" s="641">
        <f>SUMIF(W!$K$3:$K$27,A5,W!$V$3:$V$27)</f>
        <v>690</v>
      </c>
      <c r="J5" s="641">
        <f>IF(Main!$C$26="UGC",0,SUMIF(W!$K$3:$K$27,A5,W!$W$3:$W$27))</f>
        <v>140</v>
      </c>
      <c r="K5" s="641">
        <f>SUMIF(W!$K$3:$K$27,A5,W!$X$3:$X$27)</f>
        <v>0</v>
      </c>
      <c r="L5" s="651">
        <f>SUMIF(W!$K$3:$K$27,A5,W!$Y$3:$Y$27)</f>
        <v>0</v>
      </c>
      <c r="M5" s="641">
        <f>SUMIF(W!$K$3:$K$27,A5,W!$Z$3:$Z$27)</f>
        <v>0</v>
      </c>
      <c r="N5" s="641">
        <f t="shared" ref="N5:N15" si="3">SUM(B5:M5)</f>
        <v>58508</v>
      </c>
      <c r="O5" s="641">
        <f>IF(Main!$F$22=Main!$CA$20,0,IF(OR(AND(Main!$AN$10=4,A5&lt;Main!$L$6),N5&lt;6500),0,IF(Main!$CA$24=Main!$F$22,ROUND(SUM(B5,D5)*10%,0),LOOKUP(A5,W!$H$192:$I$193))))</f>
        <v>4554</v>
      </c>
      <c r="P5" s="642">
        <f>IF(OR(AND(Main!$AN$10=4,A5&lt;Main!$L$6),N5&lt;6400),0,LOOKUP(A5,W!$H$195:$I$196))</f>
        <v>750</v>
      </c>
      <c r="Q5" s="641">
        <f>IF(OR(AND(Main!$AN$10=4,A5&lt;Main!$L$6),N5&lt;6400),0,LOOKUP(A5,W!$H$198:$I$199))</f>
        <v>60</v>
      </c>
      <c r="R5" s="641">
        <f>IF(OR(Main!$H$10=Main!$BH$4,Main!$H$10=Main!$BH$5,N5=0),0,LOOKUP(N5,W!$H$184:$I$189))</f>
        <v>0</v>
      </c>
      <c r="S5" s="641">
        <f>IF(OR(AND(Main!$AN$10=4,A5&lt;Main!$L$6),N5&lt;6400),0,LOOKUP(A5,W!$H$209:$I$211))</f>
        <v>90</v>
      </c>
      <c r="T5" s="641">
        <f>IF(A5=$AB$10,ROUND((B5*$AC$10/DAY(EOMONTH(A5,0))),0),IF(A5=$AB$11,ROUND((B5*$AC$11/DAY(EOMONTH(A5,0))),0),IF(A5=$AB$12,ROUND((B5*$AC$12/DAY(EOMONTH(A5,0))),0),IF(A5=DATE(YEAR(Main!$BL$2),3,1),Main!$H$26,IF(A5=DATE(YEAR(Main!$BL$2),12,1),Main!$L$26,"")))))</f>
        <v>0</v>
      </c>
      <c r="U5" s="641">
        <f>IF(OR(AND(Main!$AN$10=4,A5&lt;Main!$L$6),N5&lt;6000),0,LOOKUP(A5,W!$H$201:$I$202))</f>
        <v>0</v>
      </c>
      <c r="V5" s="641">
        <f>IF(OR(AND(Main!$AN$10=4,A5&lt;Main!$L$6),N5&lt;6000),0,LOOKUP(A5,'Advance Tax'!$A$3:$B$14))</f>
        <v>0</v>
      </c>
      <c r="W5" s="661">
        <f t="shared" si="0"/>
        <v>5454</v>
      </c>
      <c r="X5" s="659">
        <f t="shared" si="1"/>
        <v>53054</v>
      </c>
      <c r="Y5" s="666">
        <f t="shared" si="2"/>
        <v>1</v>
      </c>
      <c r="AJ5" s="616"/>
      <c r="AL5" s="616"/>
      <c r="AM5" s="616"/>
      <c r="AN5" s="616"/>
      <c r="AO5" s="616"/>
      <c r="AP5" s="616"/>
      <c r="AQ5" s="616"/>
      <c r="AR5" s="616"/>
      <c r="AS5" s="616"/>
      <c r="AT5" s="616"/>
      <c r="AU5" s="616"/>
      <c r="AV5" s="616"/>
      <c r="AW5" s="616"/>
      <c r="AX5" s="616"/>
    </row>
    <row r="6" spans="1:94" s="614" customFormat="1" ht="21.95" customHeight="1">
      <c r="A6" s="636">
        <f>Main!BL6</f>
        <v>42125</v>
      </c>
      <c r="B6" s="641">
        <f>SUMIF(W!$K$3:$K$27,A6,W!$O$3:$O$27)</f>
        <v>25600</v>
      </c>
      <c r="C6" s="641">
        <f>SUMIF(W!$K$3:$K$27,A6,W!$P$3:$P$27)</f>
        <v>105</v>
      </c>
      <c r="D6" s="641">
        <f>MAX(SUMIF(W!$K$3:$K$27,A6,W!$Q$3:$Q$27),ROUND(B6*IF(SUMIF(W!$K$3:$K$27,A6,W!$Q$3:$Q$27)&gt;0,VLOOKUP(A6,W!$H$9:$I$12,2,TRUE),0)%,0))</f>
        <v>19941</v>
      </c>
      <c r="E6" s="641">
        <f>MIN(SUMIF(W!$K$3:$K$27,A6,W!$R$3:$R$27),VLOOKUP(A6,W!$B$2:$I$4,IF(A6&lt;Main!$C$27,7,8),TRUE))</f>
        <v>5120</v>
      </c>
      <c r="F6" s="641">
        <f>SUMIF(W!$K$3:$K$27,A6,W!$S$3:$S$27)</f>
        <v>0</v>
      </c>
      <c r="G6" s="641">
        <f>SUMIF(W!$K$3:$K$27,A6,W!$T$3:$T$27)</f>
        <v>6912</v>
      </c>
      <c r="H6" s="641">
        <f>SUMIF(W!$K$3:$K$27,A6,W!$U$3:$U$27)</f>
        <v>0</v>
      </c>
      <c r="I6" s="641">
        <f>SUMIF(W!$K$3:$K$27,A6,W!$V$3:$V$27)</f>
        <v>0</v>
      </c>
      <c r="J6" s="641">
        <f>IF(Main!$C$26="UGC",0,SUMIF(W!$K$3:$K$27,A6,W!$W$3:$W$27))</f>
        <v>140</v>
      </c>
      <c r="K6" s="641">
        <f>SUMIF(W!$K$3:$K$27,A6,W!$X$3:$X$27)</f>
        <v>0</v>
      </c>
      <c r="L6" s="651">
        <f>SUMIF(W!$K$3:$K$27,A6,W!$Y$3:$Y$27)</f>
        <v>0</v>
      </c>
      <c r="M6" s="641">
        <f>SUMIF(W!$K$3:$K$27,A6,W!$Z$3:$Z$27)</f>
        <v>0</v>
      </c>
      <c r="N6" s="641">
        <f t="shared" si="3"/>
        <v>57818</v>
      </c>
      <c r="O6" s="641">
        <f>IF(Main!$F$22=Main!$CA$20,0,IF(OR(AND(Main!$AN$10=4,A6&lt;Main!$L$6),N6&lt;6500),0,IF(Main!$CA$24=Main!$F$22,ROUND(SUM(B6,D6)*10%,0),LOOKUP(A6,W!$H$192:$I$193))))</f>
        <v>4554</v>
      </c>
      <c r="P6" s="642">
        <f>IF(OR(AND(Main!$AN$10=4,A6&lt;Main!$L$6),N6&lt;6400),0,LOOKUP(A6,W!$H$195:$I$196))</f>
        <v>750</v>
      </c>
      <c r="Q6" s="641">
        <f>IF(OR(AND(Main!$AN$10=4,A6&lt;Main!$L$6),N6&lt;6400),0,LOOKUP(A6,W!$H$198:$I$199))</f>
        <v>60</v>
      </c>
      <c r="R6" s="641">
        <f>IF(OR(Main!$H$10=Main!$BH$4,Main!$H$10=Main!$BH$5,N6=0),0,LOOKUP(N6,W!$H$184:$I$189))</f>
        <v>0</v>
      </c>
      <c r="S6" s="641">
        <f>IF(OR(AND(Main!$AN$10=4,A6&lt;Main!$L$6),N6&lt;6400),0,LOOKUP(A6,W!$H$209:$I$211))</f>
        <v>90</v>
      </c>
      <c r="T6" s="641">
        <f>IF(A6=$AB$10,ROUND((B6*$AC$10/DAY(EOMONTH(A6,0))),0),IF(A6=$AB$11,ROUND((B6*$AC$11/DAY(EOMONTH(A6,0))),0),IF(A6=$AB$12,ROUND((B6*$AC$12/DAY(EOMONTH(A6,0))),0),IF(A6=DATE(YEAR(Main!$BL$2),3,1),Main!$H$26,IF(A6=DATE(YEAR(Main!$BL$2),12,1),Main!$L$26,"")))))</f>
        <v>0</v>
      </c>
      <c r="U6" s="641">
        <f>IF(OR(AND(Main!$AN$10=4,A6&lt;Main!$L$6),N6&lt;6000),0,LOOKUP(A6,W!$H$201:$I$202))</f>
        <v>0</v>
      </c>
      <c r="V6" s="641">
        <f>IF(OR(AND(Main!$AN$10=4,A6&lt;Main!$L$6),N6&lt;6000),0,LOOKUP(A6,'Advance Tax'!$A$3:$B$14))</f>
        <v>0</v>
      </c>
      <c r="W6" s="661">
        <f t="shared" si="0"/>
        <v>5454</v>
      </c>
      <c r="X6" s="659">
        <f t="shared" si="1"/>
        <v>52364</v>
      </c>
      <c r="Y6" s="666">
        <f t="shared" si="2"/>
        <v>1</v>
      </c>
      <c r="AJ6" s="616"/>
      <c r="AL6" s="616"/>
      <c r="AM6" s="616"/>
      <c r="AN6" s="616"/>
      <c r="AO6" s="616"/>
      <c r="AP6" s="616"/>
      <c r="AQ6" s="616"/>
      <c r="AR6" s="616"/>
      <c r="AS6" s="616"/>
      <c r="AT6" s="616"/>
      <c r="AU6" s="616"/>
      <c r="AV6" s="616"/>
      <c r="AW6" s="616"/>
      <c r="AX6" s="616"/>
    </row>
    <row r="7" spans="1:94" s="614" customFormat="1" ht="21.95" customHeight="1">
      <c r="A7" s="636">
        <f>Main!BL7</f>
        <v>42156</v>
      </c>
      <c r="B7" s="641">
        <f>SUMIF(W!$K$3:$K$27,A7,W!$O$3:$O$27)</f>
        <v>25600</v>
      </c>
      <c r="C7" s="641">
        <f>SUMIF(W!$K$3:$K$27,A7,W!$P$3:$P$27)</f>
        <v>105</v>
      </c>
      <c r="D7" s="641">
        <f>MAX(SUMIF(W!$K$3:$K$27,A7,W!$Q$3:$Q$27),ROUND(B7*IF(SUMIF(W!$K$3:$K$27,A7,W!$Q$3:$Q$27)&gt;0,VLOOKUP(A7,W!$H$9:$I$12,2,TRUE),0)%,0))</f>
        <v>19941</v>
      </c>
      <c r="E7" s="641">
        <f>MIN(SUMIF(W!$K$3:$K$27,A7,W!$R$3:$R$27),VLOOKUP(A7,W!$B$2:$I$4,IF(A7&lt;Main!$C$27,7,8),TRUE))</f>
        <v>5120</v>
      </c>
      <c r="F7" s="641">
        <f>SUMIF(W!$K$3:$K$27,A7,W!$S$3:$S$27)</f>
        <v>0</v>
      </c>
      <c r="G7" s="641">
        <f>SUMIF(W!$K$3:$K$27,A7,W!$T$3:$T$27)</f>
        <v>6912</v>
      </c>
      <c r="H7" s="641">
        <f>SUMIF(W!$K$3:$K$27,A7,W!$U$3:$U$27)</f>
        <v>0</v>
      </c>
      <c r="I7" s="641">
        <f>SUMIF(W!$K$3:$K$27,A7,W!$V$3:$V$27)</f>
        <v>480</v>
      </c>
      <c r="J7" s="641">
        <f>IF(Main!$C$26="UGC",0,SUMIF(W!$K$3:$K$27,A7,W!$W$3:$W$27))</f>
        <v>140</v>
      </c>
      <c r="K7" s="641">
        <f>SUMIF(W!$K$3:$K$27,A7,W!$X$3:$X$27)</f>
        <v>0</v>
      </c>
      <c r="L7" s="651">
        <f>SUMIF(W!$K$3:$K$27,A7,W!$Y$3:$Y$27)</f>
        <v>0</v>
      </c>
      <c r="M7" s="641">
        <f>SUMIF(W!$K$3:$K$27,A7,W!$Z$3:$Z$27)</f>
        <v>0</v>
      </c>
      <c r="N7" s="641">
        <f t="shared" si="3"/>
        <v>58298</v>
      </c>
      <c r="O7" s="641">
        <f>IF(Main!$F$22=Main!$CA$20,0,IF(OR(AND(Main!$AN$10=4,A7&lt;Main!$L$6),N7&lt;6500),0,IF(Main!$CA$24=Main!$F$22,ROUND(SUM(B7,D7)*10%,0),LOOKUP(A7,W!$H$192:$I$193))))</f>
        <v>4554</v>
      </c>
      <c r="P7" s="642">
        <f>IF(OR(AND(Main!$AN$10=4,A7&lt;Main!$L$6),N7&lt;6400),0,LOOKUP(A7,W!$H$195:$I$196))</f>
        <v>750</v>
      </c>
      <c r="Q7" s="641">
        <f>IF(OR(AND(Main!$AN$10=4,A7&lt;Main!$L$6),N7&lt;6400),0,LOOKUP(A7,W!$H$198:$I$199))</f>
        <v>60</v>
      </c>
      <c r="R7" s="641">
        <f>IF(OR(Main!$H$10=Main!$BH$4,Main!$H$10=Main!$BH$5,N7=0),0,LOOKUP(N7,W!$H$184:$I$189))</f>
        <v>0</v>
      </c>
      <c r="S7" s="641">
        <f>IF(OR(AND(Main!$AN$10=4,A7&lt;Main!$L$6),N7&lt;6400),0,LOOKUP(A7,W!$H$209:$I$211))</f>
        <v>90</v>
      </c>
      <c r="T7" s="641" t="str">
        <f>IF(A7=$AB$10,ROUND((B7*$AC$10/DAY(EOMONTH(A7,0))),0),IF(A7=$AB$11,ROUND((B7*$AC$11/DAY(EOMONTH(A7,0))),0),IF(A7=$AB$12,ROUND((B7*$AC$12/DAY(EOMONTH(A7,0))),0),IF(A7=DATE(YEAR(Main!$BL$2),3,1),Main!$H$26,IF(A7=DATE(YEAR(Main!$BL$2),12,1),Main!$L$26,"")))))</f>
        <v/>
      </c>
      <c r="U7" s="641">
        <f>IF(OR(AND(Main!$AN$10=4,A7&lt;Main!$L$6),N7&lt;6000),0,LOOKUP(A7,W!$H$201:$I$202))</f>
        <v>0</v>
      </c>
      <c r="V7" s="641">
        <f>IF(OR(AND(Main!$AN$10=4,A7&lt;Main!$L$6),N7&lt;6000),0,LOOKUP(A7,'Advance Tax'!$A$3:$B$14))</f>
        <v>0</v>
      </c>
      <c r="W7" s="661">
        <f t="shared" si="0"/>
        <v>5454</v>
      </c>
      <c r="X7" s="659">
        <f t="shared" si="1"/>
        <v>52844</v>
      </c>
      <c r="Y7" s="666">
        <f t="shared" si="2"/>
        <v>1</v>
      </c>
      <c r="AJ7" s="616"/>
      <c r="AL7" s="616"/>
      <c r="AM7" s="616"/>
      <c r="AN7" s="616"/>
      <c r="AO7" s="616"/>
      <c r="AP7" s="616"/>
      <c r="AQ7" s="616"/>
      <c r="AR7" s="616"/>
      <c r="AS7" s="616"/>
      <c r="AT7" s="616"/>
      <c r="AU7" s="616"/>
      <c r="AV7" s="616"/>
      <c r="AW7" s="616"/>
      <c r="AX7" s="616"/>
    </row>
    <row r="8" spans="1:94" s="614" customFormat="1" ht="21.95" customHeight="1">
      <c r="A8" s="636">
        <f>Main!BL8</f>
        <v>42186</v>
      </c>
      <c r="B8" s="641">
        <f>SUMIF(W!$K$3:$K$27,A8,W!$O$3:$O$27)</f>
        <v>53950</v>
      </c>
      <c r="C8" s="641">
        <f>SUMIF(W!$K$3:$K$27,A8,W!$P$3:$P$27)</f>
        <v>105</v>
      </c>
      <c r="D8" s="641">
        <f>MAX(SUMIF(W!$K$3:$K$27,A8,W!$Q$3:$Q$27),ROUND(B8*IF(SUMIF(W!$K$3:$K$27,A8,W!$Q$3:$Q$27)&gt;0,VLOOKUP(A8,W!$H$9:$I$12,2,TRUE),0)%,0))</f>
        <v>4806</v>
      </c>
      <c r="E8" s="641">
        <f>MIN(SUMIF(W!$K$3:$K$27,A8,W!$R$3:$R$27),VLOOKUP(A8,W!$B$2:$I$4,IF(A8&lt;Main!$C$27,7,8),TRUE))</f>
        <v>10790</v>
      </c>
      <c r="F8" s="641">
        <f>SUMIF(W!$K$3:$K$27,A8,W!$S$3:$S$27)</f>
        <v>0</v>
      </c>
      <c r="G8" s="641">
        <f>SUMIF(W!$K$3:$K$27,A8,W!$T$3:$T$27)</f>
        <v>0</v>
      </c>
      <c r="H8" s="641">
        <f>SUMIF(W!$K$3:$K$27,A8,W!$U$3:$U$27)</f>
        <v>0</v>
      </c>
      <c r="I8" s="641">
        <f>SUMIF(W!$K$3:$K$27,A8,W!$V$3:$V$27)</f>
        <v>900</v>
      </c>
      <c r="J8" s="641">
        <f>IF(Main!$C$26="UGC",0,SUMIF(W!$K$3:$K$27,A8,W!$W$3:$W$27))</f>
        <v>500</v>
      </c>
      <c r="K8" s="641">
        <f>SUMIF(W!$K$3:$K$27,A8,W!$X$3:$X$27)</f>
        <v>0</v>
      </c>
      <c r="L8" s="651">
        <f>SUMIF(W!$K$3:$K$27,A8,W!$Y$3:$Y$27)</f>
        <v>0</v>
      </c>
      <c r="M8" s="641">
        <f>SUMIF(W!$K$3:$K$27,A8,W!$Z$3:$Z$27)</f>
        <v>0</v>
      </c>
      <c r="N8" s="641">
        <f t="shared" si="3"/>
        <v>71051</v>
      </c>
      <c r="O8" s="641">
        <f>IF(Main!$F$22=Main!$CA$20,0,IF(OR(AND(Main!$AN$10=4,A8&lt;Main!$L$6),N8&lt;6500),0,IF(Main!$CA$24=Main!$F$22,ROUND(SUM(B8,D8)*10%,0),LOOKUP(A8,W!$H$192:$I$193))))</f>
        <v>5876</v>
      </c>
      <c r="P8" s="642">
        <f>IF(OR(AND(Main!$AN$10=4,A8&lt;Main!$L$6),N8&lt;6400),0,LOOKUP(A8,W!$H$195:$I$196))</f>
        <v>750</v>
      </c>
      <c r="Q8" s="641">
        <f>IF(OR(AND(Main!$AN$10=4,A8&lt;Main!$L$6),N8&lt;6400),0,LOOKUP(A8,W!$H$198:$I$199))</f>
        <v>60</v>
      </c>
      <c r="R8" s="641">
        <f>IF(OR(Main!$H$10=Main!$BH$4,Main!$H$10=Main!$BH$5,N8=0),0,LOOKUP(N8,W!$H$184:$I$189))</f>
        <v>0</v>
      </c>
      <c r="S8" s="641">
        <f>IF(OR(AND(Main!$AN$10=4,A8&lt;Main!$L$6),N8&lt;6400),0,LOOKUP(A8,W!$H$209:$I$211))</f>
        <v>90</v>
      </c>
      <c r="T8" s="641" t="str">
        <f>IF(A8=$AB$10,ROUND((B8*$AC$10/DAY(EOMONTH(A8,0))),0),IF(A8=$AB$11,ROUND((B8*$AC$11/DAY(EOMONTH(A8,0))),0),IF(A8=$AB$12,ROUND((B8*$AC$12/DAY(EOMONTH(A8,0))),0),IF(A8=DATE(YEAR(Main!$BL$2),3,1),Main!$H$26,IF(A8=DATE(YEAR(Main!$BL$2),12,1),Main!$L$26,"")))))</f>
        <v/>
      </c>
      <c r="U8" s="641">
        <f>IF(OR(AND(Main!$AN$10=4,A8&lt;Main!$L$6),N8&lt;6000),0,LOOKUP(A8,W!$H$201:$I$202))</f>
        <v>0</v>
      </c>
      <c r="V8" s="641">
        <f>IF(OR(AND(Main!$AN$10=4,A8&lt;Main!$L$6),N8&lt;6000),0,LOOKUP(A8,'Advance Tax'!$A$3:$B$14))</f>
        <v>0</v>
      </c>
      <c r="W8" s="661">
        <f t="shared" si="0"/>
        <v>6776</v>
      </c>
      <c r="X8" s="659">
        <f t="shared" si="1"/>
        <v>64275</v>
      </c>
      <c r="Y8" s="666">
        <f t="shared" si="2"/>
        <v>1</v>
      </c>
      <c r="AA8" s="640" t="s">
        <v>1375</v>
      </c>
      <c r="AB8" s="639" t="s">
        <v>1818</v>
      </c>
      <c r="AJ8" s="616"/>
      <c r="AL8" s="616"/>
      <c r="AM8" s="616"/>
      <c r="AN8" s="616"/>
      <c r="AO8" s="616"/>
      <c r="AP8" s="616"/>
      <c r="AQ8" s="616"/>
      <c r="AR8" s="616"/>
      <c r="AS8" s="616"/>
      <c r="AT8" s="616"/>
      <c r="AU8" s="616"/>
      <c r="AV8" s="616"/>
      <c r="AW8" s="616"/>
      <c r="AX8" s="616"/>
    </row>
    <row r="9" spans="1:94" s="614" customFormat="1" ht="21.95" customHeight="1">
      <c r="A9" s="636">
        <f>Main!BL9</f>
        <v>42217</v>
      </c>
      <c r="B9" s="641">
        <f>SUMIF(W!$K$3:$K$27,A9,W!$O$3:$O$27)</f>
        <v>53950</v>
      </c>
      <c r="C9" s="641">
        <f>SUMIF(W!$K$3:$K$27,A9,W!$P$3:$P$27)</f>
        <v>105</v>
      </c>
      <c r="D9" s="641">
        <f>MAX(SUMIF(W!$K$3:$K$27,A9,W!$Q$3:$Q$27),ROUND(B9*IF(SUMIF(W!$K$3:$K$27,A9,W!$Q$3:$Q$27)&gt;0,VLOOKUP(A9,W!$H$9:$I$12,2,TRUE),0)%,0))</f>
        <v>4806</v>
      </c>
      <c r="E9" s="641">
        <f>MIN(SUMIF(W!$K$3:$K$27,A9,W!$R$3:$R$27),VLOOKUP(A9,W!$B$2:$I$4,IF(A9&lt;Main!$C$27,7,8),TRUE))</f>
        <v>10790</v>
      </c>
      <c r="F9" s="641">
        <f>SUMIF(W!$K$3:$K$27,A9,W!$S$3:$S$27)</f>
        <v>0</v>
      </c>
      <c r="G9" s="641">
        <f>SUMIF(W!$K$3:$K$27,A9,W!$T$3:$T$27)</f>
        <v>0</v>
      </c>
      <c r="H9" s="641">
        <f>SUMIF(W!$K$3:$K$27,A9,W!$U$3:$U$27)</f>
        <v>0</v>
      </c>
      <c r="I9" s="641">
        <f>SUMIF(W!$K$3:$K$27,A9,W!$V$3:$V$27)</f>
        <v>900</v>
      </c>
      <c r="J9" s="641">
        <f>IF(Main!$C$26="UGC",0,SUMIF(W!$K$3:$K$27,A9,W!$W$3:$W$27))</f>
        <v>500</v>
      </c>
      <c r="K9" s="641">
        <f>SUMIF(W!$K$3:$K$27,A9,W!$X$3:$X$27)</f>
        <v>0</v>
      </c>
      <c r="L9" s="651">
        <f>SUMIF(W!$K$3:$K$27,A9,W!$Y$3:$Y$27)</f>
        <v>0</v>
      </c>
      <c r="M9" s="641">
        <f>SUMIF(W!$K$3:$K$27,A9,W!$Z$3:$Z$27)</f>
        <v>0</v>
      </c>
      <c r="N9" s="641">
        <f t="shared" si="3"/>
        <v>71051</v>
      </c>
      <c r="O9" s="641">
        <f>IF(Main!$F$22=Main!$CA$20,0,IF(OR(AND(Main!$AN$10=4,A9&lt;Main!$L$6),N9&lt;6500),0,IF(Main!$CA$24=Main!$F$22,ROUND(SUM(B9,D9)*10%,0),LOOKUP(A9,W!$H$192:$I$193))))</f>
        <v>5876</v>
      </c>
      <c r="P9" s="642">
        <f>IF(OR(AND(Main!$AN$10=4,A9&lt;Main!$L$6),N9&lt;6400),0,LOOKUP(A9,W!$H$195:$I$196))</f>
        <v>750</v>
      </c>
      <c r="Q9" s="641">
        <f>IF(OR(AND(Main!$AN$10=4,A9&lt;Main!$L$6),N9&lt;6400),0,LOOKUP(A9,W!$H$198:$I$199))</f>
        <v>60</v>
      </c>
      <c r="R9" s="641">
        <f>IF(OR(Main!$H$10=Main!$BH$4,Main!$H$10=Main!$BH$5,N9=0),0,LOOKUP(N9,W!$H$184:$I$189))</f>
        <v>0</v>
      </c>
      <c r="S9" s="641">
        <f>IF(OR(AND(Main!$AN$10=4,A9&lt;Main!$L$6),N9&lt;6400),0,LOOKUP(A9,W!$H$209:$I$211))</f>
        <v>90</v>
      </c>
      <c r="T9" s="641" t="str">
        <f>IF(A9=$AB$10,ROUND((B9*$AC$10/DAY(EOMONTH(A9,0))),0),IF(A9=$AB$11,ROUND((B9*$AC$11/DAY(EOMONTH(A9,0))),0),IF(A9=$AB$12,ROUND((B9*$AC$12/DAY(EOMONTH(A9,0))),0),IF(A9=DATE(YEAR(Main!$BL$2),3,1),Main!$H$26,IF(A9=DATE(YEAR(Main!$BL$2),12,1),Main!$L$26,"")))))</f>
        <v/>
      </c>
      <c r="U9" s="641">
        <f>IF(OR(AND(Main!$AN$10=4,A9&lt;Main!$L$6),N9&lt;6000),0,LOOKUP(A9,W!$H$201:$I$202))</f>
        <v>0</v>
      </c>
      <c r="V9" s="641">
        <f>IF(OR(AND(Main!$AN$10=4,A9&lt;Main!$L$6),N9&lt;6000),0,LOOKUP(A9,'Advance Tax'!$A$3:$B$14))</f>
        <v>0</v>
      </c>
      <c r="W9" s="661">
        <f t="shared" si="0"/>
        <v>6776</v>
      </c>
      <c r="X9" s="659">
        <f t="shared" si="1"/>
        <v>64275</v>
      </c>
      <c r="Y9" s="666">
        <f t="shared" si="2"/>
        <v>1</v>
      </c>
      <c r="AA9" s="934" t="s">
        <v>1878</v>
      </c>
      <c r="AB9" s="935" t="s">
        <v>1513</v>
      </c>
      <c r="AC9" s="936" t="s">
        <v>1879</v>
      </c>
      <c r="AJ9" s="616"/>
      <c r="AL9" s="616"/>
      <c r="AM9" s="616"/>
      <c r="AN9" s="616"/>
      <c r="AO9" s="616"/>
      <c r="AP9" s="616"/>
      <c r="AQ9" s="616"/>
      <c r="AR9" s="616"/>
      <c r="AS9" s="616"/>
      <c r="AT9" s="616"/>
      <c r="AU9" s="616"/>
      <c r="AV9" s="616"/>
      <c r="AW9" s="616"/>
      <c r="AX9" s="616"/>
    </row>
    <row r="10" spans="1:94" s="614" customFormat="1" ht="21.95" customHeight="1">
      <c r="A10" s="636">
        <f>Main!BL10</f>
        <v>42248</v>
      </c>
      <c r="B10" s="641">
        <f>SUMIF(W!$K$3:$K$27,A10,W!$O$3:$O$27)</f>
        <v>55410</v>
      </c>
      <c r="C10" s="641">
        <f>SUMIF(W!$K$3:$K$27,A10,W!$P$3:$P$27)</f>
        <v>105</v>
      </c>
      <c r="D10" s="641">
        <f>MAX(SUMIF(W!$K$3:$K$27,A10,W!$Q$3:$Q$27),ROUND(B10*IF(SUMIF(W!$K$3:$K$27,A10,W!$Q$3:$Q$27)&gt;0,VLOOKUP(A10,W!$H$9:$I$12,2,TRUE),0)%,0))</f>
        <v>4936</v>
      </c>
      <c r="E10" s="641">
        <f>MIN(SUMIF(W!$K$3:$K$27,A10,W!$R$3:$R$27),VLOOKUP(A10,W!$B$2:$I$4,IF(A10&lt;Main!$C$27,7,8),TRUE))</f>
        <v>11082</v>
      </c>
      <c r="F10" s="641">
        <f>SUMIF(W!$K$3:$K$27,A10,W!$S$3:$S$27)</f>
        <v>0</v>
      </c>
      <c r="G10" s="641">
        <f>SUMIF(W!$K$3:$K$27,A10,W!$T$3:$T$27)</f>
        <v>0</v>
      </c>
      <c r="H10" s="641">
        <f>SUMIF(W!$K$3:$K$27,A10,W!$U$3:$U$27)</f>
        <v>0</v>
      </c>
      <c r="I10" s="641">
        <f>SUMIF(W!$K$3:$K$27,A10,W!$V$3:$V$27)</f>
        <v>900</v>
      </c>
      <c r="J10" s="641">
        <f>IF(Main!$C$26="UGC",0,SUMIF(W!$K$3:$K$27,A10,W!$W$3:$W$27))</f>
        <v>500</v>
      </c>
      <c r="K10" s="641">
        <f>SUMIF(W!$K$3:$K$27,A10,W!$X$3:$X$27)</f>
        <v>0</v>
      </c>
      <c r="L10" s="651">
        <f>SUMIF(W!$K$3:$K$27,A10,W!$Y$3:$Y$27)</f>
        <v>0</v>
      </c>
      <c r="M10" s="641">
        <f>SUMIF(W!$K$3:$K$27,A10,W!$Z$3:$Z$27)</f>
        <v>0</v>
      </c>
      <c r="N10" s="641">
        <f t="shared" si="3"/>
        <v>72933</v>
      </c>
      <c r="O10" s="641">
        <f>IF(Main!$F$22=Main!$CA$20,0,IF(OR(AND(Main!$AN$10=4,A10&lt;Main!$L$6),N10&lt;6500),0,IF(Main!$CA$24=Main!$F$22,ROUND(SUM(B10,D10)*10%,0),LOOKUP(A10,W!$H$192:$I$193))))</f>
        <v>6035</v>
      </c>
      <c r="P10" s="642">
        <f>IF(OR(AND(Main!$AN$10=4,A10&lt;Main!$L$6),N10&lt;6400),0,LOOKUP(A10,W!$H$195:$I$196))</f>
        <v>750</v>
      </c>
      <c r="Q10" s="641">
        <f>IF(OR(AND(Main!$AN$10=4,A10&lt;Main!$L$6),N10&lt;6400),0,LOOKUP(A10,W!$H$198:$I$199))</f>
        <v>60</v>
      </c>
      <c r="R10" s="641">
        <f>IF(OR(Main!$H$10=Main!$BH$4,Main!$H$10=Main!$BH$5,N10=0),0,LOOKUP(N10,W!$H$184:$I$189))</f>
        <v>0</v>
      </c>
      <c r="S10" s="641">
        <f>IF(OR(AND(Main!$AN$10=4,A10&lt;Main!$L$6),N10&lt;6400),0,LOOKUP(A10,W!$H$209:$I$211))</f>
        <v>90</v>
      </c>
      <c r="T10" s="641" t="str">
        <f>IF(A10=$AB$10,ROUND((B10*$AC$10/DAY(EOMONTH(A10,0))),0),IF(A10=$AB$11,ROUND((B10*$AC$11/DAY(EOMONTH(A10,0))),0),IF(A10=$AB$12,ROUND((B10*$AC$12/DAY(EOMONTH(A10,0))),0),IF(A10=DATE(YEAR(Main!$BL$2),3,1),Main!$H$26,IF(A10=DATE(YEAR(Main!$BL$2),12,1),Main!$L$26,"")))))</f>
        <v/>
      </c>
      <c r="U10" s="641">
        <f>IF(OR(AND(Main!$AN$10=4,A10&lt;Main!$L$6),N10&lt;6000),0,LOOKUP(A10,W!$H$201:$I$202))</f>
        <v>0</v>
      </c>
      <c r="V10" s="641">
        <f>IF(OR(AND(Main!$AN$10=4,A10&lt;Main!$L$6),N10&lt;6000),0,LOOKUP(A10,'Advance Tax'!$A$3:$B$14))</f>
        <v>0</v>
      </c>
      <c r="W10" s="661">
        <f t="shared" si="0"/>
        <v>6935</v>
      </c>
      <c r="X10" s="659">
        <f t="shared" si="1"/>
        <v>65998</v>
      </c>
      <c r="Y10" s="666">
        <f t="shared" si="2"/>
        <v>1</v>
      </c>
      <c r="AA10" s="934"/>
      <c r="AB10" s="937">
        <v>42095</v>
      </c>
      <c r="AC10" s="938">
        <v>0</v>
      </c>
      <c r="AJ10" s="616"/>
      <c r="AL10" s="616"/>
      <c r="AM10" s="616"/>
      <c r="AN10" s="616"/>
      <c r="AO10" s="616"/>
      <c r="AP10" s="616"/>
      <c r="AQ10" s="616"/>
      <c r="AR10" s="616"/>
      <c r="AS10" s="616"/>
      <c r="AT10" s="616"/>
      <c r="AU10" s="616"/>
      <c r="AV10" s="616"/>
      <c r="AW10" s="616"/>
      <c r="AX10" s="616"/>
    </row>
    <row r="11" spans="1:94" s="614" customFormat="1" ht="21.95" customHeight="1">
      <c r="A11" s="636">
        <f>Main!BL11</f>
        <v>42278</v>
      </c>
      <c r="B11" s="641">
        <f>SUMIF(W!$K$3:$K$27,A11,W!$O$3:$O$27)</f>
        <v>55410</v>
      </c>
      <c r="C11" s="641">
        <f>SUMIF(W!$K$3:$K$27,A11,W!$P$3:$P$27)</f>
        <v>105</v>
      </c>
      <c r="D11" s="641">
        <f>MAX(SUMIF(W!$K$3:$K$27,A11,W!$Q$3:$Q$27),ROUND(B11*IF(SUMIF(W!$K$3:$K$27,A11,W!$Q$3:$Q$27)&gt;0,VLOOKUP(A11,W!$H$9:$I$12,2,TRUE),0)%,0))</f>
        <v>4936</v>
      </c>
      <c r="E11" s="641">
        <f>MIN(SUMIF(W!$K$3:$K$27,A11,W!$R$3:$R$27),VLOOKUP(A11,W!$B$2:$I$4,IF(A11&lt;Main!$C$27,7,8),TRUE))</f>
        <v>11082</v>
      </c>
      <c r="F11" s="641">
        <f>SUMIF(W!$K$3:$K$27,A11,W!$S$3:$S$27)</f>
        <v>0</v>
      </c>
      <c r="G11" s="641">
        <f>SUMIF(W!$K$3:$K$27,A11,W!$T$3:$T$27)</f>
        <v>0</v>
      </c>
      <c r="H11" s="641">
        <f>SUMIF(W!$K$3:$K$27,A11,W!$U$3:$U$27)</f>
        <v>0</v>
      </c>
      <c r="I11" s="641">
        <f>SUMIF(W!$K$3:$K$27,A11,W!$V$3:$V$27)</f>
        <v>900</v>
      </c>
      <c r="J11" s="641">
        <f>IF(Main!$C$26="UGC",0,SUMIF(W!$K$3:$K$27,A11,W!$W$3:$W$27))</f>
        <v>500</v>
      </c>
      <c r="K11" s="641">
        <f>SUMIF(W!$K$3:$K$27,A11,W!$X$3:$X$27)</f>
        <v>0</v>
      </c>
      <c r="L11" s="651">
        <f>SUMIF(W!$K$3:$K$27,A11,W!$Y$3:$Y$27)</f>
        <v>0</v>
      </c>
      <c r="M11" s="641">
        <f>SUMIF(W!$K$3:$K$27,A11,W!$Z$3:$Z$27)</f>
        <v>0</v>
      </c>
      <c r="N11" s="641">
        <f t="shared" si="3"/>
        <v>72933</v>
      </c>
      <c r="O11" s="641">
        <f>IF(Main!$F$22=Main!$CA$20,0,IF(OR(AND(Main!$AN$10=4,A11&lt;Main!$L$6),N11&lt;6500),0,IF(Main!$CA$24=Main!$F$22,ROUND(SUM(B11,D11)*10%,0),LOOKUP(A11,W!$H$192:$I$193))))</f>
        <v>6035</v>
      </c>
      <c r="P11" s="642">
        <f>IF(OR(AND(Main!$AN$10=4,A11&lt;Main!$L$6),N11&lt;6400),0,LOOKUP(A11,W!$H$195:$I$196))</f>
        <v>750</v>
      </c>
      <c r="Q11" s="641">
        <f>IF(OR(AND(Main!$AN$10=4,A11&lt;Main!$L$6),N11&lt;6400),0,LOOKUP(A11,W!$H$198:$I$199))</f>
        <v>60</v>
      </c>
      <c r="R11" s="641">
        <f>IF(OR(Main!$H$10=Main!$BH$4,Main!$H$10=Main!$BH$5,N11=0),0,LOOKUP(N11,W!$H$184:$I$189))</f>
        <v>0</v>
      </c>
      <c r="S11" s="641">
        <f>IF(OR(AND(Main!$AN$10=4,A11&lt;Main!$L$6),N11&lt;6400),0,LOOKUP(A11,W!$H$209:$I$211))</f>
        <v>90</v>
      </c>
      <c r="T11" s="641" t="str">
        <f>IF(A11=$AB$10,ROUND((B11*$AC$10/DAY(EOMONTH(A11,0))),0),IF(A11=$AB$11,ROUND((B11*$AC$11/DAY(EOMONTH(A11,0))),0),IF(A11=$AB$12,ROUND((B11*$AC$12/DAY(EOMONTH(A11,0))),0),IF(A11=DATE(YEAR(Main!$BL$2),3,1),Main!$H$26,IF(A11=DATE(YEAR(Main!$BL$2),12,1),Main!$L$26,"")))))</f>
        <v/>
      </c>
      <c r="U11" s="641">
        <f>IF(OR(AND(Main!$AN$10=4,A11&lt;Main!$L$6),N11&lt;6000),0,LOOKUP(A11,W!$H$201:$I$202))</f>
        <v>0</v>
      </c>
      <c r="V11" s="641">
        <f>IF(OR(AND(Main!$AN$10=4,A11&lt;Main!$L$6),N11&lt;6000),0,LOOKUP(A11,'Advance Tax'!$A$3:$B$14))</f>
        <v>0</v>
      </c>
      <c r="W11" s="661">
        <f t="shared" si="0"/>
        <v>6935</v>
      </c>
      <c r="X11" s="659">
        <f t="shared" si="1"/>
        <v>65998</v>
      </c>
      <c r="Y11" s="666">
        <f t="shared" si="2"/>
        <v>1</v>
      </c>
      <c r="AA11" s="934"/>
      <c r="AB11" s="937">
        <v>42125</v>
      </c>
      <c r="AC11" s="938">
        <v>0</v>
      </c>
      <c r="AJ11" s="616"/>
      <c r="AL11" s="616"/>
      <c r="AM11" s="616"/>
      <c r="AN11" s="616"/>
      <c r="AO11" s="616"/>
      <c r="AP11" s="616"/>
      <c r="AQ11" s="616"/>
      <c r="AR11" s="616"/>
      <c r="AS11" s="616"/>
      <c r="AT11" s="616"/>
      <c r="AU11" s="616"/>
      <c r="AV11" s="616"/>
      <c r="AW11" s="616"/>
      <c r="AX11" s="616"/>
    </row>
    <row r="12" spans="1:94" s="614" customFormat="1" ht="21.95" customHeight="1">
      <c r="A12" s="636">
        <f>Main!BL12</f>
        <v>42309</v>
      </c>
      <c r="B12" s="641">
        <f>SUMIF(W!$K$3:$K$27,A12,W!$O$3:$O$27)</f>
        <v>55410</v>
      </c>
      <c r="C12" s="641">
        <f>SUMIF(W!$K$3:$K$27,A12,W!$P$3:$P$27)</f>
        <v>105</v>
      </c>
      <c r="D12" s="641">
        <f>MAX(SUMIF(W!$K$3:$K$27,A12,W!$Q$3:$Q$27),ROUND(B12*IF(SUMIF(W!$K$3:$K$27,A12,W!$Q$3:$Q$27)&gt;0,VLOOKUP(A12,W!$H$9:$I$12,2,TRUE),0)%,0))</f>
        <v>4936</v>
      </c>
      <c r="E12" s="641">
        <f>MIN(SUMIF(W!$K$3:$K$27,A12,W!$R$3:$R$27),VLOOKUP(A12,W!$B$2:$I$4,IF(A12&lt;Main!$C$27,7,8),TRUE))</f>
        <v>11082</v>
      </c>
      <c r="F12" s="641">
        <f>SUMIF(W!$K$3:$K$27,A12,W!$S$3:$S$27)</f>
        <v>0</v>
      </c>
      <c r="G12" s="641">
        <f>SUMIF(W!$K$3:$K$27,A12,W!$T$3:$T$27)</f>
        <v>0</v>
      </c>
      <c r="H12" s="641">
        <f>SUMIF(W!$K$3:$K$27,A12,W!$U$3:$U$27)</f>
        <v>0</v>
      </c>
      <c r="I12" s="641">
        <f>SUMIF(W!$K$3:$K$27,A12,W!$V$3:$V$27)</f>
        <v>900</v>
      </c>
      <c r="J12" s="641">
        <f>IF(Main!$C$26="UGC",0,SUMIF(W!$K$3:$K$27,A12,W!$W$3:$W$27))</f>
        <v>500</v>
      </c>
      <c r="K12" s="641">
        <f>SUMIF(W!$K$3:$K$27,A12,W!$X$3:$X$27)</f>
        <v>0</v>
      </c>
      <c r="L12" s="651">
        <f>SUMIF(W!$K$3:$K$27,A12,W!$Y$3:$Y$27)</f>
        <v>0</v>
      </c>
      <c r="M12" s="641">
        <f>SUMIF(W!$K$3:$K$27,A12,W!$Z$3:$Z$27)</f>
        <v>0</v>
      </c>
      <c r="N12" s="641">
        <f t="shared" si="3"/>
        <v>72933</v>
      </c>
      <c r="O12" s="641">
        <f>IF(Main!$F$22=Main!$CA$20,0,IF(OR(AND(Main!$AN$10=4,A12&lt;Main!$L$6),N12&lt;6500),0,IF(Main!$CA$24=Main!$F$22,ROUND(SUM(B12,D12)*10%,0),LOOKUP(A12,W!$H$192:$I$193))))</f>
        <v>6035</v>
      </c>
      <c r="P12" s="642">
        <f>IF(OR(AND(Main!$AN$10=4,A12&lt;Main!$L$6),N12&lt;6400),0,LOOKUP(A12,W!$H$195:$I$196))</f>
        <v>750</v>
      </c>
      <c r="Q12" s="641">
        <f>IF(OR(AND(Main!$AN$10=4,A12&lt;Main!$L$6),N12&lt;6400),0,LOOKUP(A12,W!$H$198:$I$199))</f>
        <v>60</v>
      </c>
      <c r="R12" s="641">
        <f>IF(OR(Main!$H$10=Main!$BH$4,Main!$H$10=Main!$BH$5,N12=0),0,LOOKUP(N12,W!$H$184:$I$189))</f>
        <v>0</v>
      </c>
      <c r="S12" s="641">
        <f>IF(OR(AND(Main!$AN$10=4,A12&lt;Main!$L$6),N12&lt;6400),0,LOOKUP(A12,W!$H$209:$I$211))</f>
        <v>90</v>
      </c>
      <c r="T12" s="641" t="str">
        <f>IF(A12=$AB$10,ROUND((B12*$AC$10/DAY(EOMONTH(A12,0))),0),IF(A12=$AB$11,ROUND((B12*$AC$11/DAY(EOMONTH(A12,0))),0),IF(A12=$AB$12,ROUND((B12*$AC$12/DAY(EOMONTH(A12,0))),0),IF(A12=DATE(YEAR(Main!$BL$2),3,1),Main!$H$26,IF(A12=DATE(YEAR(Main!$BL$2),12,1),Main!$L$26,"")))))</f>
        <v/>
      </c>
      <c r="U12" s="641">
        <f>IF(OR(AND(Main!$AN$10=4,A12&lt;Main!$L$6),N12&lt;6000),0,LOOKUP(A12,W!$H$201:$I$202))</f>
        <v>0</v>
      </c>
      <c r="V12" s="641">
        <f>IF(OR(AND(Main!$AN$10=4,A12&lt;Main!$L$6),N12&lt;6000),0,LOOKUP(A12,'Advance Tax'!$A$3:$B$14))</f>
        <v>0</v>
      </c>
      <c r="W12" s="661">
        <f t="shared" si="0"/>
        <v>6935</v>
      </c>
      <c r="X12" s="659">
        <f t="shared" si="1"/>
        <v>65998</v>
      </c>
      <c r="Y12" s="666">
        <f t="shared" si="2"/>
        <v>1</v>
      </c>
      <c r="AA12" s="934"/>
      <c r="AB12" s="937">
        <v>42401</v>
      </c>
      <c r="AC12" s="938">
        <v>0</v>
      </c>
      <c r="AJ12" s="616"/>
      <c r="AL12" s="616"/>
      <c r="AM12" s="616"/>
      <c r="AN12" s="616"/>
      <c r="AO12" s="616"/>
      <c r="AP12" s="616"/>
      <c r="AQ12" s="616"/>
      <c r="AR12" s="616"/>
      <c r="AS12" s="616"/>
      <c r="AT12" s="616"/>
      <c r="AU12" s="616"/>
      <c r="AV12" s="616"/>
      <c r="AW12" s="616"/>
      <c r="AX12" s="616"/>
    </row>
    <row r="13" spans="1:94" s="614" customFormat="1" ht="21.95" customHeight="1">
      <c r="A13" s="636">
        <f>Main!BL13</f>
        <v>42339</v>
      </c>
      <c r="B13" s="641">
        <f>SUMIF(W!$K$3:$K$27,A13,W!$O$3:$O$27)</f>
        <v>55410</v>
      </c>
      <c r="C13" s="641">
        <f>SUMIF(W!$K$3:$K$27,A13,W!$P$3:$P$27)</f>
        <v>105</v>
      </c>
      <c r="D13" s="641">
        <f>MAX(SUMIF(W!$K$3:$K$27,A13,W!$Q$3:$Q$27),ROUND(B13*IF(SUMIF(W!$K$3:$K$27,A13,W!$Q$3:$Q$27)&gt;0,VLOOKUP(A13,W!$H$9:$I$12,2,TRUE),0)%,0))</f>
        <v>4936</v>
      </c>
      <c r="E13" s="641">
        <f>MIN(SUMIF(W!$K$3:$K$27,A13,W!$R$3:$R$27),VLOOKUP(A13,W!$B$2:$I$4,IF(A13&lt;Main!$C$27,7,8),TRUE))</f>
        <v>11082</v>
      </c>
      <c r="F13" s="641">
        <f>SUMIF(W!$K$3:$K$27,A13,W!$S$3:$S$27)</f>
        <v>0</v>
      </c>
      <c r="G13" s="641">
        <f>SUMIF(W!$K$3:$K$27,A13,W!$T$3:$T$27)</f>
        <v>0</v>
      </c>
      <c r="H13" s="641">
        <f>SUMIF(W!$K$3:$K$27,A13,W!$U$3:$U$27)</f>
        <v>0</v>
      </c>
      <c r="I13" s="641">
        <f>SUMIF(W!$K$3:$K$27,A13,W!$V$3:$V$27)</f>
        <v>1350</v>
      </c>
      <c r="J13" s="641">
        <f>IF(Main!$C$26="UGC",0,SUMIF(W!$K$3:$K$27,A13,W!$W$3:$W$27))</f>
        <v>500</v>
      </c>
      <c r="K13" s="641">
        <f>SUMIF(W!$K$3:$K$27,A13,W!$X$3:$X$27)</f>
        <v>0</v>
      </c>
      <c r="L13" s="651">
        <f>SUMIF(W!$K$3:$K$27,A13,W!$Y$3:$Y$27)</f>
        <v>0</v>
      </c>
      <c r="M13" s="641">
        <f>SUMIF(W!$K$3:$K$27,A13,W!$Z$3:$Z$27)</f>
        <v>0</v>
      </c>
      <c r="N13" s="641">
        <f t="shared" si="3"/>
        <v>73383</v>
      </c>
      <c r="O13" s="641">
        <f>IF(Main!$F$22=Main!$CA$20,0,IF(OR(AND(Main!$AN$10=4,A13&lt;Main!$L$6),N13&lt;6500),0,IF(Main!$CA$24=Main!$F$22,ROUND(SUM(B13,D13)*10%,0),LOOKUP(A13,W!$H$192:$I$193))))</f>
        <v>6035</v>
      </c>
      <c r="P13" s="642">
        <f>IF(OR(AND(Main!$AN$10=4,A13&lt;Main!$L$6),N13&lt;6400),0,LOOKUP(A13,W!$H$195:$I$196))</f>
        <v>750</v>
      </c>
      <c r="Q13" s="641">
        <f>IF(OR(AND(Main!$AN$10=4,A13&lt;Main!$L$6),N13&lt;6400),0,LOOKUP(A13,W!$H$198:$I$199))</f>
        <v>60</v>
      </c>
      <c r="R13" s="641">
        <f>IF(OR(Main!$H$10=Main!$BH$4,Main!$H$10=Main!$BH$5,N13=0),0,LOOKUP(N13,W!$H$184:$I$189))</f>
        <v>0</v>
      </c>
      <c r="S13" s="641">
        <f>IF(OR(AND(Main!$AN$10=4,A13&lt;Main!$L$6),N13&lt;6400),0,LOOKUP(A13,W!$H$209:$I$211))</f>
        <v>90</v>
      </c>
      <c r="T13" s="641">
        <f>IF(A13=$AB$10,ROUND((B13*$AC$10/DAY(EOMONTH(A13,0))),0),IF(A13=$AB$11,ROUND((B13*$AC$11/DAY(EOMONTH(A13,0))),0),IF(A13=$AB$12,ROUND((B13*$AC$12/DAY(EOMONTH(A13,0))),0),IF(A13=DATE(YEAR(Main!$BL$2),3,1),Main!$H$26,IF(A13=DATE(YEAR(Main!$BL$2),12,1),Main!$L$26,"")))))</f>
        <v>50</v>
      </c>
      <c r="U13" s="641">
        <f>IF(OR(AND(Main!$AN$10=4,A13&lt;Main!$L$6),N13&lt;6000),0,LOOKUP(A13,W!$H$201:$I$202))</f>
        <v>0</v>
      </c>
      <c r="V13" s="641">
        <f>IF(OR(AND(Main!$AN$10=4,A13&lt;Main!$L$6),N13&lt;6000),0,LOOKUP(A13,'Advance Tax'!$A$3:$B$14))</f>
        <v>0</v>
      </c>
      <c r="W13" s="661">
        <f t="shared" si="0"/>
        <v>6985</v>
      </c>
      <c r="X13" s="659">
        <f t="shared" si="1"/>
        <v>66398</v>
      </c>
      <c r="Y13" s="666">
        <f t="shared" si="2"/>
        <v>1</v>
      </c>
      <c r="AJ13" s="616"/>
      <c r="AL13" s="616"/>
      <c r="AM13" s="616"/>
      <c r="AN13" s="616"/>
      <c r="AO13" s="616"/>
      <c r="AP13" s="616"/>
      <c r="AQ13" s="616"/>
      <c r="AR13" s="616"/>
      <c r="AS13" s="616"/>
      <c r="AT13" s="616"/>
      <c r="AU13" s="616"/>
      <c r="AV13" s="616"/>
      <c r="AW13" s="616"/>
      <c r="AX13" s="616"/>
    </row>
    <row r="14" spans="1:94" s="614" customFormat="1" ht="21.95" customHeight="1">
      <c r="A14" s="636">
        <f>Main!BL14</f>
        <v>42370</v>
      </c>
      <c r="B14" s="641">
        <f>SUMIF(W!$K$3:$K$27,A14,W!$O$3:$O$27)</f>
        <v>55410</v>
      </c>
      <c r="C14" s="641">
        <f>SUMIF(W!$K$3:$K$27,A14,W!$P$3:$P$27)</f>
        <v>105</v>
      </c>
      <c r="D14" s="641">
        <f>MAX(SUMIF(W!$K$3:$K$27,A14,W!$Q$3:$Q$27),ROUND(B14*IF(SUMIF(W!$K$3:$K$27,A14,W!$Q$3:$Q$27)&gt;0,VLOOKUP(A14,W!$H$9:$I$12,2,TRUE),0)%,0))</f>
        <v>4936</v>
      </c>
      <c r="E14" s="641">
        <f>MIN(SUMIF(W!$K$3:$K$27,A14,W!$R$3:$R$27),VLOOKUP(A14,W!$B$2:$I$4,IF(A14&lt;Main!$C$27,7,8),TRUE))</f>
        <v>11082</v>
      </c>
      <c r="F14" s="641">
        <f>SUMIF(W!$K$3:$K$27,A14,W!$S$3:$S$27)</f>
        <v>0</v>
      </c>
      <c r="G14" s="641">
        <f>SUMIF(W!$K$3:$K$27,A14,W!$T$3:$T$27)</f>
        <v>0</v>
      </c>
      <c r="H14" s="641">
        <f>SUMIF(W!$K$3:$K$27,A14,W!$U$3:$U$27)</f>
        <v>0</v>
      </c>
      <c r="I14" s="641">
        <f>SUMIF(W!$K$3:$K$27,A14,W!$V$3:$V$27)</f>
        <v>1350</v>
      </c>
      <c r="J14" s="641">
        <f>IF(Main!$C$26="UGC",0,SUMIF(W!$K$3:$K$27,A14,W!$W$3:$W$27))</f>
        <v>500</v>
      </c>
      <c r="K14" s="641">
        <f>SUMIF(W!$K$3:$K$27,A14,W!$X$3:$X$27)</f>
        <v>0</v>
      </c>
      <c r="L14" s="651">
        <f>SUMIF(W!$K$3:$K$27,A14,W!$Y$3:$Y$27)</f>
        <v>0</v>
      </c>
      <c r="M14" s="641">
        <f>SUMIF(W!$K$3:$K$27,A14,W!$Z$3:$Z$27)</f>
        <v>0</v>
      </c>
      <c r="N14" s="641">
        <f t="shared" si="3"/>
        <v>73383</v>
      </c>
      <c r="O14" s="641">
        <f>IF(Main!$F$22=Main!$CA$20,0,IF(OR(AND(Main!$AN$10=4,A14&lt;Main!$L$6),N14&lt;6500),0,IF(Main!$CA$24=Main!$F$22,ROUND(SUM(B14,D14)*10%,0),LOOKUP(A14,W!$H$192:$I$193))))</f>
        <v>6035</v>
      </c>
      <c r="P14" s="642">
        <f>IF(OR(AND(Main!$AN$10=4,A14&lt;Main!$L$6),N14&lt;6400),0,LOOKUP(A14,W!$H$195:$I$196))</f>
        <v>750</v>
      </c>
      <c r="Q14" s="641">
        <f>IF(OR(AND(Main!$AN$10=4,A14&lt;Main!$L$6),N14&lt;6400),0,LOOKUP(A14,W!$H$198:$I$199))</f>
        <v>60</v>
      </c>
      <c r="R14" s="641">
        <f>IF(OR(Main!$H$10=Main!$BH$4,Main!$H$10=Main!$BH$5,N14=0),0,LOOKUP(N14,W!$H$184:$I$189))</f>
        <v>0</v>
      </c>
      <c r="S14" s="641">
        <f>IF(OR(AND(Main!$AN$10=4,A14&lt;Main!$L$6),N14&lt;6400),0,LOOKUP(A14,W!$H$209:$I$211))</f>
        <v>90</v>
      </c>
      <c r="T14" s="641" t="str">
        <f>IF(A14=$AB$10,ROUND((B14*$AC$10/DAY(EOMONTH(A14,0))),0),IF(A14=$AB$11,ROUND((B14*$AC$11/DAY(EOMONTH(A14,0))),0),IF(A14=$AB$12,ROUND((B14*$AC$12/DAY(EOMONTH(A14,0))),0),IF(A14=DATE(YEAR(Main!$BL$2),3,1),Main!$H$26,IF(A14=DATE(YEAR(Main!$BL$2),12,1),Main!$L$26,"")))))</f>
        <v/>
      </c>
      <c r="U14" s="641">
        <f>IF(OR(AND(Main!$AN$10=4,A14&lt;Main!$L$6),N14&lt;6000),0,LOOKUP(A14,W!$H$201:$I$202))</f>
        <v>0</v>
      </c>
      <c r="V14" s="641">
        <f>IF(OR(AND(Main!$AN$10=4,A14&lt;Main!$L$6),N14&lt;6000),0,LOOKUP(A14,'Advance Tax'!$A$3:$B$14))</f>
        <v>0</v>
      </c>
      <c r="W14" s="661">
        <f t="shared" si="0"/>
        <v>6935</v>
      </c>
      <c r="X14" s="659">
        <f t="shared" si="1"/>
        <v>66448</v>
      </c>
      <c r="Y14" s="666">
        <f t="shared" si="2"/>
        <v>1</v>
      </c>
      <c r="AA14" s="947"/>
      <c r="AJ14" s="616"/>
      <c r="AL14" s="616"/>
      <c r="AM14" s="616"/>
      <c r="AN14" s="616"/>
      <c r="AO14" s="616"/>
      <c r="AP14" s="616"/>
      <c r="AQ14" s="616"/>
      <c r="AR14" s="616"/>
      <c r="AS14" s="616"/>
      <c r="AT14" s="616"/>
      <c r="AU14" s="616"/>
      <c r="AV14" s="616"/>
      <c r="AW14" s="616"/>
      <c r="AX14" s="616"/>
    </row>
    <row r="15" spans="1:94" s="614" customFormat="1" ht="21.95" customHeight="1">
      <c r="A15" s="636">
        <f>Main!BL15</f>
        <v>42401</v>
      </c>
      <c r="B15" s="641">
        <f>SUMIF(W!$K$3:$K$27,A15,W!$O$3:$O$27)</f>
        <v>55410</v>
      </c>
      <c r="C15" s="641">
        <f>SUMIF(W!$K$3:$K$27,A15,W!$P$3:$P$27)</f>
        <v>105</v>
      </c>
      <c r="D15" s="641">
        <f>MAX(SUMIF(W!$K$3:$K$27,A15,W!$Q$3:$Q$27),ROUND(B15*IF(SUMIF(W!$K$3:$K$27,A15,W!$Q$3:$Q$27)&gt;0,VLOOKUP(A15,W!$H$9:$I$12,2,TRUE),0)%,0))</f>
        <v>4936</v>
      </c>
      <c r="E15" s="641">
        <f>MIN(SUMIF(W!$K$3:$K$27,A15,W!$R$3:$R$27),VLOOKUP(A15,W!$B$2:$I$4,IF(A15&lt;Main!$C$27,7,8),TRUE))</f>
        <v>11082</v>
      </c>
      <c r="F15" s="641">
        <f>SUMIF(W!$K$3:$K$27,A15,W!$S$3:$S$27)</f>
        <v>0</v>
      </c>
      <c r="G15" s="641">
        <f>SUMIF(W!$K$3:$K$27,A15,W!$T$3:$T$27)</f>
        <v>0</v>
      </c>
      <c r="H15" s="641">
        <f>SUMIF(W!$K$3:$K$27,A15,W!$U$3:$U$27)</f>
        <v>0</v>
      </c>
      <c r="I15" s="641">
        <f>SUMIF(W!$K$3:$K$27,A15,W!$V$3:$V$27)</f>
        <v>1350</v>
      </c>
      <c r="J15" s="641">
        <f>IF(Main!$C$26="UGC",0,SUMIF(W!$K$3:$K$27,A15,W!$W$3:$W$27))</f>
        <v>500</v>
      </c>
      <c r="K15" s="641">
        <f>SUMIF(W!$K$3:$K$27,A15,W!$X$3:$X$27)</f>
        <v>0</v>
      </c>
      <c r="L15" s="651">
        <f>SUMIF(W!$K$3:$K$27,A15,W!$Y$3:$Y$27)</f>
        <v>0</v>
      </c>
      <c r="M15" s="641">
        <f>SUMIF(W!$K$3:$K$27,A15,W!$Z$3:$Z$27)</f>
        <v>0</v>
      </c>
      <c r="N15" s="641">
        <f t="shared" si="3"/>
        <v>73383</v>
      </c>
      <c r="O15" s="641">
        <f>IF(Main!$F$22=Main!$CA$20,0,IF(OR(AND(Main!$AN$10=4,A15&lt;Main!$L$6),N15&lt;6500),0,IF(Main!$CA$24=Main!$F$22,ROUND(SUM(B15,D15)*10%,0),LOOKUP(A15,W!$H$192:$I$193))))</f>
        <v>6035</v>
      </c>
      <c r="P15" s="642">
        <f>IF(OR(AND(Main!$AN$10=4,A15&lt;Main!$L$6),N15&lt;6400),0,LOOKUP(A15,W!$H$195:$I$196))</f>
        <v>750</v>
      </c>
      <c r="Q15" s="641">
        <f>IF(OR(AND(Main!$AN$10=4,A15&lt;Main!$L$6),N15&lt;6400),0,LOOKUP(A15,W!$H$198:$I$199))</f>
        <v>60</v>
      </c>
      <c r="R15" s="641">
        <f>IF(OR(Main!$H$10=Main!$BH$4,Main!$H$10=Main!$BH$5,N15=0),0,LOOKUP(N15,W!$H$184:$I$189))</f>
        <v>0</v>
      </c>
      <c r="S15" s="641">
        <f>IF(OR(AND(Main!$AN$10=4,A15&lt;Main!$L$6),N15&lt;6400),0,LOOKUP(A15,W!$H$209:$I$211))</f>
        <v>90</v>
      </c>
      <c r="T15" s="641">
        <f>IF(A15=$AB$10,ROUND((B15*$AC$10/DAY(EOMONTH(A15,0))),0),IF(A15=$AB$11,ROUND((B15*$AC$11/DAY(EOMONTH(A15,0))),0),IF(A15=$AB$12,ROUND((B15*$AC$12/DAY(EOMONTH(A15,0))),0),IF(A15=DATE(YEAR(Main!$BL$2),3,1),Main!$H$26,IF(A15=DATE(YEAR(Main!$BL$2),12,1),Main!$L$26,"")))))</f>
        <v>0</v>
      </c>
      <c r="U15" s="641">
        <f>IF(OR(AND(Main!$AN$10=4,A15&lt;Main!$L$6),N15&lt;6000),0,LOOKUP(A15,W!$H$201:$I$202))</f>
        <v>0</v>
      </c>
      <c r="V15" s="641">
        <f ca="1">IF(OR(AND(Main!$AN$10=4,A15&lt;Main!$L$6),N15&lt;6000),0,LOOKUP(A15,'Advance Tax'!$A$3:$B$14))</f>
        <v>57363</v>
      </c>
      <c r="W15" s="661">
        <f t="shared" ca="1" si="0"/>
        <v>64298</v>
      </c>
      <c r="X15" s="659">
        <f t="shared" ca="1" si="1"/>
        <v>9085</v>
      </c>
      <c r="Y15" s="666">
        <f t="shared" si="2"/>
        <v>1</v>
      </c>
      <c r="AJ15" s="616"/>
      <c r="AL15" s="616"/>
      <c r="AM15" s="616"/>
      <c r="AN15" s="616"/>
      <c r="AO15" s="616"/>
      <c r="AP15" s="616"/>
      <c r="AQ15" s="616"/>
      <c r="AR15" s="616"/>
      <c r="AS15" s="616"/>
      <c r="AT15" s="616"/>
      <c r="AU15" s="616"/>
      <c r="AV15" s="616"/>
      <c r="AW15" s="616"/>
      <c r="AX15" s="616"/>
    </row>
    <row r="16" spans="1:94" s="177" customFormat="1" ht="21.95" customHeight="1">
      <c r="A16" s="215" t="s">
        <v>1375</v>
      </c>
      <c r="B16" s="641">
        <f>IF($AB$8=$AG$1,W!O28,0)</f>
        <v>0</v>
      </c>
      <c r="C16" s="641">
        <f>IF($AB$8=$AG$1,W!P28,0)</f>
        <v>0</v>
      </c>
      <c r="D16" s="641">
        <f>IF($AB$8=$AG$1,W!Q28,0)</f>
        <v>0</v>
      </c>
      <c r="E16" s="641">
        <f>IF($AB$8=$AG$1,W!R28,0)</f>
        <v>0</v>
      </c>
      <c r="F16" s="641">
        <f>IF($AB$8=$AG$1,W!S28,0)</f>
        <v>0</v>
      </c>
      <c r="G16" s="641">
        <f>IF($AB$8=$AG$1,W!T28,0)</f>
        <v>0</v>
      </c>
      <c r="H16" s="641">
        <f>IF($AB$8=$AG$1,W!U28,0)</f>
        <v>0</v>
      </c>
      <c r="I16" s="641">
        <f>IF($AB$8=$AG$1,W!V28,0)</f>
        <v>0</v>
      </c>
      <c r="J16" s="641">
        <f>IF(Main!$C$26="UGC",0,IF($AB$8=$AG$1,W!W28,0))</f>
        <v>0</v>
      </c>
      <c r="K16" s="641">
        <f>IF($AB$8=$AG$1,W!X28,0)</f>
        <v>0</v>
      </c>
      <c r="L16" s="641">
        <f>IF($AB$8=$AG$1,0,W!AA28)</f>
        <v>25454</v>
      </c>
      <c r="M16" s="641">
        <f>IF($AB$8=$AG$1,W!Z28,0)</f>
        <v>0</v>
      </c>
      <c r="N16" s="641">
        <f t="shared" ref="N16:N27" si="4">SUM(B16:M16)</f>
        <v>25454</v>
      </c>
      <c r="O16" s="641"/>
      <c r="P16" s="641"/>
      <c r="Q16" s="641"/>
      <c r="R16" s="641"/>
      <c r="S16" s="641"/>
      <c r="T16" s="641"/>
      <c r="U16" s="641"/>
      <c r="V16" s="641"/>
      <c r="W16" s="661">
        <f t="shared" si="0"/>
        <v>0</v>
      </c>
      <c r="X16" s="659">
        <f t="shared" si="1"/>
        <v>25454</v>
      </c>
      <c r="Y16" s="666">
        <f t="shared" si="2"/>
        <v>1</v>
      </c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6"/>
      <c r="AK16" s="275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</row>
    <row r="17" spans="1:94" s="177" customFormat="1" ht="21.95" hidden="1" customHeight="1">
      <c r="A17" s="216" t="s">
        <v>1733</v>
      </c>
      <c r="B17" s="641">
        <f>W!AM55</f>
        <v>0</v>
      </c>
      <c r="C17" s="641">
        <f>W!AN55</f>
        <v>0</v>
      </c>
      <c r="D17" s="641">
        <f>W!AO55</f>
        <v>0</v>
      </c>
      <c r="E17" s="641">
        <f>W!AP55</f>
        <v>0</v>
      </c>
      <c r="F17" s="641">
        <f>W!AQ55</f>
        <v>0</v>
      </c>
      <c r="G17" s="641">
        <f>W!AR55</f>
        <v>0</v>
      </c>
      <c r="H17" s="641">
        <f>W!AS55</f>
        <v>0</v>
      </c>
      <c r="I17" s="641">
        <f>W!AT55</f>
        <v>0</v>
      </c>
      <c r="J17" s="641">
        <f>W!AU55</f>
        <v>0</v>
      </c>
      <c r="K17" s="641">
        <f>W!AV55</f>
        <v>0</v>
      </c>
      <c r="L17" s="641">
        <f>W!AW55</f>
        <v>0</v>
      </c>
      <c r="M17" s="641">
        <f>W!AX55</f>
        <v>0</v>
      </c>
      <c r="N17" s="641">
        <f t="shared" si="4"/>
        <v>0</v>
      </c>
      <c r="O17" s="641">
        <f>IF(Main!$F$22=Main!$CA$20,0,W!AZ56)</f>
        <v>0</v>
      </c>
      <c r="P17" s="641"/>
      <c r="Q17" s="641"/>
      <c r="R17" s="641">
        <f>W!BA55</f>
        <v>0</v>
      </c>
      <c r="S17" s="641"/>
      <c r="T17" s="641"/>
      <c r="U17" s="641"/>
      <c r="V17" s="641"/>
      <c r="W17" s="661">
        <f t="shared" si="0"/>
        <v>0</v>
      </c>
      <c r="X17" s="658">
        <f t="shared" si="1"/>
        <v>0</v>
      </c>
      <c r="Y17" s="666" t="str">
        <f t="shared" si="2"/>
        <v/>
      </c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6"/>
      <c r="AK17" s="275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</row>
    <row r="18" spans="1:94" s="177" customFormat="1" ht="24.75" hidden="1" customHeight="1">
      <c r="A18" s="757" t="str">
        <f>IF(Main!AN10=4,"DSC Fixation Arrears","Promotion Fixation Arrears")</f>
        <v>Promotion Fixation Arrears</v>
      </c>
      <c r="B18" s="641">
        <f>W!BH62</f>
        <v>0</v>
      </c>
      <c r="C18" s="641">
        <f>W!BI62</f>
        <v>0</v>
      </c>
      <c r="D18" s="641">
        <f>W!BJ62</f>
        <v>0</v>
      </c>
      <c r="E18" s="641">
        <f>W!BK62</f>
        <v>0</v>
      </c>
      <c r="F18" s="641">
        <f>W!BL62</f>
        <v>0</v>
      </c>
      <c r="G18" s="641">
        <f>W!BM62</f>
        <v>0</v>
      </c>
      <c r="H18" s="641">
        <f>W!BN62</f>
        <v>0</v>
      </c>
      <c r="I18" s="641">
        <f>W!BO62</f>
        <v>0</v>
      </c>
      <c r="J18" s="641">
        <f>W!BP62</f>
        <v>0</v>
      </c>
      <c r="K18" s="641">
        <f>W!BQ62</f>
        <v>0</v>
      </c>
      <c r="L18" s="641">
        <f>W!BR62</f>
        <v>0</v>
      </c>
      <c r="M18" s="641">
        <f>W!BS62</f>
        <v>0</v>
      </c>
      <c r="N18" s="641">
        <f t="shared" si="4"/>
        <v>0</v>
      </c>
      <c r="O18" s="641">
        <f>W!BU62</f>
        <v>0</v>
      </c>
      <c r="P18" s="641"/>
      <c r="Q18" s="641"/>
      <c r="R18" s="641">
        <f>W!BV62</f>
        <v>0</v>
      </c>
      <c r="S18" s="641"/>
      <c r="T18" s="641"/>
      <c r="U18" s="641"/>
      <c r="V18" s="641"/>
      <c r="W18" s="661">
        <f t="shared" si="0"/>
        <v>0</v>
      </c>
      <c r="X18" s="658">
        <f t="shared" si="1"/>
        <v>0</v>
      </c>
      <c r="Y18" s="666" t="str">
        <f t="shared" si="2"/>
        <v/>
      </c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6"/>
      <c r="AK18" s="275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</row>
    <row r="19" spans="1:94" s="177" customFormat="1" ht="21.95" customHeight="1">
      <c r="A19" s="216" t="s">
        <v>1885</v>
      </c>
      <c r="B19" s="641">
        <f>W!EA56</f>
        <v>17526</v>
      </c>
      <c r="C19" s="641">
        <f>W!EB56</f>
        <v>0</v>
      </c>
      <c r="D19" s="641">
        <f>W!EC56</f>
        <v>16821</v>
      </c>
      <c r="E19" s="641">
        <f>W!ED56</f>
        <v>19845</v>
      </c>
      <c r="F19" s="641">
        <f>W!EE56</f>
        <v>0</v>
      </c>
      <c r="G19" s="641">
        <f>W!EF56</f>
        <v>0</v>
      </c>
      <c r="H19" s="641">
        <f>W!EG56</f>
        <v>0</v>
      </c>
      <c r="I19" s="641">
        <f>W!EH56</f>
        <v>0</v>
      </c>
      <c r="J19" s="641">
        <f>W!EI56</f>
        <v>1180</v>
      </c>
      <c r="K19" s="641">
        <f>W!EJ56</f>
        <v>0</v>
      </c>
      <c r="L19" s="641"/>
      <c r="M19" s="641">
        <f>W!EL56</f>
        <v>0</v>
      </c>
      <c r="N19" s="641">
        <f t="shared" si="4"/>
        <v>55372</v>
      </c>
      <c r="O19" s="641">
        <f>W!EN56</f>
        <v>3966</v>
      </c>
      <c r="P19" s="641"/>
      <c r="Q19" s="641"/>
      <c r="R19" s="641">
        <f>W!EO56</f>
        <v>0</v>
      </c>
      <c r="S19" s="641"/>
      <c r="T19" s="641"/>
      <c r="U19" s="641"/>
      <c r="V19" s="641"/>
      <c r="W19" s="661">
        <f t="shared" si="0"/>
        <v>3966</v>
      </c>
      <c r="X19" s="659">
        <f t="shared" si="1"/>
        <v>51406</v>
      </c>
      <c r="Y19" s="666">
        <f t="shared" si="2"/>
        <v>1</v>
      </c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6"/>
      <c r="AK19" s="275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</row>
    <row r="20" spans="1:94" s="177" customFormat="1" ht="21.95" hidden="1" customHeight="1">
      <c r="A20" s="950"/>
      <c r="B20" s="951"/>
      <c r="C20" s="951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3">
        <f t="shared" si="4"/>
        <v>0</v>
      </c>
      <c r="O20" s="952"/>
      <c r="P20" s="952"/>
      <c r="Q20" s="952"/>
      <c r="R20" s="952"/>
      <c r="S20" s="952"/>
      <c r="T20" s="952"/>
      <c r="U20" s="952"/>
      <c r="V20" s="952"/>
      <c r="W20" s="948">
        <f t="shared" si="0"/>
        <v>0</v>
      </c>
      <c r="X20" s="949">
        <f t="shared" si="1"/>
        <v>0</v>
      </c>
      <c r="Y20" s="666" t="str">
        <f t="shared" si="2"/>
        <v/>
      </c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6"/>
      <c r="AK20" s="275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</row>
    <row r="21" spans="1:94" s="177" customFormat="1" ht="21.95" hidden="1" customHeight="1">
      <c r="A21" s="954"/>
      <c r="B21" s="951"/>
      <c r="C21" s="951"/>
      <c r="D21" s="952"/>
      <c r="E21" s="952"/>
      <c r="F21" s="952"/>
      <c r="G21" s="952"/>
      <c r="H21" s="952"/>
      <c r="I21" s="952"/>
      <c r="J21" s="952"/>
      <c r="K21" s="952"/>
      <c r="L21" s="952"/>
      <c r="M21" s="952"/>
      <c r="N21" s="953">
        <f t="shared" ref="N21" si="5">SUM(B21:M21)</f>
        <v>0</v>
      </c>
      <c r="O21" s="952"/>
      <c r="P21" s="952"/>
      <c r="Q21" s="952"/>
      <c r="R21" s="952"/>
      <c r="S21" s="952"/>
      <c r="T21" s="952"/>
      <c r="U21" s="952"/>
      <c r="V21" s="952"/>
      <c r="W21" s="948">
        <f t="shared" ref="W21" si="6">SUM(O21:V21)</f>
        <v>0</v>
      </c>
      <c r="X21" s="949">
        <f t="shared" ref="X21" si="7">N21-W21</f>
        <v>0</v>
      </c>
      <c r="Y21" s="666" t="str">
        <f t="shared" si="2"/>
        <v/>
      </c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6"/>
      <c r="AK21" s="275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</row>
    <row r="22" spans="1:94" s="177" customFormat="1" ht="21.95" hidden="1" customHeight="1">
      <c r="A22" s="1195" t="str">
        <f>IF(Main!H12&gt;0,Main!F12,"")</f>
        <v/>
      </c>
      <c r="B22" s="1196"/>
      <c r="C22" s="1197"/>
      <c r="D22" s="643"/>
      <c r="E22" s="643"/>
      <c r="F22" s="643"/>
      <c r="G22" s="643"/>
      <c r="H22" s="643"/>
      <c r="I22" s="643"/>
      <c r="J22" s="643"/>
      <c r="K22" s="643"/>
      <c r="L22" s="643" t="str">
        <f>IF(Main!H12&gt;0,Main!H12,"")</f>
        <v/>
      </c>
      <c r="M22" s="643"/>
      <c r="N22" s="641">
        <f t="shared" si="4"/>
        <v>0</v>
      </c>
      <c r="O22" s="643"/>
      <c r="P22" s="643"/>
      <c r="Q22" s="643"/>
      <c r="R22" s="643"/>
      <c r="S22" s="643"/>
      <c r="T22" s="643"/>
      <c r="U22" s="643"/>
      <c r="V22" s="643"/>
      <c r="W22" s="661">
        <f t="shared" si="0"/>
        <v>0</v>
      </c>
      <c r="X22" s="659">
        <f t="shared" si="1"/>
        <v>0</v>
      </c>
      <c r="Y22" s="666" t="str">
        <f t="shared" si="2"/>
        <v/>
      </c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6"/>
      <c r="AK22" s="275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  <c r="CI22" s="275"/>
      <c r="CJ22" s="275"/>
      <c r="CK22" s="275"/>
      <c r="CL22" s="275"/>
      <c r="CM22" s="275"/>
      <c r="CN22" s="275"/>
      <c r="CO22" s="275"/>
      <c r="CP22" s="275"/>
    </row>
    <row r="23" spans="1:94" s="177" customFormat="1" ht="21.95" hidden="1" customHeight="1">
      <c r="A23" s="1195" t="str">
        <f>IF(Main!H13&gt;0,Main!F13,"")</f>
        <v/>
      </c>
      <c r="B23" s="1196"/>
      <c r="C23" s="1197"/>
      <c r="D23" s="643"/>
      <c r="E23" s="643"/>
      <c r="F23" s="643"/>
      <c r="G23" s="643"/>
      <c r="H23" s="643"/>
      <c r="I23" s="643"/>
      <c r="J23" s="643"/>
      <c r="K23" s="643"/>
      <c r="L23" s="643" t="str">
        <f>IF(Main!H13&gt;0,Main!H13,"")</f>
        <v/>
      </c>
      <c r="M23" s="643"/>
      <c r="N23" s="641">
        <f t="shared" si="4"/>
        <v>0</v>
      </c>
      <c r="O23" s="643"/>
      <c r="P23" s="643"/>
      <c r="Q23" s="643"/>
      <c r="R23" s="643"/>
      <c r="S23" s="643"/>
      <c r="T23" s="643"/>
      <c r="U23" s="643"/>
      <c r="V23" s="643"/>
      <c r="W23" s="661">
        <f t="shared" si="0"/>
        <v>0</v>
      </c>
      <c r="X23" s="659">
        <f t="shared" si="1"/>
        <v>0</v>
      </c>
      <c r="Y23" s="666" t="str">
        <f t="shared" si="2"/>
        <v/>
      </c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6"/>
      <c r="AK23" s="275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5"/>
    </row>
    <row r="24" spans="1:94" s="177" customFormat="1" ht="21.95" hidden="1" customHeight="1">
      <c r="A24" s="1195" t="str">
        <f>IF(Main!L12&gt;0,Main!J12,"")</f>
        <v/>
      </c>
      <c r="B24" s="1196"/>
      <c r="C24" s="1197"/>
      <c r="D24" s="643"/>
      <c r="E24" s="643"/>
      <c r="F24" s="643"/>
      <c r="G24" s="643"/>
      <c r="H24" s="643"/>
      <c r="I24" s="643"/>
      <c r="J24" s="643"/>
      <c r="K24" s="643"/>
      <c r="L24" s="643" t="str">
        <f>IF(Main!L12&gt;0,Main!L12,"")</f>
        <v/>
      </c>
      <c r="M24" s="643"/>
      <c r="N24" s="641">
        <f t="shared" si="4"/>
        <v>0</v>
      </c>
      <c r="O24" s="643"/>
      <c r="P24" s="643"/>
      <c r="Q24" s="643"/>
      <c r="R24" s="643"/>
      <c r="S24" s="643"/>
      <c r="T24" s="643"/>
      <c r="U24" s="643"/>
      <c r="V24" s="643"/>
      <c r="W24" s="661">
        <f t="shared" si="0"/>
        <v>0</v>
      </c>
      <c r="X24" s="659">
        <f t="shared" si="1"/>
        <v>0</v>
      </c>
      <c r="Y24" s="652" t="str">
        <f t="shared" si="2"/>
        <v/>
      </c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6"/>
      <c r="AK24" s="275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75"/>
      <c r="CP24" s="275"/>
    </row>
    <row r="25" spans="1:94" s="177" customFormat="1" ht="21.95" hidden="1" customHeight="1">
      <c r="A25" s="1195" t="str">
        <f>IF(Main!L13&gt;0,Main!J13,"")</f>
        <v/>
      </c>
      <c r="B25" s="1196"/>
      <c r="C25" s="1197"/>
      <c r="D25" s="643"/>
      <c r="E25" s="643"/>
      <c r="F25" s="643"/>
      <c r="G25" s="643"/>
      <c r="H25" s="643"/>
      <c r="I25" s="643"/>
      <c r="J25" s="643"/>
      <c r="K25" s="643"/>
      <c r="L25" s="643" t="str">
        <f>IF(Main!L13&gt;0,Main!L13,"")</f>
        <v/>
      </c>
      <c r="M25" s="643"/>
      <c r="N25" s="641">
        <f t="shared" si="4"/>
        <v>0</v>
      </c>
      <c r="O25" s="643"/>
      <c r="P25" s="643"/>
      <c r="Q25" s="643"/>
      <c r="R25" s="643"/>
      <c r="S25" s="643"/>
      <c r="T25" s="643"/>
      <c r="U25" s="643"/>
      <c r="V25" s="643"/>
      <c r="W25" s="661">
        <f t="shared" si="0"/>
        <v>0</v>
      </c>
      <c r="X25" s="659">
        <f t="shared" si="1"/>
        <v>0</v>
      </c>
      <c r="Y25" s="664" t="str">
        <f t="shared" si="2"/>
        <v/>
      </c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6"/>
      <c r="AK25" s="275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/>
      <c r="CP25" s="275"/>
    </row>
    <row r="26" spans="1:94" s="614" customFormat="1" ht="21.95" hidden="1" customHeight="1">
      <c r="A26" s="1195" t="str">
        <f>IF(D26=0,"",W!K29)</f>
        <v>DA Arrears From January-2015 TO March-2016</v>
      </c>
      <c r="B26" s="1196"/>
      <c r="C26" s="1197"/>
      <c r="D26" s="643" t="str">
        <f>W!Q29</f>
        <v/>
      </c>
      <c r="E26" s="643"/>
      <c r="F26" s="643"/>
      <c r="G26" s="643"/>
      <c r="H26" s="643"/>
      <c r="I26" s="643"/>
      <c r="J26" s="643"/>
      <c r="K26" s="643"/>
      <c r="L26" s="643"/>
      <c r="M26" s="643"/>
      <c r="N26" s="641">
        <f t="shared" si="4"/>
        <v>0</v>
      </c>
      <c r="O26" s="643" t="str">
        <f>IF(Main!$F$22=Main!$CA$20,0,W!F58)</f>
        <v/>
      </c>
      <c r="P26" s="643"/>
      <c r="Q26" s="643"/>
      <c r="R26" s="643"/>
      <c r="S26" s="643"/>
      <c r="T26" s="643"/>
      <c r="U26" s="643"/>
      <c r="V26" s="643"/>
      <c r="W26" s="661">
        <f t="shared" si="0"/>
        <v>0</v>
      </c>
      <c r="X26" s="659">
        <f t="shared" si="1"/>
        <v>0</v>
      </c>
      <c r="Y26" s="666" t="str">
        <f t="shared" si="2"/>
        <v/>
      </c>
      <c r="AJ26" s="616"/>
      <c r="AL26" s="616"/>
      <c r="AM26" s="616"/>
      <c r="AN26" s="616"/>
      <c r="AO26" s="616"/>
      <c r="AP26" s="616"/>
      <c r="AQ26" s="616"/>
      <c r="AR26" s="616"/>
      <c r="AS26" s="616"/>
      <c r="AT26" s="616"/>
      <c r="AU26" s="616"/>
      <c r="AV26" s="616"/>
      <c r="AW26" s="616"/>
      <c r="AX26" s="616"/>
    </row>
    <row r="27" spans="1:94" s="614" customFormat="1" ht="21.95" hidden="1" customHeight="1">
      <c r="A27" s="1195" t="str">
        <f>IF(D27="","",W!K30)</f>
        <v/>
      </c>
      <c r="B27" s="1196"/>
      <c r="C27" s="1197"/>
      <c r="D27" s="643" t="str">
        <f>W!Q30</f>
        <v/>
      </c>
      <c r="E27" s="641"/>
      <c r="F27" s="641"/>
      <c r="G27" s="641"/>
      <c r="H27" s="643"/>
      <c r="I27" s="643"/>
      <c r="J27" s="643"/>
      <c r="K27" s="643"/>
      <c r="L27" s="643"/>
      <c r="M27" s="643"/>
      <c r="N27" s="641">
        <f t="shared" si="4"/>
        <v>0</v>
      </c>
      <c r="O27" s="643" t="str">
        <f>IF(Main!$F$22=Main!$CA$20,0,W!H99)</f>
        <v/>
      </c>
      <c r="P27" s="643"/>
      <c r="Q27" s="643"/>
      <c r="R27" s="643"/>
      <c r="S27" s="643"/>
      <c r="T27" s="643"/>
      <c r="U27" s="643"/>
      <c r="V27" s="643"/>
      <c r="W27" s="661">
        <f t="shared" si="0"/>
        <v>0</v>
      </c>
      <c r="X27" s="659">
        <f t="shared" si="1"/>
        <v>0</v>
      </c>
      <c r="Y27" s="666" t="str">
        <f t="shared" si="2"/>
        <v/>
      </c>
      <c r="AJ27" s="616"/>
      <c r="AL27" s="616"/>
      <c r="AM27" s="616"/>
      <c r="AN27" s="616"/>
      <c r="AO27" s="616"/>
      <c r="AP27" s="616"/>
      <c r="AQ27" s="616"/>
      <c r="AR27" s="616"/>
      <c r="AS27" s="616"/>
      <c r="AT27" s="616"/>
      <c r="AU27" s="616"/>
      <c r="AV27" s="616"/>
      <c r="AW27" s="616"/>
      <c r="AX27" s="616"/>
    </row>
    <row r="28" spans="1:94" s="614" customFormat="1" ht="20.100000000000001" customHeight="1">
      <c r="A28" s="217" t="s">
        <v>6</v>
      </c>
      <c r="B28" s="369">
        <f>SUM(B4:B27)</f>
        <v>560286</v>
      </c>
      <c r="C28" s="369">
        <f t="shared" ref="C28:X28" si="8">SUM(C4:C27)</f>
        <v>1260</v>
      </c>
      <c r="D28" s="369">
        <f t="shared" si="8"/>
        <v>135813</v>
      </c>
      <c r="E28" s="369">
        <f t="shared" si="8"/>
        <v>128397</v>
      </c>
      <c r="F28" s="369">
        <f t="shared" si="8"/>
        <v>0</v>
      </c>
      <c r="G28" s="369">
        <f t="shared" si="8"/>
        <v>27648</v>
      </c>
      <c r="H28" s="369">
        <f t="shared" si="8"/>
        <v>0</v>
      </c>
      <c r="I28" s="369">
        <f t="shared" si="8"/>
        <v>10620</v>
      </c>
      <c r="J28" s="369">
        <f t="shared" si="8"/>
        <v>5740</v>
      </c>
      <c r="K28" s="369">
        <f t="shared" si="8"/>
        <v>0</v>
      </c>
      <c r="L28" s="369">
        <f t="shared" si="8"/>
        <v>25454</v>
      </c>
      <c r="M28" s="369">
        <f t="shared" si="8"/>
        <v>0</v>
      </c>
      <c r="N28" s="369">
        <f t="shared" si="8"/>
        <v>895218</v>
      </c>
      <c r="O28" s="369">
        <f t="shared" si="8"/>
        <v>70144</v>
      </c>
      <c r="P28" s="369">
        <f t="shared" si="8"/>
        <v>9000</v>
      </c>
      <c r="Q28" s="369">
        <f t="shared" si="8"/>
        <v>720</v>
      </c>
      <c r="R28" s="369">
        <f t="shared" si="8"/>
        <v>0</v>
      </c>
      <c r="S28" s="369">
        <f t="shared" si="8"/>
        <v>1080</v>
      </c>
      <c r="T28" s="369">
        <f t="shared" si="8"/>
        <v>70</v>
      </c>
      <c r="U28" s="369">
        <f t="shared" si="8"/>
        <v>0</v>
      </c>
      <c r="V28" s="369">
        <f t="shared" ca="1" si="8"/>
        <v>57363</v>
      </c>
      <c r="W28" s="369">
        <f t="shared" ca="1" si="8"/>
        <v>138377</v>
      </c>
      <c r="X28" s="369">
        <f t="shared" ca="1" si="8"/>
        <v>756841</v>
      </c>
      <c r="Y28" s="666">
        <f t="shared" si="2"/>
        <v>1</v>
      </c>
      <c r="AJ28" s="616"/>
      <c r="AL28" s="616"/>
      <c r="AM28" s="616"/>
      <c r="AN28" s="616"/>
      <c r="AO28" s="616"/>
      <c r="AP28" s="616"/>
      <c r="AQ28" s="616"/>
      <c r="AR28" s="616"/>
      <c r="AS28" s="616"/>
      <c r="AT28" s="616"/>
      <c r="AU28" s="616"/>
      <c r="AV28" s="616"/>
      <c r="AW28" s="616"/>
      <c r="AX28" s="616"/>
    </row>
    <row r="29" spans="1:94" s="614" customFormat="1" ht="24.75" customHeight="1">
      <c r="A29" s="178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80">
        <v>1</v>
      </c>
      <c r="O29" s="179"/>
      <c r="P29" s="179"/>
      <c r="Q29" s="179"/>
      <c r="R29" s="179"/>
      <c r="S29" s="179"/>
      <c r="T29" s="179"/>
      <c r="U29" s="179"/>
      <c r="V29" s="179"/>
      <c r="W29" s="662"/>
      <c r="X29" s="655"/>
      <c r="Y29" s="667">
        <v>1</v>
      </c>
      <c r="AJ29" s="616"/>
      <c r="AL29" s="616"/>
      <c r="AM29" s="616"/>
      <c r="AN29" s="616"/>
      <c r="AO29" s="616"/>
      <c r="AP29" s="616"/>
      <c r="AQ29" s="616"/>
      <c r="AR29" s="616"/>
      <c r="AS29" s="616"/>
      <c r="AT29" s="616"/>
      <c r="AU29" s="616"/>
      <c r="AV29" s="616"/>
      <c r="AW29" s="616"/>
      <c r="AX29" s="616"/>
    </row>
    <row r="30" spans="1:94" s="614" customFormat="1" ht="27.6" customHeight="1" thickBot="1">
      <c r="A30" s="1193" t="s">
        <v>1555</v>
      </c>
      <c r="B30" s="1194"/>
      <c r="C30" s="1194"/>
      <c r="D30" s="1194"/>
      <c r="E30" s="1194"/>
      <c r="F30" s="1194"/>
      <c r="G30" s="1194"/>
      <c r="H30" s="1194"/>
      <c r="I30" s="1194"/>
      <c r="J30" s="654"/>
      <c r="K30" s="654"/>
      <c r="L30" s="654"/>
      <c r="M30" s="654"/>
      <c r="N30" s="181">
        <v>1</v>
      </c>
      <c r="O30" s="182"/>
      <c r="P30" s="1194" t="s">
        <v>1387</v>
      </c>
      <c r="Q30" s="1194"/>
      <c r="R30" s="1194"/>
      <c r="S30" s="1194"/>
      <c r="T30" s="1194"/>
      <c r="U30" s="1194"/>
      <c r="V30" s="1194"/>
      <c r="W30" s="663"/>
      <c r="X30" s="656"/>
      <c r="Y30" s="667">
        <v>1</v>
      </c>
      <c r="AJ30" s="616"/>
      <c r="AL30" s="616"/>
      <c r="AM30" s="616"/>
      <c r="AN30" s="616"/>
      <c r="AO30" s="616"/>
      <c r="AP30" s="616"/>
      <c r="AQ30" s="616"/>
      <c r="AR30" s="616"/>
      <c r="AS30" s="616"/>
      <c r="AT30" s="616"/>
      <c r="AU30" s="616"/>
      <c r="AV30" s="616"/>
      <c r="AW30" s="616"/>
      <c r="AX30" s="616"/>
    </row>
    <row r="31" spans="1:94" ht="14.25" hidden="1" thickTop="1">
      <c r="N31" s="632">
        <v>1</v>
      </c>
    </row>
    <row r="32" spans="1:94" ht="14.25" hidden="1" thickTop="1">
      <c r="N32" s="632">
        <v>1</v>
      </c>
    </row>
    <row r="33" spans="1:50" s="622" customFormat="1" ht="14.25" hidden="1" thickTop="1">
      <c r="A33" s="621"/>
      <c r="N33" s="622">
        <v>1</v>
      </c>
      <c r="AJ33" s="623"/>
      <c r="AL33" s="623"/>
      <c r="AM33" s="623"/>
      <c r="AN33" s="623"/>
      <c r="AO33" s="623"/>
      <c r="AP33" s="623"/>
      <c r="AQ33" s="623"/>
      <c r="AR33" s="623"/>
      <c r="AS33" s="623"/>
      <c r="AT33" s="623"/>
      <c r="AU33" s="623"/>
      <c r="AV33" s="623"/>
      <c r="AW33" s="623"/>
      <c r="AX33" s="623"/>
    </row>
    <row r="34" spans="1:50" s="622" customFormat="1" ht="18.75" hidden="1" thickTop="1">
      <c r="A34" s="621"/>
      <c r="N34" s="637" t="b">
        <f>EXACT(SUM(B28:M28),N28)</f>
        <v>1</v>
      </c>
      <c r="O34" s="638"/>
      <c r="P34" s="638"/>
      <c r="Q34" s="638"/>
      <c r="R34" s="638"/>
      <c r="S34" s="638"/>
      <c r="T34" s="638"/>
      <c r="U34" s="638"/>
      <c r="V34" s="1192" t="b">
        <f ca="1">EXACT(SUM(O28:V28),W28)</f>
        <v>1</v>
      </c>
      <c r="W34" s="1192"/>
      <c r="X34" s="638" t="b">
        <f ca="1">EXACT(SUM(N28,-W28),X28)</f>
        <v>1</v>
      </c>
      <c r="Y34" s="650"/>
      <c r="AJ34" s="623"/>
      <c r="AL34" s="623"/>
      <c r="AM34" s="623"/>
      <c r="AN34" s="623"/>
      <c r="AO34" s="623"/>
      <c r="AP34" s="623"/>
      <c r="AQ34" s="623"/>
      <c r="AR34" s="623"/>
      <c r="AS34" s="623"/>
      <c r="AT34" s="623"/>
      <c r="AU34" s="623"/>
      <c r="AV34" s="623"/>
      <c r="AW34" s="623"/>
      <c r="AX34" s="623"/>
    </row>
    <row r="35" spans="1:50" s="622" customFormat="1" ht="14.25" thickTop="1">
      <c r="A35" s="621"/>
      <c r="AJ35" s="623"/>
      <c r="AL35" s="623"/>
      <c r="AM35" s="623"/>
      <c r="AN35" s="623"/>
      <c r="AO35" s="623"/>
      <c r="AP35" s="623"/>
      <c r="AQ35" s="623"/>
      <c r="AR35" s="623"/>
      <c r="AS35" s="623"/>
      <c r="AT35" s="623"/>
      <c r="AU35" s="623"/>
      <c r="AV35" s="623"/>
      <c r="AW35" s="623"/>
      <c r="AX35" s="623"/>
    </row>
    <row r="36" spans="1:50" s="622" customFormat="1">
      <c r="A36" s="621"/>
      <c r="AJ36" s="623"/>
      <c r="AL36" s="623"/>
      <c r="AM36" s="623"/>
      <c r="AN36" s="623"/>
      <c r="AO36" s="623"/>
      <c r="AP36" s="623"/>
      <c r="AQ36" s="623"/>
      <c r="AR36" s="623"/>
      <c r="AS36" s="623"/>
      <c r="AT36" s="623"/>
      <c r="AU36" s="623"/>
      <c r="AV36" s="623"/>
      <c r="AW36" s="623"/>
      <c r="AX36" s="623"/>
    </row>
    <row r="37" spans="1:50" s="626" customFormat="1" ht="13.9" customHeight="1">
      <c r="A37" s="624"/>
      <c r="B37" s="625"/>
      <c r="G37" s="627"/>
      <c r="AJ37" s="623"/>
      <c r="AL37" s="623"/>
      <c r="AM37" s="623"/>
      <c r="AN37" s="623"/>
      <c r="AO37" s="623"/>
      <c r="AP37" s="623"/>
      <c r="AQ37" s="623"/>
      <c r="AR37" s="623"/>
      <c r="AS37" s="623"/>
      <c r="AT37" s="623"/>
      <c r="AU37" s="623"/>
      <c r="AV37" s="623"/>
      <c r="AW37" s="623"/>
      <c r="AX37" s="623"/>
    </row>
    <row r="38" spans="1:50" s="626" customFormat="1" ht="27">
      <c r="A38" s="624"/>
      <c r="B38" s="628"/>
      <c r="C38" s="628"/>
      <c r="D38" s="628"/>
      <c r="E38" s="628"/>
      <c r="F38" s="629"/>
      <c r="G38" s="629"/>
      <c r="H38" s="629"/>
      <c r="I38" s="629"/>
      <c r="J38" s="629"/>
      <c r="K38" s="629"/>
      <c r="L38" s="629"/>
      <c r="M38" s="629"/>
      <c r="N38" s="629"/>
      <c r="O38" s="630"/>
      <c r="AJ38" s="623"/>
      <c r="AL38" s="623"/>
      <c r="AM38" s="623"/>
      <c r="AN38" s="623"/>
      <c r="AO38" s="623"/>
      <c r="AP38" s="623"/>
      <c r="AQ38" s="623"/>
      <c r="AR38" s="623"/>
      <c r="AS38" s="623"/>
      <c r="AT38" s="623"/>
      <c r="AU38" s="623"/>
      <c r="AV38" s="623"/>
      <c r="AW38" s="623"/>
      <c r="AX38" s="623"/>
    </row>
    <row r="39" spans="1:50">
      <c r="B39" s="627"/>
      <c r="C39" s="627"/>
      <c r="D39" s="627"/>
      <c r="E39" s="627"/>
      <c r="F39" s="627"/>
      <c r="G39" s="627"/>
      <c r="H39" s="627"/>
      <c r="I39" s="627"/>
      <c r="J39" s="627"/>
      <c r="K39" s="627"/>
      <c r="L39" s="627"/>
      <c r="M39" s="627"/>
      <c r="N39" s="627"/>
    </row>
    <row r="41" spans="1:50">
      <c r="B41" s="627"/>
      <c r="C41" s="627"/>
      <c r="D41" s="627"/>
      <c r="E41" s="627"/>
      <c r="F41" s="633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34"/>
      <c r="S41" s="634"/>
      <c r="T41" s="627"/>
      <c r="U41" s="627"/>
      <c r="V41" s="627"/>
      <c r="W41" s="627"/>
      <c r="X41" s="627"/>
      <c r="Y41" s="627"/>
    </row>
    <row r="42" spans="1:50">
      <c r="B42" s="635"/>
      <c r="C42" s="635"/>
      <c r="D42" s="635"/>
      <c r="E42" s="635"/>
      <c r="F42" s="635"/>
      <c r="G42" s="635"/>
      <c r="H42" s="635"/>
      <c r="I42" s="635"/>
      <c r="J42" s="635"/>
      <c r="K42" s="635"/>
    </row>
  </sheetData>
  <sheetProtection password="F90B" sheet="1" objects="1" scenarios="1" formatCells="0" formatColumns="0" formatRows="0" insertColumns="0" insertRows="0" autoFilter="0"/>
  <protectedRanges>
    <protectedRange password="CF7A" sqref="D20:M27" name="Range3"/>
    <protectedRange password="CF7A" sqref="B4:M21" name="Range1"/>
    <protectedRange password="CF7A" sqref="O4:V27" name="Range2"/>
  </protectedRanges>
  <autoFilter ref="Y3:Y34">
    <filterColumn colId="0">
      <customFilters>
        <customFilter operator="notEqual" val=" "/>
      </customFilters>
    </filterColumn>
  </autoFilter>
  <customSheetViews>
    <customSheetView guid="{AF8DD0C3-82AF-40F4-9518-B58C2E7D25DB}" showPageBreaks="1" printArea="1" filter="1" showAutoFilter="1" hiddenColumns="1" view="pageBreakPreview">
      <selection activeCell="O9" sqref="O9"/>
      <pageMargins left="0.5" right="0" top="1.1043307090000001" bottom="0.60433070899999997" header="0.511811023622047" footer="0.511811023622047"/>
      <printOptions horizontalCentered="1"/>
      <pageSetup paperSize="5" scale="90" orientation="landscape" horizontalDpi="300" verticalDpi="300" r:id="rId1"/>
      <headerFooter alignWithMargins="0"/>
      <autoFilter ref="X3:X33">
        <filterColumn colId="0">
          <customFilters>
            <customFilter operator="notEqual" val=" "/>
          </customFilters>
        </filterColumn>
      </autoFilter>
    </customSheetView>
    <customSheetView guid="{42E2D281-D8CE-4199-94CF-E6DFE3EDCACD}" showPageBreaks="1" printArea="1" showAutoFilter="1" hiddenColumns="1" view="pageBreakPreview">
      <selection activeCell="D7" sqref="D7"/>
      <pageMargins left="0.31496062992125984" right="0.31496062992125984" top="0.35433070866141736" bottom="0.35433070866141736" header="0.51181102362204722" footer="0.51181102362204722"/>
      <printOptions horizontalCentered="1"/>
      <pageSetup paperSize="5" scale="85" orientation="landscape" blackAndWhite="1" horizontalDpi="300" verticalDpi="300" r:id="rId2"/>
      <headerFooter alignWithMargins="0"/>
      <autoFilter ref="B4:AC38"/>
    </customSheetView>
    <customSheetView guid="{79BDAD5E-470D-413B-AE3A-BBB122EFD8E5}" filter="1" showAutoFilter="1" hiddenColumns="1">
      <selection sqref="A1:W1"/>
      <pageMargins left="0" right="0" top="0.51181102362204722" bottom="0.39370078740157483" header="0.51181102362204722" footer="0.51181102362204722"/>
      <printOptions horizontalCentered="1"/>
      <pageSetup paperSize="5" orientation="landscape" horizontalDpi="300" verticalDpi="300" r:id="rId3"/>
      <headerFooter alignWithMargins="0"/>
      <autoFilter ref="X3:X33">
        <filterColumn colId="0">
          <customFilters>
            <customFilter operator="notEqual" val=" "/>
          </customFilters>
        </filterColumn>
      </autoFilter>
    </customSheetView>
  </customSheetViews>
  <mergeCells count="13">
    <mergeCell ref="A1:W1"/>
    <mergeCell ref="X2:X3"/>
    <mergeCell ref="B2:N2"/>
    <mergeCell ref="O2:W2"/>
    <mergeCell ref="V34:W34"/>
    <mergeCell ref="A30:I30"/>
    <mergeCell ref="A22:C22"/>
    <mergeCell ref="A26:C26"/>
    <mergeCell ref="A27:C27"/>
    <mergeCell ref="A23:C23"/>
    <mergeCell ref="A24:C24"/>
    <mergeCell ref="A25:C25"/>
    <mergeCell ref="P30:V30"/>
  </mergeCells>
  <phoneticPr fontId="9" type="noConversion"/>
  <conditionalFormatting sqref="A1:A30 X1:X20 Y1 B2:O20 P3:W20 P29:Q29 R29:X30 B29:O30 B21:X28 Y4:Y30">
    <cfRule type="cellIs" dxfId="8" priority="6" operator="equal">
      <formula>0</formula>
    </cfRule>
  </conditionalFormatting>
  <conditionalFormatting sqref="Y1:Y3">
    <cfRule type="iconSet" priority="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Y3">
    <cfRule type="cellIs" dxfId="7" priority="1" operator="equal">
      <formula>0</formula>
    </cfRule>
  </conditionalFormatting>
  <dataValidations count="2">
    <dataValidation type="list" allowBlank="1" showInputMessage="1" showErrorMessage="1" sqref="AB8">
      <formula1>$AG$1:$AG$2</formula1>
    </dataValidation>
    <dataValidation type="list" allowBlank="1" showInputMessage="1" showErrorMessage="1" sqref="AB10:AB12">
      <formula1>$A$4:$A$15</formula1>
    </dataValidation>
  </dataValidations>
  <printOptions horizontalCentered="1"/>
  <pageMargins left="0" right="0" top="0.511811023622047" bottom="0.39370078740157499" header="0.511811023622047" footer="0.511811023622047"/>
  <pageSetup paperSize="5" scale="95" orientation="landscape" horizontalDpi="300" verticalDpi="300" r:id="rId4"/>
  <headerFooter alignWithMargins="0"/>
  <drawing r:id="rId5"/>
  <legacy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 filterMode="1"/>
  <dimension ref="A1:R174"/>
  <sheetViews>
    <sheetView view="pageBreakPreview" zoomScaleSheetLayoutView="100" workbookViewId="0">
      <selection activeCell="C24" sqref="C24:G24"/>
    </sheetView>
  </sheetViews>
  <sheetFormatPr defaultRowHeight="15"/>
  <cols>
    <col min="1" max="1" width="4.7109375" style="381" customWidth="1"/>
    <col min="2" max="2" width="3.140625" style="381" customWidth="1"/>
    <col min="3" max="3" width="3.85546875" style="381" customWidth="1"/>
    <col min="4" max="4" width="12.5703125" style="381" customWidth="1"/>
    <col min="5" max="5" width="16.42578125" style="381" customWidth="1"/>
    <col min="6" max="6" width="12" style="381" customWidth="1"/>
    <col min="7" max="7" width="8.85546875" style="381" customWidth="1"/>
    <col min="8" max="8" width="3.28515625" style="381" customWidth="1"/>
    <col min="9" max="9" width="12.140625" style="410" customWidth="1"/>
    <col min="10" max="10" width="5.42578125" style="381" customWidth="1"/>
    <col min="11" max="11" width="12.7109375" style="381" customWidth="1"/>
    <col min="12" max="12" width="4" style="420" customWidth="1"/>
    <col min="13" max="13" width="12.42578125" style="381" customWidth="1"/>
    <col min="14" max="14" width="10.7109375" style="541" customWidth="1"/>
    <col min="15" max="15" width="9.140625" style="541"/>
    <col min="16" max="16384" width="9.140625" style="381"/>
  </cols>
  <sheetData>
    <row r="1" spans="1:18" ht="18.75" thickTop="1">
      <c r="A1" s="1272" t="s">
        <v>1607</v>
      </c>
      <c r="B1" s="1273"/>
      <c r="C1" s="1273"/>
      <c r="D1" s="1273"/>
      <c r="E1" s="1273"/>
      <c r="F1" s="1273"/>
      <c r="G1" s="1273"/>
      <c r="H1" s="1273"/>
      <c r="I1" s="1273"/>
      <c r="J1" s="1273"/>
      <c r="K1" s="1273"/>
      <c r="L1" s="1273"/>
      <c r="M1" s="1274"/>
    </row>
    <row r="2" spans="1:18">
      <c r="A2" s="1275" t="s">
        <v>1608</v>
      </c>
      <c r="B2" s="1276"/>
      <c r="C2" s="1276"/>
      <c r="D2" s="1276"/>
      <c r="E2" s="1276"/>
      <c r="F2" s="1276"/>
      <c r="G2" s="1276"/>
      <c r="H2" s="1276"/>
      <c r="I2" s="1276"/>
      <c r="J2" s="1276"/>
      <c r="K2" s="1276"/>
      <c r="L2" s="1276"/>
      <c r="M2" s="1277"/>
    </row>
    <row r="3" spans="1:18" ht="15.75">
      <c r="A3" s="1278" t="s">
        <v>1609</v>
      </c>
      <c r="B3" s="1279"/>
      <c r="C3" s="1279"/>
      <c r="D3" s="1279"/>
      <c r="E3" s="1279"/>
      <c r="F3" s="1279"/>
      <c r="G3" s="1279"/>
      <c r="H3" s="1279"/>
      <c r="I3" s="1279"/>
      <c r="J3" s="1279"/>
      <c r="K3" s="1279"/>
      <c r="L3" s="1279"/>
      <c r="M3" s="1280"/>
    </row>
    <row r="4" spans="1:18" ht="15" customHeight="1">
      <c r="A4" s="1281" t="s">
        <v>1610</v>
      </c>
      <c r="B4" s="1282"/>
      <c r="C4" s="1282"/>
      <c r="D4" s="1282"/>
      <c r="E4" s="1282"/>
      <c r="F4" s="1282"/>
      <c r="G4" s="1282"/>
      <c r="H4" s="1282"/>
      <c r="I4" s="1282"/>
      <c r="J4" s="1282"/>
      <c r="K4" s="1282"/>
      <c r="L4" s="1282"/>
      <c r="M4" s="1283"/>
    </row>
    <row r="5" spans="1:18" ht="15" customHeight="1">
      <c r="A5" s="1296" t="s">
        <v>1611</v>
      </c>
      <c r="B5" s="1297"/>
      <c r="C5" s="1297"/>
      <c r="D5" s="1297"/>
      <c r="E5" s="1297"/>
      <c r="F5" s="1297"/>
      <c r="G5" s="1298" t="s">
        <v>1612</v>
      </c>
      <c r="H5" s="1298"/>
      <c r="I5" s="1298"/>
      <c r="J5" s="1298"/>
      <c r="K5" s="1298"/>
      <c r="L5" s="1298"/>
      <c r="M5" s="1299"/>
    </row>
    <row r="6" spans="1:18" ht="66.75" customHeight="1">
      <c r="A6" s="1284" t="str">
        <f>UPPER(CONCATENATE(Main!BZ26,", ",Main!C22,", ",Main!C23))</f>
        <v>SMT: P.PARVATHI, PRINCIPAL, STPM GOVT IASE, NELLORE</v>
      </c>
      <c r="B6" s="1285"/>
      <c r="C6" s="1285"/>
      <c r="D6" s="1285"/>
      <c r="E6" s="1285"/>
      <c r="F6" s="1286"/>
      <c r="G6" s="1287" t="str">
        <f>UPPER(CONCATENATE(Main!C4,", ",Main!C5,", ",Main!C6,", ",Main!C8," ",Main!B8,", ",Main!C7," ",Main!B7))</f>
        <v>ANURADHA KORA, SCHOOL ASSISTANT ( BIOLOGICAL SCIENCE ), R.S.R.M.MCHS, NELLORE, NELLORE MANDAL, SRI POTTISREERAMULU NELLORE DISTRICT</v>
      </c>
      <c r="H6" s="1288"/>
      <c r="I6" s="1288"/>
      <c r="J6" s="1288"/>
      <c r="K6" s="1288"/>
      <c r="L6" s="1288"/>
      <c r="M6" s="1289"/>
      <c r="N6" s="540" t="s">
        <v>1734</v>
      </c>
    </row>
    <row r="7" spans="1:18" ht="15" customHeight="1">
      <c r="A7" s="1266" t="s">
        <v>1613</v>
      </c>
      <c r="B7" s="1267"/>
      <c r="C7" s="1267"/>
      <c r="D7" s="1268"/>
      <c r="E7" s="1290" t="s">
        <v>1614</v>
      </c>
      <c r="F7" s="1290"/>
      <c r="G7" s="1292" t="s">
        <v>1615</v>
      </c>
      <c r="H7" s="1292"/>
      <c r="I7" s="1292"/>
      <c r="J7" s="1292"/>
      <c r="K7" s="1292"/>
      <c r="L7" s="1292"/>
      <c r="M7" s="1293"/>
      <c r="N7" s="941"/>
    </row>
    <row r="8" spans="1:18" s="382" customFormat="1" ht="23.25" customHeight="1">
      <c r="A8" s="1269" t="s">
        <v>1735</v>
      </c>
      <c r="B8" s="1270"/>
      <c r="C8" s="1270"/>
      <c r="D8" s="1271"/>
      <c r="E8" s="1291" t="str">
        <f>Main!C25</f>
        <v>HYDS19660E</v>
      </c>
      <c r="F8" s="1291"/>
      <c r="G8" s="1294" t="str">
        <f>Main!C11</f>
        <v>BXCPK0706P</v>
      </c>
      <c r="H8" s="1294"/>
      <c r="I8" s="1294"/>
      <c r="J8" s="1294"/>
      <c r="K8" s="1294"/>
      <c r="L8" s="1294"/>
      <c r="M8" s="1295"/>
      <c r="N8" s="542">
        <v>1</v>
      </c>
      <c r="O8" s="710"/>
    </row>
    <row r="9" spans="1:18" ht="15" customHeight="1">
      <c r="A9" s="1304" t="s">
        <v>1616</v>
      </c>
      <c r="B9" s="1305"/>
      <c r="C9" s="1305"/>
      <c r="D9" s="1305"/>
      <c r="E9" s="1305"/>
      <c r="F9" s="1305"/>
      <c r="G9" s="1306"/>
      <c r="H9" s="1310" t="s">
        <v>1617</v>
      </c>
      <c r="I9" s="1310"/>
      <c r="J9" s="1310"/>
      <c r="K9" s="1311" t="s">
        <v>52</v>
      </c>
      <c r="L9" s="1311"/>
      <c r="M9" s="1312"/>
      <c r="N9" s="542">
        <v>1</v>
      </c>
    </row>
    <row r="10" spans="1:18" ht="21" customHeight="1">
      <c r="A10" s="1314" t="s">
        <v>1769</v>
      </c>
      <c r="B10" s="1315"/>
      <c r="C10" s="1315"/>
      <c r="D10" s="1315"/>
      <c r="E10" s="1315"/>
      <c r="F10" s="1315"/>
      <c r="G10" s="1316"/>
      <c r="H10" s="1310"/>
      <c r="I10" s="1310"/>
      <c r="J10" s="1310"/>
      <c r="K10" s="1311"/>
      <c r="L10" s="1311"/>
      <c r="M10" s="1312"/>
      <c r="N10" s="542">
        <v>1</v>
      </c>
    </row>
    <row r="11" spans="1:18" ht="30" customHeight="1">
      <c r="A11" s="1317"/>
      <c r="B11" s="1318"/>
      <c r="C11" s="1318"/>
      <c r="D11" s="1318"/>
      <c r="E11" s="1318"/>
      <c r="F11" s="1318"/>
      <c r="G11" s="1319"/>
      <c r="H11" s="1311" t="str">
        <f>Main!CC10</f>
        <v>2016-2017</v>
      </c>
      <c r="I11" s="1311"/>
      <c r="J11" s="1311"/>
      <c r="K11" s="1307" t="s">
        <v>1618</v>
      </c>
      <c r="L11" s="1307"/>
      <c r="M11" s="373" t="s">
        <v>1619</v>
      </c>
      <c r="N11" s="542">
        <v>1</v>
      </c>
    </row>
    <row r="12" spans="1:18" ht="18.75">
      <c r="A12" s="1300" t="s">
        <v>1768</v>
      </c>
      <c r="B12" s="1301"/>
      <c r="C12" s="1301"/>
      <c r="D12" s="1301"/>
      <c r="E12" s="1301"/>
      <c r="F12" s="1301"/>
      <c r="G12" s="1302"/>
      <c r="H12" s="1311"/>
      <c r="I12" s="1311"/>
      <c r="J12" s="1311"/>
      <c r="K12" s="1313">
        <f>Main!BL5</f>
        <v>42095</v>
      </c>
      <c r="L12" s="1313"/>
      <c r="M12" s="374">
        <f>EOMONTH(Main!BL16,0)</f>
        <v>42460</v>
      </c>
      <c r="N12" s="542">
        <v>1</v>
      </c>
    </row>
    <row r="13" spans="1:18" ht="18.75">
      <c r="A13" s="1210" t="s">
        <v>1620</v>
      </c>
      <c r="B13" s="1211"/>
      <c r="C13" s="1211"/>
      <c r="D13" s="1211"/>
      <c r="E13" s="1211"/>
      <c r="F13" s="1211"/>
      <c r="G13" s="1211"/>
      <c r="H13" s="1211"/>
      <c r="I13" s="1211"/>
      <c r="J13" s="1211"/>
      <c r="K13" s="1211"/>
      <c r="L13" s="1211"/>
      <c r="M13" s="1303"/>
      <c r="N13" s="542">
        <v>1</v>
      </c>
    </row>
    <row r="14" spans="1:18" ht="48.75" customHeight="1">
      <c r="A14" s="1210" t="s">
        <v>1421</v>
      </c>
      <c r="B14" s="1211"/>
      <c r="C14" s="1211"/>
      <c r="D14" s="1204" t="s">
        <v>1621</v>
      </c>
      <c r="E14" s="1204"/>
      <c r="F14" s="1204" t="s">
        <v>1944</v>
      </c>
      <c r="G14" s="1204"/>
      <c r="H14" s="1204"/>
      <c r="I14" s="1204" t="s">
        <v>1942</v>
      </c>
      <c r="J14" s="1204"/>
      <c r="K14" s="1204"/>
      <c r="L14" s="1308" t="s">
        <v>1943</v>
      </c>
      <c r="M14" s="1309"/>
      <c r="N14" s="542">
        <v>1</v>
      </c>
      <c r="P14" s="761"/>
      <c r="Q14" s="761"/>
      <c r="R14" s="761"/>
    </row>
    <row r="15" spans="1:18" ht="18.75">
      <c r="A15" s="1210" t="s">
        <v>1622</v>
      </c>
      <c r="B15" s="1211"/>
      <c r="C15" s="1211"/>
      <c r="D15" s="1208" t="str">
        <f>IF(I15=0,"",'Advance Tax'!H3)</f>
        <v/>
      </c>
      <c r="E15" s="1208"/>
      <c r="F15" s="1207">
        <f>SUM(Statement!N4:N6)</f>
        <v>175044</v>
      </c>
      <c r="G15" s="1207"/>
      <c r="H15" s="1207"/>
      <c r="I15" s="1205">
        <f>SUM('Advance Tax'!D3:D5)</f>
        <v>0</v>
      </c>
      <c r="J15" s="1205"/>
      <c r="K15" s="1205"/>
      <c r="L15" s="1389">
        <f>I15</f>
        <v>0</v>
      </c>
      <c r="M15" s="1390"/>
      <c r="N15" s="542">
        <v>1</v>
      </c>
    </row>
    <row r="16" spans="1:18" ht="18.75">
      <c r="A16" s="1210" t="s">
        <v>1623</v>
      </c>
      <c r="B16" s="1211"/>
      <c r="C16" s="1211"/>
      <c r="D16" s="1208" t="str">
        <f>IF(I16=0,"",'Advance Tax'!H6)</f>
        <v/>
      </c>
      <c r="E16" s="1208"/>
      <c r="F16" s="1207">
        <f>SUM(Statement!N7:N9)</f>
        <v>200400</v>
      </c>
      <c r="G16" s="1207"/>
      <c r="H16" s="1207"/>
      <c r="I16" s="1205">
        <f>SUM('Advance Tax'!D6:D8)</f>
        <v>0</v>
      </c>
      <c r="J16" s="1205"/>
      <c r="K16" s="1205"/>
      <c r="L16" s="1389">
        <f>I16</f>
        <v>0</v>
      </c>
      <c r="M16" s="1390"/>
      <c r="N16" s="542">
        <v>1</v>
      </c>
    </row>
    <row r="17" spans="1:14" ht="18.75">
      <c r="A17" s="1210" t="s">
        <v>1624</v>
      </c>
      <c r="B17" s="1211"/>
      <c r="C17" s="1211"/>
      <c r="D17" s="1208" t="str">
        <f>IF(I17=0,"",'Advance Tax'!H9)</f>
        <v/>
      </c>
      <c r="E17" s="1208"/>
      <c r="F17" s="1207">
        <f>SUM(Statement!N10:N12)</f>
        <v>218799</v>
      </c>
      <c r="G17" s="1207"/>
      <c r="H17" s="1207"/>
      <c r="I17" s="1205">
        <f>SUM('Advance Tax'!D9:D11)</f>
        <v>0</v>
      </c>
      <c r="J17" s="1205"/>
      <c r="K17" s="1205"/>
      <c r="L17" s="1389">
        <f>I17</f>
        <v>0</v>
      </c>
      <c r="M17" s="1390"/>
      <c r="N17" s="542">
        <v>1</v>
      </c>
    </row>
    <row r="18" spans="1:14" ht="18.75">
      <c r="A18" s="1212" t="s">
        <v>1625</v>
      </c>
      <c r="B18" s="1211"/>
      <c r="C18" s="1211"/>
      <c r="D18" s="1209">
        <f ca="1">IF(I18=0,"",'Advance Tax'!H12)</f>
        <v>0</v>
      </c>
      <c r="E18" s="1209"/>
      <c r="F18" s="1207">
        <f>SUM(Statement!N13:N15)</f>
        <v>220149</v>
      </c>
      <c r="G18" s="1207"/>
      <c r="H18" s="1207"/>
      <c r="I18" s="1205">
        <f ca="1">SUM('Advance Tax'!D12:D14)</f>
        <v>57363</v>
      </c>
      <c r="J18" s="1205"/>
      <c r="K18" s="1205"/>
      <c r="L18" s="1389">
        <f ca="1">I18</f>
        <v>57363</v>
      </c>
      <c r="M18" s="1390"/>
      <c r="N18" s="542">
        <v>1</v>
      </c>
    </row>
    <row r="19" spans="1:14" ht="18.75" customHeight="1">
      <c r="A19" s="1198" t="s">
        <v>31</v>
      </c>
      <c r="B19" s="1199"/>
      <c r="C19" s="1199"/>
      <c r="D19" s="1200"/>
      <c r="E19" s="1200"/>
      <c r="F19" s="1201">
        <f>SUM(F15:H18)</f>
        <v>814392</v>
      </c>
      <c r="G19" s="1202"/>
      <c r="H19" s="1203"/>
      <c r="I19" s="1206">
        <f ca="1">SUM(I15:K18)</f>
        <v>57363</v>
      </c>
      <c r="J19" s="1206"/>
      <c r="K19" s="1206"/>
      <c r="L19" s="1408">
        <f ca="1">SUM(L15:M18)</f>
        <v>57363</v>
      </c>
      <c r="M19" s="1390"/>
      <c r="N19" s="542">
        <v>1</v>
      </c>
    </row>
    <row r="20" spans="1:14" ht="18.75">
      <c r="A20" s="1198" t="s">
        <v>1626</v>
      </c>
      <c r="B20" s="1374"/>
      <c r="C20" s="1374"/>
      <c r="D20" s="1374"/>
      <c r="E20" s="1374"/>
      <c r="F20" s="1374"/>
      <c r="G20" s="1374"/>
      <c r="H20" s="1374"/>
      <c r="I20" s="1374"/>
      <c r="J20" s="1374"/>
      <c r="K20" s="1374"/>
      <c r="L20" s="1374"/>
      <c r="M20" s="1375"/>
      <c r="N20" s="542">
        <v>1</v>
      </c>
    </row>
    <row r="21" spans="1:14" ht="18.75">
      <c r="A21" s="1376" t="s">
        <v>1627</v>
      </c>
      <c r="B21" s="1377"/>
      <c r="C21" s="1377"/>
      <c r="D21" s="1377"/>
      <c r="E21" s="1377"/>
      <c r="F21" s="1377"/>
      <c r="G21" s="1377"/>
      <c r="H21" s="1377"/>
      <c r="I21" s="1377"/>
      <c r="J21" s="1377"/>
      <c r="K21" s="1377"/>
      <c r="L21" s="1377"/>
      <c r="M21" s="1378"/>
      <c r="N21" s="542">
        <v>1</v>
      </c>
    </row>
    <row r="22" spans="1:14" ht="18.75">
      <c r="A22" s="375">
        <v>1</v>
      </c>
      <c r="B22" s="1379" t="s">
        <v>1628</v>
      </c>
      <c r="C22" s="1379"/>
      <c r="D22" s="1379"/>
      <c r="E22" s="1379"/>
      <c r="F22" s="1379"/>
      <c r="G22" s="1380"/>
      <c r="H22" s="351" t="str">
        <f t="shared" ref="H22:H43" si="0">IF(I22=0,"","Rs:")</f>
        <v/>
      </c>
      <c r="I22" s="403"/>
      <c r="J22" s="351" t="str">
        <f t="shared" ref="J22:J46" si="1">IF(K22=0,"","Rs:")</f>
        <v/>
      </c>
      <c r="K22" s="403"/>
      <c r="L22" s="414" t="str">
        <f t="shared" ref="L22:L43" si="2">IF(M22=0,"","Rs:")</f>
        <v/>
      </c>
      <c r="M22" s="412"/>
      <c r="N22" s="542">
        <v>1</v>
      </c>
    </row>
    <row r="23" spans="1:14" ht="15.75" customHeight="1">
      <c r="A23" s="337"/>
      <c r="B23" s="400" t="s">
        <v>1629</v>
      </c>
      <c r="C23" s="1320" t="s">
        <v>1630</v>
      </c>
      <c r="D23" s="1321"/>
      <c r="E23" s="1321"/>
      <c r="F23" s="1321"/>
      <c r="G23" s="1321"/>
      <c r="H23" s="351" t="str">
        <f t="shared" si="0"/>
        <v>Rs:</v>
      </c>
      <c r="I23" s="597">
        <f>SB!K17</f>
        <v>895218</v>
      </c>
      <c r="J23" s="351" t="str">
        <f t="shared" si="1"/>
        <v/>
      </c>
      <c r="K23" s="600"/>
      <c r="L23" s="414" t="str">
        <f t="shared" si="2"/>
        <v/>
      </c>
      <c r="M23" s="603"/>
      <c r="N23" s="542">
        <v>1</v>
      </c>
    </row>
    <row r="24" spans="1:14" ht="22.5" customHeight="1">
      <c r="A24" s="337"/>
      <c r="B24" s="400" t="s">
        <v>1631</v>
      </c>
      <c r="C24" s="1320" t="s">
        <v>1632</v>
      </c>
      <c r="D24" s="1321"/>
      <c r="E24" s="1321"/>
      <c r="F24" s="1321"/>
      <c r="G24" s="1321"/>
      <c r="H24" s="351" t="str">
        <f t="shared" si="0"/>
        <v/>
      </c>
      <c r="I24" s="597"/>
      <c r="J24" s="351" t="str">
        <f t="shared" si="1"/>
        <v/>
      </c>
      <c r="K24" s="600"/>
      <c r="L24" s="414" t="str">
        <f t="shared" si="2"/>
        <v/>
      </c>
      <c r="M24" s="603"/>
      <c r="N24" s="542">
        <v>1</v>
      </c>
    </row>
    <row r="25" spans="1:14" ht="27.75" customHeight="1">
      <c r="A25" s="337"/>
      <c r="B25" s="400" t="s">
        <v>1633</v>
      </c>
      <c r="C25" s="1320" t="s">
        <v>1634</v>
      </c>
      <c r="D25" s="1321"/>
      <c r="E25" s="1321"/>
      <c r="F25" s="1321"/>
      <c r="G25" s="1321"/>
      <c r="H25" s="351" t="str">
        <f t="shared" si="0"/>
        <v/>
      </c>
      <c r="I25" s="597"/>
      <c r="J25" s="351" t="str">
        <f t="shared" si="1"/>
        <v/>
      </c>
      <c r="K25" s="600"/>
      <c r="L25" s="414" t="str">
        <f t="shared" si="2"/>
        <v/>
      </c>
      <c r="M25" s="603"/>
      <c r="N25" s="542">
        <v>1</v>
      </c>
    </row>
    <row r="26" spans="1:14" ht="19.5" customHeight="1">
      <c r="A26" s="338"/>
      <c r="B26" s="400" t="s">
        <v>1635</v>
      </c>
      <c r="C26" s="1320" t="s">
        <v>6</v>
      </c>
      <c r="D26" s="1320"/>
      <c r="E26" s="1320"/>
      <c r="F26" s="401"/>
      <c r="G26" s="402"/>
      <c r="H26" s="351" t="str">
        <f t="shared" si="0"/>
        <v>Rs:</v>
      </c>
      <c r="I26" s="596">
        <f>SUM(I22:I25)</f>
        <v>895218</v>
      </c>
      <c r="J26" s="351" t="str">
        <f t="shared" si="1"/>
        <v>Rs:</v>
      </c>
      <c r="K26" s="597">
        <f>I26</f>
        <v>895218</v>
      </c>
      <c r="L26" s="414" t="str">
        <f t="shared" si="2"/>
        <v>Rs:</v>
      </c>
      <c r="M26" s="603">
        <f>K26</f>
        <v>895218</v>
      </c>
      <c r="N26" s="542">
        <v>1</v>
      </c>
    </row>
    <row r="27" spans="1:14" ht="15" customHeight="1">
      <c r="A27" s="340">
        <v>2</v>
      </c>
      <c r="B27" s="1327" t="s">
        <v>1636</v>
      </c>
      <c r="C27" s="1327"/>
      <c r="D27" s="1327"/>
      <c r="E27" s="1327"/>
      <c r="F27" s="1327"/>
      <c r="G27" s="355" t="s">
        <v>1736</v>
      </c>
      <c r="H27" s="351" t="str">
        <f t="shared" si="0"/>
        <v/>
      </c>
      <c r="I27" s="597"/>
      <c r="J27" s="351" t="str">
        <f t="shared" si="1"/>
        <v/>
      </c>
      <c r="K27" s="601"/>
      <c r="L27" s="414" t="str">
        <f t="shared" si="2"/>
        <v/>
      </c>
      <c r="M27" s="603"/>
      <c r="N27" s="542">
        <v>1</v>
      </c>
    </row>
    <row r="28" spans="1:14" ht="15" customHeight="1">
      <c r="A28" s="340"/>
      <c r="B28" s="357" t="str">
        <f>IF(C28="","",VLOOKUP(LOWER(SB!B19),SB!$Q$10:$S$22,3,FALSE))</f>
        <v>i)</v>
      </c>
      <c r="C28" s="1328" t="str">
        <f>SB!C19</f>
        <v>House Rent Allowance vis 10 (2A) 13( A)</v>
      </c>
      <c r="D28" s="1328"/>
      <c r="E28" s="1328"/>
      <c r="F28" s="1328"/>
      <c r="G28" s="353">
        <f>SB!G24</f>
        <v>29990</v>
      </c>
      <c r="H28" s="351" t="str">
        <f t="shared" si="0"/>
        <v>Rs:</v>
      </c>
      <c r="I28" s="597">
        <f>SB!I24</f>
        <v>29990</v>
      </c>
      <c r="J28" s="351" t="str">
        <f t="shared" si="1"/>
        <v/>
      </c>
      <c r="K28" s="601"/>
      <c r="L28" s="414" t="str">
        <f t="shared" si="2"/>
        <v/>
      </c>
      <c r="M28" s="603"/>
      <c r="N28" s="542">
        <f>IF(I28=0,"",1)</f>
        <v>1</v>
      </c>
    </row>
    <row r="29" spans="1:14" ht="15.75" hidden="1" customHeight="1">
      <c r="A29" s="383"/>
      <c r="B29" s="357" t="str">
        <f>IF(C29="","",VLOOKUP(LOWER(SB!B25),SB!$Q$10:$S$22,3,FALSE))</f>
        <v/>
      </c>
      <c r="C29" s="1322" t="str">
        <f>SB!C25</f>
        <v/>
      </c>
      <c r="D29" s="1322"/>
      <c r="E29" s="1322"/>
      <c r="F29" s="1322"/>
      <c r="G29" s="354">
        <f>SB!G25</f>
        <v>0</v>
      </c>
      <c r="H29" s="351" t="str">
        <f t="shared" si="0"/>
        <v/>
      </c>
      <c r="I29" s="403">
        <f>SB!I25</f>
        <v>0</v>
      </c>
      <c r="J29" s="351" t="str">
        <f t="shared" si="1"/>
        <v/>
      </c>
      <c r="K29" s="403"/>
      <c r="L29" s="414" t="str">
        <f t="shared" si="2"/>
        <v/>
      </c>
      <c r="M29" s="412"/>
      <c r="N29" s="542" t="str">
        <f>IF(I29=0,"",1)</f>
        <v/>
      </c>
    </row>
    <row r="30" spans="1:14" ht="15.75" hidden="1" customHeight="1">
      <c r="A30" s="383"/>
      <c r="B30" s="357" t="str">
        <f>IF(C30="","",VLOOKUP(LOWER(SB!B26),SB!$Q$10:$S$22,3,FALSE))</f>
        <v/>
      </c>
      <c r="C30" s="1322" t="str">
        <f>SB!C26</f>
        <v/>
      </c>
      <c r="D30" s="1322"/>
      <c r="E30" s="1322"/>
      <c r="F30" s="1322"/>
      <c r="G30" s="354">
        <f>SB!G26</f>
        <v>0</v>
      </c>
      <c r="H30" s="351" t="str">
        <f t="shared" si="0"/>
        <v/>
      </c>
      <c r="I30" s="403">
        <f>SB!I26</f>
        <v>0</v>
      </c>
      <c r="J30" s="351" t="str">
        <f t="shared" si="1"/>
        <v/>
      </c>
      <c r="K30" s="403"/>
      <c r="L30" s="414" t="str">
        <f t="shared" si="2"/>
        <v/>
      </c>
      <c r="M30" s="412"/>
      <c r="N30" s="542" t="str">
        <f>IF(I30=0,"",1)</f>
        <v/>
      </c>
    </row>
    <row r="31" spans="1:14" ht="15.75" hidden="1" customHeight="1">
      <c r="A31" s="383"/>
      <c r="B31" s="357" t="str">
        <f>IF(C31="","",VLOOKUP(LOWER(SB!B27),SB!$Q$10:$S$22,3,FALSE))</f>
        <v/>
      </c>
      <c r="C31" s="1322" t="str">
        <f>SB!C27</f>
        <v/>
      </c>
      <c r="D31" s="1322"/>
      <c r="E31" s="1322"/>
      <c r="F31" s="1322"/>
      <c r="G31" s="354">
        <f>SB!G27</f>
        <v>0</v>
      </c>
      <c r="H31" s="351" t="str">
        <f t="shared" si="0"/>
        <v/>
      </c>
      <c r="I31" s="403">
        <f>SB!I27</f>
        <v>0</v>
      </c>
      <c r="J31" s="351" t="str">
        <f t="shared" si="1"/>
        <v/>
      </c>
      <c r="K31" s="403"/>
      <c r="L31" s="414" t="str">
        <f t="shared" si="2"/>
        <v/>
      </c>
      <c r="M31" s="412"/>
      <c r="N31" s="542" t="str">
        <f>IF(I31=0,"",1)</f>
        <v/>
      </c>
    </row>
    <row r="32" spans="1:14" ht="15.75" hidden="1" customHeight="1">
      <c r="A32" s="383"/>
      <c r="B32" s="357" t="str">
        <f>IF(C32="","",VLOOKUP(LOWER(SB!B28),SB!$Q$10:$S$22,3,FALSE))</f>
        <v/>
      </c>
      <c r="C32" s="1322" t="str">
        <f>SB!C28</f>
        <v/>
      </c>
      <c r="D32" s="1322"/>
      <c r="E32" s="1322"/>
      <c r="F32" s="1322"/>
      <c r="G32" s="354">
        <f>SB!G28</f>
        <v>0</v>
      </c>
      <c r="H32" s="351" t="str">
        <f t="shared" si="0"/>
        <v/>
      </c>
      <c r="I32" s="403">
        <f>SB!I28</f>
        <v>0</v>
      </c>
      <c r="J32" s="351" t="str">
        <f t="shared" si="1"/>
        <v/>
      </c>
      <c r="K32" s="403"/>
      <c r="L32" s="414" t="str">
        <f t="shared" si="2"/>
        <v/>
      </c>
      <c r="M32" s="412"/>
      <c r="N32" s="542" t="str">
        <f>IF(I32=0,"",1)</f>
        <v/>
      </c>
    </row>
    <row r="33" spans="1:14" ht="15.75" customHeight="1">
      <c r="A33" s="340"/>
      <c r="B33" s="357" t="str">
        <f>IF(C33="","",VLOOKUP(LOWER(SB!B29),SB!$Q$10:$S$22,3,FALSE))</f>
        <v>ii)</v>
      </c>
      <c r="C33" s="1322" t="str">
        <f>SB!C29</f>
        <v>PHCA U/S 10(14 )(i)(ii)</v>
      </c>
      <c r="D33" s="1322"/>
      <c r="E33" s="1322"/>
      <c r="F33" s="1322"/>
      <c r="G33" s="354">
        <f>SB!G29</f>
        <v>10620</v>
      </c>
      <c r="H33" s="351" t="str">
        <f t="shared" si="0"/>
        <v>Rs:</v>
      </c>
      <c r="I33" s="597">
        <f>SB!I29</f>
        <v>10620</v>
      </c>
      <c r="J33" s="351" t="str">
        <f t="shared" si="1"/>
        <v>Rs:</v>
      </c>
      <c r="K33" s="597">
        <f>SUM(I28:I33)</f>
        <v>40610</v>
      </c>
      <c r="L33" s="414" t="str">
        <f t="shared" si="2"/>
        <v/>
      </c>
      <c r="M33" s="603"/>
      <c r="N33" s="542">
        <v>1</v>
      </c>
    </row>
    <row r="34" spans="1:14" ht="18.75">
      <c r="A34" s="340">
        <v>3</v>
      </c>
      <c r="B34" s="1324" t="s">
        <v>1637</v>
      </c>
      <c r="C34" s="1324"/>
      <c r="D34" s="1324"/>
      <c r="E34" s="1324"/>
      <c r="F34" s="1324"/>
      <c r="G34" s="1325"/>
      <c r="H34" s="351" t="str">
        <f t="shared" si="0"/>
        <v/>
      </c>
      <c r="I34" s="597"/>
      <c r="J34" s="351" t="str">
        <f t="shared" si="1"/>
        <v>Rs:</v>
      </c>
      <c r="K34" s="597">
        <f>SUM(M26-K33)</f>
        <v>854608</v>
      </c>
      <c r="L34" s="414" t="str">
        <f t="shared" si="2"/>
        <v/>
      </c>
      <c r="M34" s="603"/>
      <c r="N34" s="542">
        <v>1</v>
      </c>
    </row>
    <row r="35" spans="1:14" ht="18.75">
      <c r="A35" s="340">
        <v>4</v>
      </c>
      <c r="B35" s="1323" t="s">
        <v>1738</v>
      </c>
      <c r="C35" s="1323"/>
      <c r="D35" s="1323"/>
      <c r="E35" s="1323"/>
      <c r="F35" s="361"/>
      <c r="G35" s="356"/>
      <c r="H35" s="351" t="str">
        <f t="shared" si="0"/>
        <v/>
      </c>
      <c r="I35" s="597"/>
      <c r="J35" s="351" t="str">
        <f t="shared" si="1"/>
        <v/>
      </c>
      <c r="K35" s="597"/>
      <c r="L35" s="414" t="str">
        <f t="shared" si="2"/>
        <v/>
      </c>
      <c r="M35" s="603"/>
      <c r="N35" s="542">
        <v>1</v>
      </c>
    </row>
    <row r="36" spans="1:14" ht="18" customHeight="1">
      <c r="A36" s="338"/>
      <c r="B36" s="358" t="s">
        <v>1629</v>
      </c>
      <c r="C36" s="1412" t="s">
        <v>1638</v>
      </c>
      <c r="D36" s="1413"/>
      <c r="E36" s="1413"/>
      <c r="F36" s="1413"/>
      <c r="G36" s="1414"/>
      <c r="H36" s="351" t="str">
        <f t="shared" si="0"/>
        <v/>
      </c>
      <c r="I36" s="597"/>
      <c r="J36" s="351" t="str">
        <f t="shared" si="1"/>
        <v/>
      </c>
      <c r="K36" s="597"/>
      <c r="L36" s="414" t="str">
        <f t="shared" si="2"/>
        <v/>
      </c>
      <c r="M36" s="603"/>
      <c r="N36" s="542">
        <v>1</v>
      </c>
    </row>
    <row r="37" spans="1:14" ht="15.75" customHeight="1">
      <c r="A37" s="338"/>
      <c r="B37" s="359" t="s">
        <v>1639</v>
      </c>
      <c r="C37" s="1415" t="s">
        <v>1640</v>
      </c>
      <c r="D37" s="1323"/>
      <c r="E37" s="1323"/>
      <c r="F37" s="1323"/>
      <c r="G37" s="1416"/>
      <c r="H37" s="351" t="str">
        <f t="shared" si="0"/>
        <v/>
      </c>
      <c r="I37" s="597">
        <f>SB!G33</f>
        <v>0</v>
      </c>
      <c r="J37" s="351" t="str">
        <f t="shared" si="1"/>
        <v/>
      </c>
      <c r="K37" s="597"/>
      <c r="L37" s="414" t="str">
        <f t="shared" si="2"/>
        <v/>
      </c>
      <c r="M37" s="603"/>
      <c r="N37" s="542">
        <v>1</v>
      </c>
    </row>
    <row r="38" spans="1:14" ht="18.75">
      <c r="A38" s="340">
        <v>5</v>
      </c>
      <c r="B38" s="1242" t="s">
        <v>1696</v>
      </c>
      <c r="C38" s="1326"/>
      <c r="D38" s="1326"/>
      <c r="E38" s="1326"/>
      <c r="F38" s="364"/>
      <c r="G38" s="336"/>
      <c r="H38" s="351" t="str">
        <f t="shared" si="0"/>
        <v/>
      </c>
      <c r="I38" s="597"/>
      <c r="J38" s="351" t="str">
        <f t="shared" si="1"/>
        <v/>
      </c>
      <c r="K38" s="597">
        <f>SUM(I36:I37)</f>
        <v>0</v>
      </c>
      <c r="L38" s="414" t="str">
        <f t="shared" si="2"/>
        <v/>
      </c>
      <c r="M38" s="603"/>
      <c r="N38" s="542">
        <v>1</v>
      </c>
    </row>
    <row r="39" spans="1:14" ht="21.75" customHeight="1">
      <c r="A39" s="340">
        <v>6</v>
      </c>
      <c r="B39" s="1242" t="s">
        <v>1751</v>
      </c>
      <c r="C39" s="1242"/>
      <c r="D39" s="1242"/>
      <c r="E39" s="1242"/>
      <c r="F39" s="1242"/>
      <c r="G39" s="1233"/>
      <c r="H39" s="351" t="str">
        <f t="shared" si="0"/>
        <v/>
      </c>
      <c r="I39" s="597"/>
      <c r="J39" s="351" t="str">
        <f t="shared" si="1"/>
        <v/>
      </c>
      <c r="K39" s="597"/>
      <c r="L39" s="414" t="str">
        <f t="shared" si="2"/>
        <v>Rs:</v>
      </c>
      <c r="M39" s="603">
        <f>SUM(K34-K38)</f>
        <v>854608</v>
      </c>
      <c r="N39" s="542">
        <v>1</v>
      </c>
    </row>
    <row r="40" spans="1:14" ht="20.25" customHeight="1">
      <c r="A40" s="340">
        <v>7</v>
      </c>
      <c r="B40" s="1242" t="s">
        <v>1641</v>
      </c>
      <c r="C40" s="1242"/>
      <c r="D40" s="1242"/>
      <c r="E40" s="1242"/>
      <c r="F40" s="1242"/>
      <c r="G40" s="1326"/>
      <c r="H40" s="351" t="str">
        <f t="shared" si="0"/>
        <v/>
      </c>
      <c r="I40" s="597"/>
      <c r="J40" s="351" t="str">
        <f t="shared" si="1"/>
        <v/>
      </c>
      <c r="K40" s="597"/>
      <c r="L40" s="414" t="str">
        <f t="shared" si="2"/>
        <v/>
      </c>
      <c r="M40" s="603"/>
      <c r="N40" s="542">
        <v>1</v>
      </c>
    </row>
    <row r="41" spans="1:14" ht="16.5" customHeight="1">
      <c r="A41" s="383"/>
      <c r="B41" s="1410" t="s">
        <v>1481</v>
      </c>
      <c r="C41" s="1411"/>
      <c r="D41" s="1411"/>
      <c r="E41" s="1411"/>
      <c r="F41" s="1411"/>
      <c r="G41" s="360" t="s">
        <v>1423</v>
      </c>
      <c r="H41" s="351" t="str">
        <f t="shared" si="0"/>
        <v/>
      </c>
      <c r="I41" s="597"/>
      <c r="J41" s="351" t="str">
        <f t="shared" si="1"/>
        <v/>
      </c>
      <c r="K41" s="596"/>
      <c r="L41" s="414" t="str">
        <f t="shared" si="2"/>
        <v/>
      </c>
      <c r="M41" s="603"/>
      <c r="N41" s="542">
        <v>1</v>
      </c>
    </row>
    <row r="42" spans="1:14" ht="16.5" hidden="1" customHeight="1">
      <c r="A42" s="338"/>
      <c r="B42" s="563" t="str">
        <f>IF(G42=0,"",VLOOKUP(SUM($N$42:N42),SB!$P$10:$S$22,4,FALSE))</f>
        <v/>
      </c>
      <c r="C42" s="1417" t="str">
        <f>SB!C36</f>
        <v/>
      </c>
      <c r="D42" s="1417"/>
      <c r="E42" s="1417"/>
      <c r="F42" s="1418"/>
      <c r="G42" s="368">
        <f>SB!I36</f>
        <v>0</v>
      </c>
      <c r="H42" s="351" t="str">
        <f t="shared" si="0"/>
        <v/>
      </c>
      <c r="I42" s="403"/>
      <c r="J42" s="351" t="str">
        <f t="shared" si="1"/>
        <v/>
      </c>
      <c r="K42" s="404"/>
      <c r="L42" s="414" t="str">
        <f t="shared" si="2"/>
        <v/>
      </c>
      <c r="M42" s="412"/>
      <c r="N42" s="542" t="str">
        <f>IF(G42=0,"",1)</f>
        <v/>
      </c>
    </row>
    <row r="43" spans="1:14" ht="16.5" hidden="1" customHeight="1">
      <c r="A43" s="338"/>
      <c r="B43" s="421" t="str">
        <f>IF(G43=0,"",VLOOKUP(SUM($N$42:N43),SB!$P$10:$S$22,4,FALSE))</f>
        <v>i)</v>
      </c>
      <c r="C43" s="1417" t="str">
        <f>SB!C37</f>
        <v>CPS Employers Contribution</v>
      </c>
      <c r="D43" s="1417"/>
      <c r="E43" s="1417"/>
      <c r="F43" s="1418"/>
      <c r="G43" s="762">
        <f>SB!I37</f>
        <v>70144</v>
      </c>
      <c r="H43" s="351" t="str">
        <f t="shared" si="0"/>
        <v/>
      </c>
      <c r="I43" s="403"/>
      <c r="J43" s="351" t="str">
        <f t="shared" si="1"/>
        <v/>
      </c>
      <c r="K43" s="404"/>
      <c r="L43" s="414" t="str">
        <f t="shared" si="2"/>
        <v/>
      </c>
      <c r="M43" s="412"/>
      <c r="N43" s="542">
        <f>IF(G43=0,"",1)</f>
        <v>1</v>
      </c>
    </row>
    <row r="44" spans="1:14" ht="16.5" customHeight="1">
      <c r="A44" s="338"/>
      <c r="B44" s="421" t="str">
        <f>IF(G44=0,"",VLOOKUP(SUM($N$42:N44),SB!$P$10:$S$22,4,FALSE))</f>
        <v/>
      </c>
      <c r="C44" s="1417" t="str">
        <f>SB!C38</f>
        <v/>
      </c>
      <c r="D44" s="1417"/>
      <c r="E44" s="1417"/>
      <c r="F44" s="1418"/>
      <c r="G44" s="368">
        <f>SB!I38</f>
        <v>0</v>
      </c>
      <c r="H44" s="351"/>
      <c r="I44" s="597"/>
      <c r="J44" s="351" t="str">
        <f t="shared" si="1"/>
        <v>Rs:</v>
      </c>
      <c r="K44" s="596">
        <f>SUM(G42:G44)</f>
        <v>70144</v>
      </c>
      <c r="L44" s="414"/>
      <c r="M44" s="603"/>
      <c r="N44" s="542">
        <v>1</v>
      </c>
    </row>
    <row r="45" spans="1:14" ht="18.75">
      <c r="A45" s="340">
        <v>8</v>
      </c>
      <c r="B45" s="1406" t="s">
        <v>1642</v>
      </c>
      <c r="C45" s="1406"/>
      <c r="D45" s="1406"/>
      <c r="E45" s="1406"/>
      <c r="F45" s="1406"/>
      <c r="G45" s="1407"/>
      <c r="H45" s="351" t="str">
        <f t="shared" ref="H45:H60" si="3">IF(I45=0,"","Rs:")</f>
        <v/>
      </c>
      <c r="I45" s="597"/>
      <c r="J45" s="351" t="str">
        <f t="shared" si="1"/>
        <v/>
      </c>
      <c r="K45" s="597"/>
      <c r="L45" s="414" t="str">
        <f>IF(M45=0,"","Rs:")</f>
        <v>Rs:</v>
      </c>
      <c r="M45" s="603">
        <f>SUM(M39,K44)</f>
        <v>924752</v>
      </c>
      <c r="N45" s="542">
        <v>1</v>
      </c>
    </row>
    <row r="46" spans="1:14" ht="18.75">
      <c r="A46" s="340">
        <v>9</v>
      </c>
      <c r="B46" s="1399" t="s">
        <v>1643</v>
      </c>
      <c r="C46" s="1399"/>
      <c r="D46" s="1399"/>
      <c r="E46" s="1399"/>
      <c r="F46" s="1399"/>
      <c r="G46" s="1400"/>
      <c r="H46" s="351" t="str">
        <f t="shared" si="3"/>
        <v/>
      </c>
      <c r="I46" s="597"/>
      <c r="J46" s="351" t="str">
        <f t="shared" si="1"/>
        <v/>
      </c>
      <c r="K46" s="403"/>
      <c r="L46" s="414" t="str">
        <f>IF(M46=0,"","Rs:")</f>
        <v/>
      </c>
      <c r="M46" s="603"/>
      <c r="N46" s="542">
        <v>1</v>
      </c>
    </row>
    <row r="47" spans="1:14" ht="27" customHeight="1">
      <c r="A47" s="341" t="s">
        <v>1644</v>
      </c>
      <c r="B47" s="1257" t="s">
        <v>1799</v>
      </c>
      <c r="C47" s="1386"/>
      <c r="D47" s="1386"/>
      <c r="E47" s="1386"/>
      <c r="F47" s="1386"/>
      <c r="G47" s="1386"/>
      <c r="H47" s="1387" t="s">
        <v>1645</v>
      </c>
      <c r="I47" s="1388"/>
      <c r="J47" s="1387" t="s">
        <v>1647</v>
      </c>
      <c r="K47" s="1388"/>
      <c r="L47" s="1387" t="s">
        <v>1646</v>
      </c>
      <c r="M47" s="1409"/>
      <c r="N47" s="542">
        <v>1</v>
      </c>
    </row>
    <row r="48" spans="1:14" ht="18.75">
      <c r="A48" s="338"/>
      <c r="B48" s="349" t="s">
        <v>15</v>
      </c>
      <c r="C48" s="1402" t="str">
        <f>SB!C52</f>
        <v>Section 80 C</v>
      </c>
      <c r="D48" s="1402"/>
      <c r="E48" s="1402"/>
      <c r="F48" s="1402"/>
      <c r="G48" s="1403"/>
      <c r="H48" s="351" t="str">
        <f t="shared" si="3"/>
        <v/>
      </c>
      <c r="I48" s="404"/>
      <c r="J48" s="351" t="str">
        <f t="shared" ref="J48:J60" si="4">IF(K48=0,"","Rs:")</f>
        <v/>
      </c>
      <c r="K48" s="600"/>
      <c r="L48" s="414" t="str">
        <f t="shared" ref="L48:L60" si="5">IF(M48=0,"","Rs:")</f>
        <v/>
      </c>
      <c r="M48" s="603"/>
      <c r="N48" s="542">
        <v>1</v>
      </c>
    </row>
    <row r="49" spans="1:14" ht="18.75">
      <c r="A49" s="338"/>
      <c r="B49" s="349"/>
      <c r="C49" s="421" t="str">
        <f>IF(I49=0,"",VLOOKUP(SUM($N$49:N49),SB!$P$10:$S$22,4,FALSE))</f>
        <v/>
      </c>
      <c r="D49" s="1404" t="str">
        <f>SB!D53</f>
        <v/>
      </c>
      <c r="E49" s="1404"/>
      <c r="F49" s="1404"/>
      <c r="G49" s="1405"/>
      <c r="H49" s="351" t="str">
        <f t="shared" si="3"/>
        <v/>
      </c>
      <c r="I49" s="596">
        <f>SB!G53</f>
        <v>0</v>
      </c>
      <c r="J49" s="351"/>
      <c r="K49" s="600"/>
      <c r="L49" s="414"/>
      <c r="M49" s="603"/>
      <c r="N49" s="542">
        <v>1</v>
      </c>
    </row>
    <row r="50" spans="1:14" ht="17.100000000000001" customHeight="1">
      <c r="A50" s="338"/>
      <c r="B50" s="365"/>
      <c r="C50" s="421" t="str">
        <f>IF(I50=0,"",VLOOKUP(SUM($N$49:N50),SB!$P$10:$S$22,4,FALSE))</f>
        <v>ii)</v>
      </c>
      <c r="D50" s="1230" t="str">
        <f>SB!D54</f>
        <v>APGLI ( No: 2008299A )</v>
      </c>
      <c r="E50" s="1230"/>
      <c r="F50" s="1230"/>
      <c r="G50" s="1231"/>
      <c r="H50" s="351" t="str">
        <f t="shared" si="3"/>
        <v>Rs:</v>
      </c>
      <c r="I50" s="596">
        <f>SB!G54</f>
        <v>9000</v>
      </c>
      <c r="J50" s="351" t="str">
        <f t="shared" si="4"/>
        <v/>
      </c>
      <c r="K50" s="600"/>
      <c r="L50" s="414" t="str">
        <f t="shared" si="5"/>
        <v/>
      </c>
      <c r="M50" s="603"/>
      <c r="N50" s="542">
        <f t="shared" ref="N50:N59" si="6">IF(I50=0,"",1)</f>
        <v>1</v>
      </c>
    </row>
    <row r="51" spans="1:14" ht="17.100000000000001" customHeight="1">
      <c r="A51" s="338"/>
      <c r="B51" s="365"/>
      <c r="C51" s="421" t="str">
        <f>IF(I51=0,"",VLOOKUP(SUM($N$49:N51),SB!$P$10:$S$22,4,FALSE))</f>
        <v>iii)</v>
      </c>
      <c r="D51" s="1230" t="str">
        <f>SB!D55</f>
        <v>G.I.S</v>
      </c>
      <c r="E51" s="1230"/>
      <c r="F51" s="1230"/>
      <c r="G51" s="1231"/>
      <c r="H51" s="351" t="str">
        <f t="shared" si="3"/>
        <v>Rs:</v>
      </c>
      <c r="I51" s="596">
        <f>SB!G55</f>
        <v>720</v>
      </c>
      <c r="J51" s="351" t="str">
        <f t="shared" si="4"/>
        <v/>
      </c>
      <c r="K51" s="600"/>
      <c r="L51" s="414" t="str">
        <f t="shared" si="5"/>
        <v/>
      </c>
      <c r="M51" s="603"/>
      <c r="N51" s="542">
        <f t="shared" si="6"/>
        <v>1</v>
      </c>
    </row>
    <row r="52" spans="1:14" ht="17.100000000000001" hidden="1" customHeight="1">
      <c r="A52" s="338"/>
      <c r="B52" s="365"/>
      <c r="C52" s="421" t="str">
        <f>IF(I52=0,"",VLOOKUP(SUM($N$49:N52),SB!$P$10:$S$22,4,FALSE))</f>
        <v/>
      </c>
      <c r="D52" s="1230" t="str">
        <f>SB!D56</f>
        <v/>
      </c>
      <c r="E52" s="1230"/>
      <c r="F52" s="1230"/>
      <c r="G52" s="1231"/>
      <c r="H52" s="351" t="str">
        <f t="shared" si="3"/>
        <v/>
      </c>
      <c r="I52" s="404">
        <f>SB!G56</f>
        <v>0</v>
      </c>
      <c r="J52" s="351" t="str">
        <f t="shared" si="4"/>
        <v/>
      </c>
      <c r="K52" s="411"/>
      <c r="L52" s="414" t="str">
        <f t="shared" si="5"/>
        <v/>
      </c>
      <c r="M52" s="412"/>
      <c r="N52" s="542" t="str">
        <f t="shared" si="6"/>
        <v/>
      </c>
    </row>
    <row r="53" spans="1:14" ht="17.100000000000001" hidden="1" customHeight="1">
      <c r="A53" s="338"/>
      <c r="B53" s="365"/>
      <c r="C53" s="421" t="str">
        <f>IF(I53=0,"",VLOOKUP(SUM($N$49:N53),SB!$P$10:$S$22,4,FALSE))</f>
        <v/>
      </c>
      <c r="D53" s="1230" t="str">
        <f>SB!D57</f>
        <v/>
      </c>
      <c r="E53" s="1230"/>
      <c r="F53" s="1230"/>
      <c r="G53" s="1231"/>
      <c r="H53" s="351" t="str">
        <f t="shared" si="3"/>
        <v/>
      </c>
      <c r="I53" s="404">
        <f>SB!G57</f>
        <v>0</v>
      </c>
      <c r="J53" s="351" t="str">
        <f t="shared" si="4"/>
        <v/>
      </c>
      <c r="K53" s="411"/>
      <c r="L53" s="414" t="str">
        <f t="shared" si="5"/>
        <v/>
      </c>
      <c r="M53" s="412"/>
      <c r="N53" s="542" t="str">
        <f t="shared" si="6"/>
        <v/>
      </c>
    </row>
    <row r="54" spans="1:14" ht="17.100000000000001" hidden="1" customHeight="1">
      <c r="A54" s="338"/>
      <c r="B54" s="365"/>
      <c r="C54" s="421" t="str">
        <f>IF(I54=0,"",VLOOKUP(SUM($N$49:N54),SB!$P$10:$S$22,4,FALSE))</f>
        <v/>
      </c>
      <c r="D54" s="1230" t="str">
        <f>SB!D58</f>
        <v/>
      </c>
      <c r="E54" s="1230"/>
      <c r="F54" s="1230"/>
      <c r="G54" s="1231"/>
      <c r="H54" s="351" t="str">
        <f t="shared" si="3"/>
        <v/>
      </c>
      <c r="I54" s="404">
        <f>SB!G58</f>
        <v>0</v>
      </c>
      <c r="J54" s="351" t="str">
        <f t="shared" si="4"/>
        <v/>
      </c>
      <c r="K54" s="411"/>
      <c r="L54" s="414" t="str">
        <f t="shared" si="5"/>
        <v/>
      </c>
      <c r="M54" s="412"/>
      <c r="N54" s="542" t="str">
        <f t="shared" si="6"/>
        <v/>
      </c>
    </row>
    <row r="55" spans="1:14" ht="17.100000000000001" hidden="1" customHeight="1">
      <c r="A55" s="338"/>
      <c r="B55" s="362"/>
      <c r="C55" s="421" t="str">
        <f>IF(I55=0,"",VLOOKUP(SUM($N$49:N55),SB!$P$10:$S$22,4,FALSE))</f>
        <v/>
      </c>
      <c r="D55" s="1230" t="str">
        <f>SB!D59</f>
        <v/>
      </c>
      <c r="E55" s="1230"/>
      <c r="F55" s="1230"/>
      <c r="G55" s="1231"/>
      <c r="H55" s="351" t="str">
        <f t="shared" si="3"/>
        <v/>
      </c>
      <c r="I55" s="404">
        <f>SB!G59</f>
        <v>0</v>
      </c>
      <c r="J55" s="351" t="str">
        <f t="shared" si="4"/>
        <v/>
      </c>
      <c r="K55" s="411"/>
      <c r="L55" s="414" t="str">
        <f t="shared" si="5"/>
        <v/>
      </c>
      <c r="M55" s="412"/>
      <c r="N55" s="542" t="str">
        <f t="shared" si="6"/>
        <v/>
      </c>
    </row>
    <row r="56" spans="1:14" ht="17.100000000000001" customHeight="1">
      <c r="A56" s="338"/>
      <c r="B56" s="363"/>
      <c r="C56" s="421" t="str">
        <f>IF(I56=0,"",VLOOKUP(SUM($N$49:N56),SB!$P$10:$S$22,4,FALSE))</f>
        <v>iv)</v>
      </c>
      <c r="D56" s="1230" t="str">
        <f>SB!D60</f>
        <v>Tuition Fee- Two Children</v>
      </c>
      <c r="E56" s="1230"/>
      <c r="F56" s="1230"/>
      <c r="G56" s="1231"/>
      <c r="H56" s="351" t="str">
        <f t="shared" si="3"/>
        <v>Rs:</v>
      </c>
      <c r="I56" s="404">
        <f>SB!G60</f>
        <v>130000</v>
      </c>
      <c r="J56" s="351" t="str">
        <f t="shared" si="4"/>
        <v/>
      </c>
      <c r="K56" s="411"/>
      <c r="L56" s="414" t="str">
        <f t="shared" si="5"/>
        <v/>
      </c>
      <c r="M56" s="412"/>
      <c r="N56" s="542">
        <f t="shared" si="6"/>
        <v>1</v>
      </c>
    </row>
    <row r="57" spans="1:14" ht="17.100000000000001" hidden="1" customHeight="1">
      <c r="A57" s="338"/>
      <c r="B57" s="365"/>
      <c r="C57" s="421" t="str">
        <f>IF(I57=0,"",VLOOKUP(SUM($N$49:N57),SB!$P$10:$S$22,4,FALSE))</f>
        <v/>
      </c>
      <c r="D57" s="1230" t="str">
        <f>SB!D61</f>
        <v/>
      </c>
      <c r="E57" s="1230"/>
      <c r="F57" s="1230"/>
      <c r="G57" s="1231"/>
      <c r="H57" s="351" t="str">
        <f t="shared" si="3"/>
        <v/>
      </c>
      <c r="I57" s="404">
        <f>SB!G61</f>
        <v>0</v>
      </c>
      <c r="J57" s="351" t="str">
        <f t="shared" si="4"/>
        <v/>
      </c>
      <c r="K57" s="403"/>
      <c r="L57" s="414" t="str">
        <f t="shared" si="5"/>
        <v/>
      </c>
      <c r="M57" s="412"/>
      <c r="N57" s="542" t="str">
        <f t="shared" si="6"/>
        <v/>
      </c>
    </row>
    <row r="58" spans="1:14" ht="17.100000000000001" hidden="1" customHeight="1">
      <c r="A58" s="338"/>
      <c r="B58" s="348"/>
      <c r="C58" s="421" t="str">
        <f>IF(I58=0,"",VLOOKUP(SUM($N$49:N58),SB!$P$10:$S$22,4,FALSE))</f>
        <v/>
      </c>
      <c r="D58" s="1230" t="str">
        <f>SB!D62</f>
        <v/>
      </c>
      <c r="E58" s="1230"/>
      <c r="F58" s="1230"/>
      <c r="G58" s="1231"/>
      <c r="H58" s="351" t="str">
        <f t="shared" si="3"/>
        <v/>
      </c>
      <c r="I58" s="404">
        <f>SB!G62</f>
        <v>0</v>
      </c>
      <c r="J58" s="351" t="str">
        <f t="shared" si="4"/>
        <v/>
      </c>
      <c r="K58" s="403"/>
      <c r="L58" s="414" t="str">
        <f t="shared" si="5"/>
        <v/>
      </c>
      <c r="M58" s="412"/>
      <c r="N58" s="542" t="str">
        <f t="shared" si="6"/>
        <v/>
      </c>
    </row>
    <row r="59" spans="1:14" ht="17.100000000000001" hidden="1" customHeight="1">
      <c r="A59" s="338"/>
      <c r="B59" s="348"/>
      <c r="C59" s="421" t="str">
        <f>IF(I59=0,"",VLOOKUP(SUM($N$49:N59),SB!$P$10:$S$22,4,FALSE))</f>
        <v/>
      </c>
      <c r="D59" s="1230" t="str">
        <f>IF(C59="","",SB!D63)</f>
        <v/>
      </c>
      <c r="E59" s="1230"/>
      <c r="F59" s="1230"/>
      <c r="G59" s="1231"/>
      <c r="H59" s="351" t="str">
        <f t="shared" si="3"/>
        <v/>
      </c>
      <c r="I59" s="404">
        <f>SB!G63</f>
        <v>0</v>
      </c>
      <c r="J59" s="351" t="str">
        <f t="shared" si="4"/>
        <v/>
      </c>
      <c r="K59" s="403"/>
      <c r="L59" s="414" t="str">
        <f t="shared" si="5"/>
        <v/>
      </c>
      <c r="M59" s="412"/>
      <c r="N59" s="542" t="str">
        <f t="shared" si="6"/>
        <v/>
      </c>
    </row>
    <row r="60" spans="1:14" ht="17.25" customHeight="1">
      <c r="A60" s="338"/>
      <c r="B60" s="1246" t="s">
        <v>1801</v>
      </c>
      <c r="C60" s="1246"/>
      <c r="D60" s="1246"/>
      <c r="E60" s="1246"/>
      <c r="F60" s="1246"/>
      <c r="G60" s="1247"/>
      <c r="H60" s="351" t="str">
        <f t="shared" si="3"/>
        <v>Rs:</v>
      </c>
      <c r="I60" s="596">
        <f>SUM(I49:I59)</f>
        <v>139720</v>
      </c>
      <c r="J60" s="351" t="str">
        <f t="shared" si="4"/>
        <v>Rs:</v>
      </c>
      <c r="K60" s="597">
        <f>IF(I60=0,0,MIN(I60,150000))</f>
        <v>139720</v>
      </c>
      <c r="L60" s="414" t="str">
        <f t="shared" si="5"/>
        <v/>
      </c>
      <c r="M60" s="603"/>
      <c r="N60" s="542">
        <v>1</v>
      </c>
    </row>
    <row r="61" spans="1:14" ht="15.75" customHeight="1">
      <c r="A61" s="342"/>
      <c r="B61" s="370" t="s">
        <v>14</v>
      </c>
      <c r="C61" s="1384" t="s">
        <v>1741</v>
      </c>
      <c r="D61" s="1384"/>
      <c r="E61" s="1384"/>
      <c r="F61" s="1384"/>
      <c r="G61" s="1385"/>
      <c r="H61" s="351" t="s">
        <v>7</v>
      </c>
      <c r="I61" s="596">
        <f>SB!I64</f>
        <v>0</v>
      </c>
      <c r="J61" s="351" t="str">
        <f>SB!H64</f>
        <v/>
      </c>
      <c r="K61" s="597">
        <f>SB!K64</f>
        <v>0</v>
      </c>
      <c r="L61" s="414"/>
      <c r="M61" s="603">
        <f>SB!K64</f>
        <v>0</v>
      </c>
      <c r="N61" s="542">
        <v>1</v>
      </c>
    </row>
    <row r="62" spans="1:14" ht="15" customHeight="1">
      <c r="A62" s="342"/>
      <c r="B62" s="370" t="s">
        <v>1742</v>
      </c>
      <c r="C62" s="1229" t="str">
        <f>SB!C65</f>
        <v>Section 80CCD (i) (CPS Employees Contribution)  ( . )</v>
      </c>
      <c r="D62" s="1229"/>
      <c r="E62" s="1229"/>
      <c r="F62" s="1229"/>
      <c r="G62" s="1244"/>
      <c r="H62" s="351" t="s">
        <v>7</v>
      </c>
      <c r="I62" s="596">
        <f>SB!I65</f>
        <v>70144</v>
      </c>
      <c r="J62" s="351" t="str">
        <f>SB!H65</f>
        <v>Rs:</v>
      </c>
      <c r="K62" s="597">
        <f>SB!K65</f>
        <v>10280</v>
      </c>
      <c r="L62" s="414"/>
      <c r="M62" s="603"/>
      <c r="N62" s="542">
        <v>1</v>
      </c>
    </row>
    <row r="63" spans="1:14" ht="20.25" customHeight="1" thickBot="1">
      <c r="A63" s="564"/>
      <c r="B63" s="1235" t="s">
        <v>1800</v>
      </c>
      <c r="C63" s="1235"/>
      <c r="D63" s="1235"/>
      <c r="E63" s="1235"/>
      <c r="F63" s="1235"/>
      <c r="G63" s="1236"/>
      <c r="H63" s="565" t="s">
        <v>7</v>
      </c>
      <c r="I63" s="598">
        <f>SUM(I60:I62)</f>
        <v>209864</v>
      </c>
      <c r="J63" s="565" t="str">
        <f>SB!H66</f>
        <v>Rs:</v>
      </c>
      <c r="K63" s="602">
        <f>SUM(K60:K62)</f>
        <v>150000</v>
      </c>
      <c r="L63" s="566" t="str">
        <f>SB!J66</f>
        <v>Rs:</v>
      </c>
      <c r="M63" s="604">
        <f>MIN(K63,150000)</f>
        <v>150000</v>
      </c>
      <c r="N63" s="542">
        <v>1</v>
      </c>
    </row>
    <row r="64" spans="1:14" ht="26.25" customHeight="1" thickTop="1">
      <c r="A64" s="379" t="s">
        <v>1391</v>
      </c>
      <c r="B64" s="1401" t="s">
        <v>1803</v>
      </c>
      <c r="C64" s="1401"/>
      <c r="D64" s="1401"/>
      <c r="E64" s="1401"/>
      <c r="F64" s="1401"/>
      <c r="G64" s="1401"/>
      <c r="H64" s="1381" t="s">
        <v>1645</v>
      </c>
      <c r="I64" s="1383"/>
      <c r="J64" s="1381" t="s">
        <v>1647</v>
      </c>
      <c r="K64" s="1383"/>
      <c r="L64" s="1381" t="s">
        <v>1646</v>
      </c>
      <c r="M64" s="1382"/>
      <c r="N64" s="542">
        <v>1</v>
      </c>
    </row>
    <row r="65" spans="1:16" ht="21" hidden="1" customHeight="1">
      <c r="A65" s="366"/>
      <c r="B65" s="422" t="str">
        <f>IF(N65="","",VLOOKUP(SUM($N$65:N65),SB!$P$10:$S$22,4,FALSE))</f>
        <v>i)</v>
      </c>
      <c r="C65" s="1240" t="str">
        <f>IF(N65="","","Section 80CCD (ii)")</f>
        <v>Section 80CCD (ii)</v>
      </c>
      <c r="D65" s="1240"/>
      <c r="E65" s="1229" t="str">
        <f>IF(N65="","","CPS Employers Contribution")</f>
        <v>CPS Employers Contribution</v>
      </c>
      <c r="F65" s="1229"/>
      <c r="G65" s="1244"/>
      <c r="H65" s="371" t="s">
        <v>7</v>
      </c>
      <c r="I65" s="562">
        <f>SB!I67</f>
        <v>70144</v>
      </c>
      <c r="J65" s="351" t="s">
        <v>7</v>
      </c>
      <c r="K65" s="562">
        <f>SB!K67</f>
        <v>70144</v>
      </c>
      <c r="L65" s="560"/>
      <c r="M65" s="561"/>
      <c r="N65" s="542">
        <f t="shared" ref="N65:N73" si="7">IF(I65=0,"",1)</f>
        <v>1</v>
      </c>
    </row>
    <row r="66" spans="1:16" ht="22.5" hidden="1" customHeight="1">
      <c r="A66" s="342"/>
      <c r="B66" s="422" t="str">
        <f>IF(N66="","",VLOOKUP(SUM($N$65:N66),SB!$P$10:$S$22,4,FALSE))</f>
        <v/>
      </c>
      <c r="C66" s="1229" t="str">
        <f>IF(N66="","","Section 80 CCG ")</f>
        <v/>
      </c>
      <c r="D66" s="1229"/>
      <c r="E66" s="1229" t="str">
        <f>IF(N66="","","Rajiv Gandhi Equity Savings Scheme (RGESS)")</f>
        <v/>
      </c>
      <c r="F66" s="1229"/>
      <c r="G66" s="1244"/>
      <c r="H66" s="351" t="str">
        <f>SB!H68</f>
        <v/>
      </c>
      <c r="I66" s="403">
        <f>SB!I68</f>
        <v>0</v>
      </c>
      <c r="J66" s="351" t="str">
        <f>SB!J68</f>
        <v/>
      </c>
      <c r="K66" s="403">
        <f>SB!K68</f>
        <v>0</v>
      </c>
      <c r="L66" s="415"/>
      <c r="M66" s="412"/>
      <c r="N66" s="542" t="str">
        <f t="shared" si="7"/>
        <v/>
      </c>
    </row>
    <row r="67" spans="1:16" ht="22.5" hidden="1" customHeight="1">
      <c r="A67" s="342"/>
      <c r="B67" s="422" t="str">
        <f>IF(N67="","",VLOOKUP(SUM($N$65:N67),SB!$P$10:$S$22,4,FALSE))</f>
        <v>ii)</v>
      </c>
      <c r="C67" s="1245" t="str">
        <f>IF(N67="","","Section 80 CCD (1B)")</f>
        <v>Section 80 CCD (1B)</v>
      </c>
      <c r="D67" s="1245"/>
      <c r="E67" s="1229" t="str">
        <f>IF(N67="","","Additional contribution towards NPS")</f>
        <v>Additional contribution towards NPS</v>
      </c>
      <c r="F67" s="1229"/>
      <c r="G67" s="1244"/>
      <c r="H67" s="351" t="str">
        <f>SB!H69</f>
        <v>Rs:</v>
      </c>
      <c r="I67" s="403">
        <f>SB!I69</f>
        <v>59864</v>
      </c>
      <c r="J67" s="351"/>
      <c r="K67" s="403">
        <f>SB!K69</f>
        <v>50000</v>
      </c>
      <c r="L67" s="415"/>
      <c r="M67" s="412"/>
      <c r="N67" s="542">
        <f t="shared" si="7"/>
        <v>1</v>
      </c>
    </row>
    <row r="68" spans="1:16" ht="18" customHeight="1">
      <c r="A68" s="342"/>
      <c r="B68" s="422" t="str">
        <f>IF(N68="","",VLOOKUP(SUM($N$65:N68),SB!$P$10:$S$22,4,FALSE))</f>
        <v>iii)</v>
      </c>
      <c r="C68" s="1229" t="s">
        <v>1743</v>
      </c>
      <c r="D68" s="1229"/>
      <c r="E68" s="1229" t="str">
        <f>SB!D42</f>
        <v>EWF, SWF &amp; CMERY</v>
      </c>
      <c r="F68" s="1229"/>
      <c r="G68" s="1244"/>
      <c r="H68" s="371" t="str">
        <f t="shared" ref="H68:H73" si="8">IF(I68=0,"","Rs:")</f>
        <v>Rs:</v>
      </c>
      <c r="I68" s="403">
        <f>SB!G42</f>
        <v>70</v>
      </c>
      <c r="J68" s="371" t="str">
        <f t="shared" ref="J68:J73" si="9">IF(K68=0,"","Rs:")</f>
        <v>Rs:</v>
      </c>
      <c r="K68" s="404">
        <f>SB!I42</f>
        <v>70</v>
      </c>
      <c r="L68" s="415" t="str">
        <f>IF(M68=0,"","Rs:")</f>
        <v/>
      </c>
      <c r="M68" s="412"/>
      <c r="N68" s="542">
        <f t="shared" si="7"/>
        <v>1</v>
      </c>
    </row>
    <row r="69" spans="1:16" ht="18" customHeight="1">
      <c r="A69" s="342"/>
      <c r="B69" s="422" t="str">
        <f>IF(N69="","",VLOOKUP(SUM($N$65:N69),SB!$P$10:$S$22,4,FALSE))</f>
        <v>iv)</v>
      </c>
      <c r="C69" s="1229" t="str">
        <f>IF(I69=0,"",CONCATENATE("Section ",Main!K133))</f>
        <v>Section 80D</v>
      </c>
      <c r="D69" s="1229"/>
      <c r="E69" s="1229" t="str">
        <f>IF(I69=0,"",Main!F27)</f>
        <v>EHS</v>
      </c>
      <c r="F69" s="1229"/>
      <c r="G69" s="1244"/>
      <c r="H69" s="371" t="str">
        <f t="shared" si="8"/>
        <v>Rs:</v>
      </c>
      <c r="I69" s="403">
        <f>SB!G43</f>
        <v>1080</v>
      </c>
      <c r="J69" s="371" t="str">
        <f t="shared" si="9"/>
        <v>Rs:</v>
      </c>
      <c r="K69" s="404">
        <f>SB!I43</f>
        <v>1080</v>
      </c>
      <c r="L69" s="415"/>
      <c r="M69" s="412"/>
      <c r="N69" s="542">
        <f t="shared" si="7"/>
        <v>1</v>
      </c>
    </row>
    <row r="70" spans="1:16" ht="26.25" hidden="1" customHeight="1">
      <c r="A70" s="342"/>
      <c r="B70" s="422" t="str">
        <f>IF(N70="","",VLOOKUP(SUM($N$65:N70),SB!$P$10:$S$22,4,FALSE))</f>
        <v/>
      </c>
      <c r="C70" s="1229" t="str">
        <f>IF(I70=0,"",CONCATENATE("Section ",Main!K129))</f>
        <v/>
      </c>
      <c r="D70" s="1229"/>
      <c r="E70" s="1229" t="str">
        <f>IF(I70=0,"",Main!F29)</f>
        <v/>
      </c>
      <c r="F70" s="1229"/>
      <c r="G70" s="1244"/>
      <c r="H70" s="371" t="str">
        <f t="shared" si="8"/>
        <v/>
      </c>
      <c r="I70" s="403">
        <f>SB!G44</f>
        <v>0</v>
      </c>
      <c r="J70" s="371" t="str">
        <f t="shared" si="9"/>
        <v/>
      </c>
      <c r="K70" s="404">
        <f>SB!I44</f>
        <v>0</v>
      </c>
      <c r="L70" s="415" t="str">
        <f>IF(M70=0,"","Rs:")</f>
        <v/>
      </c>
      <c r="M70" s="412"/>
      <c r="N70" s="542" t="str">
        <f t="shared" si="7"/>
        <v/>
      </c>
    </row>
    <row r="71" spans="1:16" ht="29.25" hidden="1" customHeight="1">
      <c r="A71" s="342"/>
      <c r="B71" s="422" t="str">
        <f>IF(N71="","",VLOOKUP(SUM($N$65:N71),SB!$P$10:$S$22,4,FALSE))</f>
        <v/>
      </c>
      <c r="C71" s="1229" t="str">
        <f>IF(I71=0,"",CONCATENATE("Section ",Main!K130))</f>
        <v/>
      </c>
      <c r="D71" s="1229"/>
      <c r="E71" s="1229" t="str">
        <f>IF(I71=0,"",Main!F30)</f>
        <v/>
      </c>
      <c r="F71" s="1229"/>
      <c r="G71" s="1244"/>
      <c r="H71" s="371" t="str">
        <f t="shared" si="8"/>
        <v/>
      </c>
      <c r="I71" s="403">
        <f>SB!G45</f>
        <v>0</v>
      </c>
      <c r="J71" s="371" t="str">
        <f t="shared" si="9"/>
        <v/>
      </c>
      <c r="K71" s="404">
        <f>SB!I45</f>
        <v>0</v>
      </c>
      <c r="L71" s="415" t="str">
        <f>IF(M71=0,"","Rs:")</f>
        <v/>
      </c>
      <c r="M71" s="412"/>
      <c r="N71" s="542" t="str">
        <f t="shared" si="7"/>
        <v/>
      </c>
    </row>
    <row r="72" spans="1:16" ht="30" hidden="1" customHeight="1">
      <c r="A72" s="342"/>
      <c r="B72" s="422" t="str">
        <f>IF(N72="","",VLOOKUP(SUM($N$65:N72),SB!$P$10:$S$22,4,FALSE))</f>
        <v/>
      </c>
      <c r="C72" s="1229" t="str">
        <f>IF(I72=0,"",CONCATENATE("Section ",Main!K131))</f>
        <v/>
      </c>
      <c r="D72" s="1229"/>
      <c r="E72" s="1229" t="str">
        <f>IF(I72=0,"",Main!F31)</f>
        <v/>
      </c>
      <c r="F72" s="1229"/>
      <c r="G72" s="1244"/>
      <c r="H72" s="371" t="str">
        <f t="shared" si="8"/>
        <v/>
      </c>
      <c r="I72" s="403">
        <f>SB!G46</f>
        <v>0</v>
      </c>
      <c r="J72" s="371" t="str">
        <f t="shared" si="9"/>
        <v/>
      </c>
      <c r="K72" s="404">
        <f>SB!I46</f>
        <v>0</v>
      </c>
      <c r="L72" s="415" t="str">
        <f>IF(M72=0,"","Rs:")</f>
        <v/>
      </c>
      <c r="M72" s="412"/>
      <c r="N72" s="542" t="str">
        <f t="shared" si="7"/>
        <v/>
      </c>
    </row>
    <row r="73" spans="1:16" ht="16.5" hidden="1" customHeight="1">
      <c r="A73" s="342"/>
      <c r="B73" s="422" t="str">
        <f>IF(N73="","",VLOOKUP(SUM($N$65:N73),SB!$P$10:$S$22,4,FALSE))</f>
        <v/>
      </c>
      <c r="C73" s="1229" t="str">
        <f>IF(I73=0,"",CONCATENATE("Section ",Main!K132))</f>
        <v/>
      </c>
      <c r="D73" s="1229"/>
      <c r="E73" s="1229" t="str">
        <f>IF(I73=0,"",Main!F32)</f>
        <v/>
      </c>
      <c r="F73" s="1229"/>
      <c r="G73" s="1229"/>
      <c r="H73" s="371" t="str">
        <f t="shared" si="8"/>
        <v/>
      </c>
      <c r="I73" s="403">
        <f>SB!G47</f>
        <v>0</v>
      </c>
      <c r="J73" s="371" t="str">
        <f t="shared" si="9"/>
        <v/>
      </c>
      <c r="K73" s="404">
        <f>SB!I47</f>
        <v>0</v>
      </c>
      <c r="L73" s="416"/>
      <c r="M73" s="413"/>
      <c r="N73" s="542" t="str">
        <f t="shared" si="7"/>
        <v/>
      </c>
    </row>
    <row r="74" spans="1:16" ht="16.5" customHeight="1">
      <c r="A74" s="1239" t="s">
        <v>1802</v>
      </c>
      <c r="B74" s="1240"/>
      <c r="C74" s="1240"/>
      <c r="D74" s="1240"/>
      <c r="E74" s="1240"/>
      <c r="F74" s="1240"/>
      <c r="G74" s="1241"/>
      <c r="H74" s="414" t="str">
        <f t="shared" ref="H74" si="10">IF(I74=0,"","Rs:")</f>
        <v>Rs:</v>
      </c>
      <c r="I74" s="403">
        <f>SUM(I65:I73)</f>
        <v>131158</v>
      </c>
      <c r="J74" s="414" t="str">
        <f t="shared" ref="J74:L84" si="11">IF(K74=0,"","Rs:")</f>
        <v>Rs:</v>
      </c>
      <c r="K74" s="404">
        <f>SUM(K65:K73)</f>
        <v>121294</v>
      </c>
      <c r="L74" s="414" t="str">
        <f t="shared" si="11"/>
        <v>Rs:</v>
      </c>
      <c r="M74" s="605">
        <f>K74</f>
        <v>121294</v>
      </c>
      <c r="N74" s="542">
        <v>1</v>
      </c>
    </row>
    <row r="75" spans="1:16" ht="18" customHeight="1">
      <c r="A75" s="340">
        <v>10</v>
      </c>
      <c r="B75" s="1257" t="s">
        <v>1648</v>
      </c>
      <c r="C75" s="1233"/>
      <c r="D75" s="1233"/>
      <c r="E75" s="1233"/>
      <c r="F75" s="1233"/>
      <c r="G75" s="1233"/>
      <c r="H75" s="351" t="str">
        <f t="shared" ref="H75:H85" si="12">IF(I75=0,"","Rs:")</f>
        <v/>
      </c>
      <c r="I75" s="597"/>
      <c r="J75" s="351" t="str">
        <f t="shared" ref="J75:J85" si="13">IF(K75=0,"","Rs:")</f>
        <v/>
      </c>
      <c r="K75" s="597"/>
      <c r="L75" s="414" t="str">
        <f t="shared" si="11"/>
        <v>Rs:</v>
      </c>
      <c r="M75" s="606">
        <f>SUM(M63,M74)</f>
        <v>271294</v>
      </c>
      <c r="N75" s="542">
        <v>1</v>
      </c>
    </row>
    <row r="76" spans="1:16" ht="18" customHeight="1">
      <c r="A76" s="340">
        <v>11</v>
      </c>
      <c r="B76" s="1257" t="s">
        <v>1570</v>
      </c>
      <c r="C76" s="1257"/>
      <c r="D76" s="1257"/>
      <c r="E76" s="1257"/>
      <c r="F76" s="1257"/>
      <c r="G76" s="1257"/>
      <c r="H76" s="351" t="str">
        <f t="shared" si="12"/>
        <v/>
      </c>
      <c r="I76" s="597"/>
      <c r="J76" s="351" t="str">
        <f t="shared" si="13"/>
        <v/>
      </c>
      <c r="K76" s="597"/>
      <c r="L76" s="414" t="str">
        <f t="shared" si="11"/>
        <v>Rs:</v>
      </c>
      <c r="M76" s="607">
        <f>M45-M75</f>
        <v>653458</v>
      </c>
      <c r="N76" s="542">
        <v>1</v>
      </c>
      <c r="P76" s="399" t="b">
        <f>EXACT(SB!K71,'16'!M76)</f>
        <v>1</v>
      </c>
    </row>
    <row r="77" spans="1:16" ht="15" customHeight="1">
      <c r="A77" s="340">
        <v>12</v>
      </c>
      <c r="B77" s="1257" t="s">
        <v>1649</v>
      </c>
      <c r="C77" s="1257"/>
      <c r="D77" s="1257"/>
      <c r="E77" s="1257"/>
      <c r="F77" s="1257"/>
      <c r="G77" s="1257"/>
      <c r="H77" s="351" t="str">
        <f t="shared" si="12"/>
        <v/>
      </c>
      <c r="I77" s="597"/>
      <c r="J77" s="351" t="str">
        <f t="shared" si="13"/>
        <v/>
      </c>
      <c r="K77" s="597"/>
      <c r="L77" s="414" t="str">
        <f t="shared" ca="1" si="11"/>
        <v>Rs:</v>
      </c>
      <c r="M77" s="608">
        <f ca="1">IF(SB!G78=0,"NIL",SB!G78)</f>
        <v>55692</v>
      </c>
      <c r="N77" s="542">
        <v>1</v>
      </c>
    </row>
    <row r="78" spans="1:16" ht="15" customHeight="1">
      <c r="A78" s="340" t="s">
        <v>1814</v>
      </c>
      <c r="B78" s="1242" t="s">
        <v>1807</v>
      </c>
      <c r="C78" s="1242"/>
      <c r="D78" s="1242"/>
      <c r="E78" s="1242"/>
      <c r="F78" s="1242"/>
      <c r="G78" s="1243"/>
      <c r="H78" s="351"/>
      <c r="I78" s="597"/>
      <c r="J78" s="351"/>
      <c r="K78" s="597"/>
      <c r="L78" s="414" t="s">
        <v>7</v>
      </c>
      <c r="M78" s="608">
        <f ca="1">SB!G79</f>
        <v>0</v>
      </c>
      <c r="N78" s="542">
        <v>1</v>
      </c>
    </row>
    <row r="79" spans="1:16" ht="15" customHeight="1">
      <c r="A79" s="340" t="s">
        <v>1815</v>
      </c>
      <c r="B79" s="1257" t="s">
        <v>1650</v>
      </c>
      <c r="C79" s="1257"/>
      <c r="D79" s="1257"/>
      <c r="E79" s="1257"/>
      <c r="F79" s="1257"/>
      <c r="G79" s="1257"/>
      <c r="H79" s="351" t="str">
        <f t="shared" si="12"/>
        <v/>
      </c>
      <c r="I79" s="597"/>
      <c r="J79" s="351" t="str">
        <f t="shared" si="13"/>
        <v/>
      </c>
      <c r="K79" s="597"/>
      <c r="L79" s="414" t="str">
        <f t="shared" ca="1" si="11"/>
        <v>Rs:</v>
      </c>
      <c r="M79" s="609">
        <f ca="1">IF(SB!G78=0,"NIL",SUM(SB!G80:G81))</f>
        <v>1671</v>
      </c>
      <c r="N79" s="542">
        <v>1</v>
      </c>
    </row>
    <row r="80" spans="1:16" ht="15" customHeight="1">
      <c r="A80" s="340">
        <v>14</v>
      </c>
      <c r="B80" s="1257" t="s">
        <v>1816</v>
      </c>
      <c r="C80" s="1257"/>
      <c r="D80" s="1257"/>
      <c r="E80" s="1257"/>
      <c r="F80" s="1257"/>
      <c r="G80" s="1257"/>
      <c r="H80" s="351" t="str">
        <f t="shared" si="12"/>
        <v/>
      </c>
      <c r="I80" s="597"/>
      <c r="J80" s="351" t="str">
        <f t="shared" si="13"/>
        <v/>
      </c>
      <c r="K80" s="597"/>
      <c r="L80" s="414" t="str">
        <f t="shared" ca="1" si="11"/>
        <v>Rs:</v>
      </c>
      <c r="M80" s="609">
        <f ca="1">IF(SB!G78=0,"NIL",SB!K82)</f>
        <v>57363</v>
      </c>
      <c r="N80" s="542">
        <v>1</v>
      </c>
    </row>
    <row r="81" spans="1:14" ht="15" customHeight="1">
      <c r="A81" s="340">
        <v>15</v>
      </c>
      <c r="B81" s="1257" t="s">
        <v>1651</v>
      </c>
      <c r="C81" s="1257"/>
      <c r="D81" s="1257"/>
      <c r="E81" s="1257"/>
      <c r="F81" s="1257"/>
      <c r="G81" s="1257"/>
      <c r="H81" s="351" t="str">
        <f t="shared" si="12"/>
        <v/>
      </c>
      <c r="I81" s="597"/>
      <c r="J81" s="351" t="str">
        <f t="shared" si="13"/>
        <v/>
      </c>
      <c r="K81" s="597"/>
      <c r="L81" s="414" t="str">
        <f t="shared" si="11"/>
        <v/>
      </c>
      <c r="M81" s="607"/>
      <c r="N81" s="542">
        <v>1</v>
      </c>
    </row>
    <row r="82" spans="1:14" ht="15" customHeight="1">
      <c r="A82" s="340">
        <v>16</v>
      </c>
      <c r="B82" s="1257" t="s">
        <v>1652</v>
      </c>
      <c r="C82" s="1257"/>
      <c r="D82" s="1257"/>
      <c r="E82" s="1257"/>
      <c r="F82" s="1257"/>
      <c r="G82" s="1257"/>
      <c r="H82" s="351" t="str">
        <f t="shared" si="12"/>
        <v/>
      </c>
      <c r="I82" s="597"/>
      <c r="J82" s="351" t="str">
        <f t="shared" si="13"/>
        <v/>
      </c>
      <c r="K82" s="597"/>
      <c r="L82" s="414" t="str">
        <f t="shared" ca="1" si="11"/>
        <v>Rs:</v>
      </c>
      <c r="M82" s="607">
        <f ca="1">IF(SB!G78=0,"NIL",M80-M81)</f>
        <v>57363</v>
      </c>
      <c r="N82" s="542">
        <v>1</v>
      </c>
    </row>
    <row r="83" spans="1:14" ht="18.75">
      <c r="A83" s="340">
        <v>17</v>
      </c>
      <c r="B83" s="1257" t="s">
        <v>1744</v>
      </c>
      <c r="C83" s="1257"/>
      <c r="D83" s="1257"/>
      <c r="E83" s="1257"/>
      <c r="F83" s="1257"/>
      <c r="G83" s="1257"/>
      <c r="H83" s="351" t="s">
        <v>7</v>
      </c>
      <c r="I83" s="597">
        <f ca="1">SUM('Advance Tax'!B3:B14)</f>
        <v>57363</v>
      </c>
      <c r="J83" s="351" t="str">
        <f t="shared" si="13"/>
        <v/>
      </c>
      <c r="K83" s="597"/>
      <c r="L83" s="414" t="str">
        <f t="shared" si="11"/>
        <v/>
      </c>
      <c r="M83" s="607"/>
      <c r="N83" s="542">
        <v>1</v>
      </c>
    </row>
    <row r="84" spans="1:14" ht="28.5" customHeight="1">
      <c r="A84" s="340"/>
      <c r="B84" s="1257" t="s">
        <v>1745</v>
      </c>
      <c r="C84" s="1257"/>
      <c r="D84" s="1257"/>
      <c r="E84" s="1257"/>
      <c r="F84" s="1257"/>
      <c r="G84" s="1257"/>
      <c r="H84" s="351" t="s">
        <v>7</v>
      </c>
      <c r="I84" s="597"/>
      <c r="J84" s="351" t="s">
        <v>7</v>
      </c>
      <c r="K84" s="597">
        <f ca="1">SUM(I83:I84)</f>
        <v>57363</v>
      </c>
      <c r="L84" s="414" t="str">
        <f t="shared" si="11"/>
        <v/>
      </c>
      <c r="M84" s="607"/>
      <c r="N84" s="542">
        <v>1</v>
      </c>
    </row>
    <row r="85" spans="1:14" ht="18.75">
      <c r="A85" s="339"/>
      <c r="B85" s="1261" t="s">
        <v>1746</v>
      </c>
      <c r="C85" s="1261"/>
      <c r="D85" s="1261"/>
      <c r="E85" s="1261"/>
      <c r="F85" s="1261"/>
      <c r="G85" s="1261"/>
      <c r="H85" s="372" t="str">
        <f t="shared" si="12"/>
        <v/>
      </c>
      <c r="I85" s="599"/>
      <c r="J85" s="372" t="str">
        <f t="shared" si="13"/>
        <v/>
      </c>
      <c r="K85" s="599"/>
      <c r="L85" s="417" t="s">
        <v>7</v>
      </c>
      <c r="M85" s="610">
        <f ca="1">IF(SB!G78=0,-K84,M82-K84)</f>
        <v>0</v>
      </c>
      <c r="N85" s="542">
        <v>1</v>
      </c>
    </row>
    <row r="86" spans="1:14" ht="25.5" customHeight="1">
      <c r="A86" s="1226" t="s">
        <v>1445</v>
      </c>
      <c r="B86" s="1227"/>
      <c r="C86" s="1227"/>
      <c r="D86" s="1227"/>
      <c r="E86" s="1227"/>
      <c r="F86" s="1227"/>
      <c r="G86" s="1227"/>
      <c r="H86" s="1227"/>
      <c r="I86" s="1227"/>
      <c r="J86" s="1227"/>
      <c r="K86" s="1227"/>
      <c r="L86" s="1227"/>
      <c r="M86" s="1228"/>
      <c r="N86" s="542">
        <v>1</v>
      </c>
    </row>
    <row r="87" spans="1:14" ht="111.75" customHeight="1">
      <c r="A87" s="1258" t="str">
        <f ca="1">CONCATENATE("          I ", Main!BZ26," ",  Main!BZ22, " working in the capacity of ",UPPER(Main!C22),", ",UPPER(Main!C23), " do here by certify that the sum of Rs ",L19,"/- ( Rs: ",UPPER(Main!T283)," in words ) ", "has been deducted  and deposited to the credit of the Central Governement. I further certifify that the information given about is true,"," complete and correct and is based on the books of account, documents, TDS statement ,TDS deposited and other available records.")</f>
        <v xml:space="preserve">          I Smt: P.PARVATHI  Daughter of Sri _______________ working in the capacity of PRINCIPAL, STPM GOVT IASE, NELLORE do here by certify that the sum of Rs 57363/- ( Rs: FIFTY SEVEN THOUSAND THREE HUNDRED AND SIXTY THREE in words ) has been deducted  and deposited to the credit of the Central Governement. I further certifify that the information given about is true, complete and correct and is based on the books of account, documents, TDS statement ,TDS deposited and other available records.</v>
      </c>
      <c r="B87" s="1259"/>
      <c r="C87" s="1259"/>
      <c r="D87" s="1259"/>
      <c r="E87" s="1259"/>
      <c r="F87" s="1259"/>
      <c r="G87" s="1259"/>
      <c r="H87" s="1259"/>
      <c r="I87" s="1259"/>
      <c r="J87" s="1259"/>
      <c r="K87" s="1259"/>
      <c r="L87" s="1259"/>
      <c r="M87" s="1260"/>
      <c r="N87" s="542">
        <v>1</v>
      </c>
    </row>
    <row r="88" spans="1:14" ht="11.25" customHeight="1">
      <c r="A88" s="343"/>
      <c r="B88" s="384"/>
      <c r="C88" s="384"/>
      <c r="D88" s="385"/>
      <c r="E88" s="385"/>
      <c r="F88" s="385"/>
      <c r="G88" s="385"/>
      <c r="H88" s="385"/>
      <c r="I88" s="405"/>
      <c r="J88" s="385"/>
      <c r="K88" s="385"/>
      <c r="L88" s="385"/>
      <c r="M88" s="386"/>
      <c r="N88" s="542">
        <v>1</v>
      </c>
    </row>
    <row r="89" spans="1:14" ht="31.5" customHeight="1">
      <c r="A89" s="1237" t="s">
        <v>1653</v>
      </c>
      <c r="B89" s="1238"/>
      <c r="C89" s="1238"/>
      <c r="D89" s="1391" t="str">
        <f>Main!C23</f>
        <v>STPM Govt IASE, Nellore</v>
      </c>
      <c r="E89" s="1392"/>
      <c r="F89" s="1392"/>
      <c r="G89" s="1393"/>
      <c r="H89" s="1254"/>
      <c r="I89" s="1255"/>
      <c r="J89" s="1255"/>
      <c r="K89" s="1255"/>
      <c r="L89" s="1255"/>
      <c r="M89" s="1262"/>
      <c r="N89" s="542">
        <v>1</v>
      </c>
    </row>
    <row r="90" spans="1:14" ht="18.75">
      <c r="A90" s="1252" t="s">
        <v>1654</v>
      </c>
      <c r="B90" s="1253"/>
      <c r="C90" s="1253"/>
      <c r="D90" s="1254"/>
      <c r="E90" s="1255"/>
      <c r="F90" s="1255"/>
      <c r="G90" s="1256"/>
      <c r="H90" s="1263" t="s">
        <v>1655</v>
      </c>
      <c r="I90" s="1264"/>
      <c r="J90" s="1264"/>
      <c r="K90" s="1264"/>
      <c r="L90" s="1264"/>
      <c r="M90" s="1265"/>
      <c r="N90" s="542">
        <v>1</v>
      </c>
    </row>
    <row r="91" spans="1:14" ht="18.75">
      <c r="A91" s="1394" t="s">
        <v>1427</v>
      </c>
      <c r="B91" s="1395"/>
      <c r="C91" s="1395"/>
      <c r="D91" s="1396" t="str">
        <f>Main!C22</f>
        <v>Principal</v>
      </c>
      <c r="E91" s="1397"/>
      <c r="F91" s="1397"/>
      <c r="G91" s="1398"/>
      <c r="H91" s="1421" t="str">
        <f>CONCATENATE("Full Name: ",Main!BZ26)</f>
        <v>Full Name: Smt: P.PARVATHI</v>
      </c>
      <c r="I91" s="1422"/>
      <c r="J91" s="1422"/>
      <c r="K91" s="1422"/>
      <c r="L91" s="1422"/>
      <c r="M91" s="1423"/>
      <c r="N91" s="542">
        <v>1</v>
      </c>
    </row>
    <row r="92" spans="1:14" ht="18.75">
      <c r="A92" s="344"/>
      <c r="B92" s="300"/>
      <c r="C92" s="300"/>
      <c r="D92" s="300"/>
      <c r="E92" s="300"/>
      <c r="F92" s="300"/>
      <c r="G92" s="300"/>
      <c r="H92" s="300"/>
      <c r="I92" s="406"/>
      <c r="J92" s="300"/>
      <c r="K92" s="300"/>
      <c r="L92" s="418"/>
      <c r="M92" s="345"/>
      <c r="N92" s="542">
        <v>1</v>
      </c>
    </row>
    <row r="93" spans="1:14" ht="9" customHeight="1">
      <c r="A93" s="344"/>
      <c r="B93" s="302"/>
      <c r="C93" s="301"/>
      <c r="D93" s="301"/>
      <c r="E93" s="301"/>
      <c r="F93" s="301"/>
      <c r="G93" s="302"/>
      <c r="H93" s="302"/>
      <c r="I93" s="407"/>
      <c r="J93" s="302"/>
      <c r="K93" s="302"/>
      <c r="L93" s="302"/>
      <c r="M93" s="350"/>
      <c r="N93" s="542">
        <v>1</v>
      </c>
    </row>
    <row r="94" spans="1:14" ht="15.75" customHeight="1">
      <c r="A94" s="376"/>
      <c r="B94" s="352"/>
      <c r="C94" s="352"/>
      <c r="D94" s="352"/>
      <c r="E94" s="352"/>
      <c r="F94" s="352"/>
      <c r="G94" s="352"/>
      <c r="H94" s="352"/>
      <c r="I94" s="408"/>
      <c r="J94" s="352"/>
      <c r="K94" s="352"/>
      <c r="L94" s="352"/>
      <c r="M94" s="377"/>
      <c r="N94" s="542">
        <v>1</v>
      </c>
    </row>
    <row r="95" spans="1:14" ht="18.75">
      <c r="A95" s="1223" t="s">
        <v>1656</v>
      </c>
      <c r="B95" s="1224"/>
      <c r="C95" s="1224"/>
      <c r="D95" s="1224"/>
      <c r="E95" s="1224"/>
      <c r="F95" s="1224"/>
      <c r="G95" s="1224"/>
      <c r="H95" s="1224"/>
      <c r="I95" s="1224"/>
      <c r="J95" s="1224"/>
      <c r="K95" s="1224"/>
      <c r="L95" s="1224"/>
      <c r="M95" s="1225"/>
      <c r="N95" s="542">
        <v>1</v>
      </c>
    </row>
    <row r="96" spans="1:14" ht="18.75">
      <c r="A96" s="1232" t="s">
        <v>1657</v>
      </c>
      <c r="B96" s="1233"/>
      <c r="C96" s="1233"/>
      <c r="D96" s="1233"/>
      <c r="E96" s="1233"/>
      <c r="F96" s="1233"/>
      <c r="G96" s="1233"/>
      <c r="H96" s="1233"/>
      <c r="I96" s="1233"/>
      <c r="J96" s="1233"/>
      <c r="K96" s="1233"/>
      <c r="L96" s="1233"/>
      <c r="M96" s="1234"/>
      <c r="N96" s="542">
        <v>1</v>
      </c>
    </row>
    <row r="97" spans="1:15" ht="18.75">
      <c r="A97" s="1248" t="s">
        <v>1658</v>
      </c>
      <c r="B97" s="1249"/>
      <c r="C97" s="1249"/>
      <c r="D97" s="1249"/>
      <c r="E97" s="1249"/>
      <c r="F97" s="1249"/>
      <c r="G97" s="1249"/>
      <c r="H97" s="1249"/>
      <c r="I97" s="1249"/>
      <c r="J97" s="1249"/>
      <c r="K97" s="1249"/>
      <c r="L97" s="1249"/>
      <c r="M97" s="1250"/>
      <c r="N97" s="542">
        <v>1</v>
      </c>
    </row>
    <row r="98" spans="1:15" ht="15" customHeight="1">
      <c r="A98" s="1251" t="s">
        <v>1659</v>
      </c>
      <c r="B98" s="1220" t="s">
        <v>1660</v>
      </c>
      <c r="C98" s="1220"/>
      <c r="D98" s="1220"/>
      <c r="E98" s="1215" t="s">
        <v>1661</v>
      </c>
      <c r="F98" s="1215"/>
      <c r="G98" s="1215"/>
      <c r="H98" s="1215"/>
      <c r="I98" s="1215"/>
      <c r="J98" s="1215"/>
      <c r="K98" s="1215"/>
      <c r="L98" s="1215"/>
      <c r="M98" s="1216"/>
      <c r="N98" s="542">
        <v>1</v>
      </c>
    </row>
    <row r="99" spans="1:15" ht="37.5" customHeight="1">
      <c r="A99" s="1251"/>
      <c r="B99" s="1220"/>
      <c r="C99" s="1220"/>
      <c r="D99" s="1220"/>
      <c r="E99" s="1215" t="s">
        <v>1737</v>
      </c>
      <c r="F99" s="1215"/>
      <c r="G99" s="1215"/>
      <c r="H99" s="1219" t="s">
        <v>1662</v>
      </c>
      <c r="I99" s="1219"/>
      <c r="J99" s="1219"/>
      <c r="K99" s="1220" t="s">
        <v>1663</v>
      </c>
      <c r="L99" s="1220"/>
      <c r="M99" s="1221"/>
      <c r="N99" s="542">
        <v>1</v>
      </c>
    </row>
    <row r="100" spans="1:15" s="693" customFormat="1" ht="18" customHeight="1">
      <c r="A100" s="692">
        <f>SUM($N$100:N100)</f>
        <v>1</v>
      </c>
      <c r="B100" s="1214">
        <f>IF('Advance Tax'!D3&gt;0,'Advance Tax'!D3,0)</f>
        <v>0</v>
      </c>
      <c r="C100" s="1214"/>
      <c r="D100" s="1214"/>
      <c r="E100" s="1213" t="str">
        <f>IF(B100&gt;0,'Advance Tax'!E3,"")</f>
        <v/>
      </c>
      <c r="F100" s="1213"/>
      <c r="G100" s="1213"/>
      <c r="H100" s="1222" t="str">
        <f>IF(E100="","",'Advance Tax'!F3)</f>
        <v/>
      </c>
      <c r="I100" s="1222"/>
      <c r="J100" s="1222"/>
      <c r="K100" s="1217" t="str">
        <f>IF(E100="","",'Advance Tax'!G3)</f>
        <v/>
      </c>
      <c r="L100" s="1217"/>
      <c r="M100" s="1218"/>
      <c r="N100" s="542">
        <v>1</v>
      </c>
      <c r="O100" s="541"/>
    </row>
    <row r="101" spans="1:15" s="693" customFormat="1" ht="18" customHeight="1">
      <c r="A101" s="692">
        <f>SUM($N$100:N101)</f>
        <v>2</v>
      </c>
      <c r="B101" s="1214">
        <f>IF('Advance Tax'!D4&gt;0,'Advance Tax'!D4,0)</f>
        <v>0</v>
      </c>
      <c r="C101" s="1214"/>
      <c r="D101" s="1214"/>
      <c r="E101" s="1213" t="str">
        <f>IF(B101&gt;0,'Advance Tax'!E4,"")</f>
        <v/>
      </c>
      <c r="F101" s="1213"/>
      <c r="G101" s="1213"/>
      <c r="H101" s="1222" t="str">
        <f>IF(E101="","",'Advance Tax'!F4)</f>
        <v/>
      </c>
      <c r="I101" s="1222"/>
      <c r="J101" s="1222"/>
      <c r="K101" s="1217" t="str">
        <f>IF(E101="","",'Advance Tax'!G4)</f>
        <v/>
      </c>
      <c r="L101" s="1217"/>
      <c r="M101" s="1218"/>
      <c r="N101" s="542">
        <v>1</v>
      </c>
      <c r="O101" s="541"/>
    </row>
    <row r="102" spans="1:15" s="693" customFormat="1" ht="18" customHeight="1">
      <c r="A102" s="692">
        <f>SUM($N$100:N102)</f>
        <v>3</v>
      </c>
      <c r="B102" s="1214">
        <f>IF('Advance Tax'!D5&gt;0,'Advance Tax'!D5,0)</f>
        <v>0</v>
      </c>
      <c r="C102" s="1214"/>
      <c r="D102" s="1214"/>
      <c r="E102" s="1213" t="str">
        <f>IF(B102&gt;0,'Advance Tax'!E5,"")</f>
        <v/>
      </c>
      <c r="F102" s="1213"/>
      <c r="G102" s="1213"/>
      <c r="H102" s="1222" t="str">
        <f>IF(E102="","",'Advance Tax'!F5)</f>
        <v/>
      </c>
      <c r="I102" s="1222"/>
      <c r="J102" s="1222"/>
      <c r="K102" s="1217" t="str">
        <f>IF(E102="","",'Advance Tax'!G5)</f>
        <v/>
      </c>
      <c r="L102" s="1217"/>
      <c r="M102" s="1218"/>
      <c r="N102" s="542">
        <v>1</v>
      </c>
      <c r="O102" s="541"/>
    </row>
    <row r="103" spans="1:15" s="693" customFormat="1" ht="18" customHeight="1">
      <c r="A103" s="692">
        <f>SUM($N$100:N103)</f>
        <v>4</v>
      </c>
      <c r="B103" s="1214">
        <f>IF('Advance Tax'!D6&gt;0,'Advance Tax'!D6,0)</f>
        <v>0</v>
      </c>
      <c r="C103" s="1214"/>
      <c r="D103" s="1214"/>
      <c r="E103" s="1213" t="str">
        <f>IF(B103&gt;0,'Advance Tax'!E6,"")</f>
        <v/>
      </c>
      <c r="F103" s="1213"/>
      <c r="G103" s="1213"/>
      <c r="H103" s="1222" t="str">
        <f>IF(E103="","",'Advance Tax'!F6)</f>
        <v/>
      </c>
      <c r="I103" s="1222"/>
      <c r="J103" s="1222"/>
      <c r="K103" s="1217" t="str">
        <f>IF(E103="","",'Advance Tax'!G6)</f>
        <v/>
      </c>
      <c r="L103" s="1217"/>
      <c r="M103" s="1218"/>
      <c r="N103" s="542">
        <v>1</v>
      </c>
      <c r="O103" s="541"/>
    </row>
    <row r="104" spans="1:15" s="693" customFormat="1" ht="18" customHeight="1">
      <c r="A104" s="692">
        <f>SUM($N$100:N104)</f>
        <v>5</v>
      </c>
      <c r="B104" s="1214">
        <f>IF('Advance Tax'!D7&gt;0,'Advance Tax'!D7,0)</f>
        <v>0</v>
      </c>
      <c r="C104" s="1214"/>
      <c r="D104" s="1214"/>
      <c r="E104" s="1213" t="str">
        <f>IF(B104&gt;0,'Advance Tax'!E7,"")</f>
        <v/>
      </c>
      <c r="F104" s="1213"/>
      <c r="G104" s="1213"/>
      <c r="H104" s="1222" t="str">
        <f>IF(E104="","",'Advance Tax'!F7)</f>
        <v/>
      </c>
      <c r="I104" s="1222"/>
      <c r="J104" s="1222"/>
      <c r="K104" s="1217" t="str">
        <f>IF(E104="","",'Advance Tax'!G7)</f>
        <v/>
      </c>
      <c r="L104" s="1217"/>
      <c r="M104" s="1218"/>
      <c r="N104" s="542">
        <v>1</v>
      </c>
      <c r="O104" s="541"/>
    </row>
    <row r="105" spans="1:15" s="693" customFormat="1" ht="18" customHeight="1">
      <c r="A105" s="692">
        <f>SUM($N$100:N105)</f>
        <v>6</v>
      </c>
      <c r="B105" s="1214">
        <f>IF('Advance Tax'!D8&gt;0,'Advance Tax'!D8,0)</f>
        <v>0</v>
      </c>
      <c r="C105" s="1214"/>
      <c r="D105" s="1214"/>
      <c r="E105" s="1213" t="str">
        <f>IF(B105&gt;0,'Advance Tax'!E8,"")</f>
        <v/>
      </c>
      <c r="F105" s="1213"/>
      <c r="G105" s="1213"/>
      <c r="H105" s="1222" t="str">
        <f>IF(E105="","",'Advance Tax'!F8)</f>
        <v/>
      </c>
      <c r="I105" s="1222"/>
      <c r="J105" s="1222"/>
      <c r="K105" s="1217" t="str">
        <f>IF(E105="","",'Advance Tax'!G8)</f>
        <v/>
      </c>
      <c r="L105" s="1217"/>
      <c r="M105" s="1218"/>
      <c r="N105" s="542">
        <v>1</v>
      </c>
      <c r="O105" s="541"/>
    </row>
    <row r="106" spans="1:15" s="693" customFormat="1" ht="18" customHeight="1">
      <c r="A106" s="692">
        <f>SUM($N$100:N106)</f>
        <v>7</v>
      </c>
      <c r="B106" s="1214">
        <f>IF('Advance Tax'!D9&gt;0,'Advance Tax'!D9,0)</f>
        <v>0</v>
      </c>
      <c r="C106" s="1214"/>
      <c r="D106" s="1214"/>
      <c r="E106" s="1213" t="str">
        <f>IF(B106&gt;0,'Advance Tax'!E9,"")</f>
        <v/>
      </c>
      <c r="F106" s="1213"/>
      <c r="G106" s="1213"/>
      <c r="H106" s="1222" t="str">
        <f>IF(E106="","",'Advance Tax'!F9)</f>
        <v/>
      </c>
      <c r="I106" s="1222"/>
      <c r="J106" s="1222"/>
      <c r="K106" s="1217" t="str">
        <f>IF(E106="","",'Advance Tax'!G9)</f>
        <v/>
      </c>
      <c r="L106" s="1217"/>
      <c r="M106" s="1218"/>
      <c r="N106" s="542">
        <v>1</v>
      </c>
      <c r="O106" s="541"/>
    </row>
    <row r="107" spans="1:15" s="693" customFormat="1" ht="18" customHeight="1">
      <c r="A107" s="692">
        <f>SUM($N$100:N107)</f>
        <v>8</v>
      </c>
      <c r="B107" s="1214">
        <f>IF('Advance Tax'!D10&gt;0,'Advance Tax'!D10,0)</f>
        <v>0</v>
      </c>
      <c r="C107" s="1214"/>
      <c r="D107" s="1214"/>
      <c r="E107" s="1213" t="str">
        <f>IF(B107&gt;0,'Advance Tax'!E10,"")</f>
        <v/>
      </c>
      <c r="F107" s="1213"/>
      <c r="G107" s="1213"/>
      <c r="H107" s="1222" t="str">
        <f>IF(E107="","",'Advance Tax'!F10)</f>
        <v/>
      </c>
      <c r="I107" s="1222"/>
      <c r="J107" s="1222"/>
      <c r="K107" s="1217" t="str">
        <f>IF(E107="","",'Advance Tax'!G10)</f>
        <v/>
      </c>
      <c r="L107" s="1217"/>
      <c r="M107" s="1218"/>
      <c r="N107" s="542">
        <v>1</v>
      </c>
      <c r="O107" s="541"/>
    </row>
    <row r="108" spans="1:15" s="693" customFormat="1" ht="18" customHeight="1">
      <c r="A108" s="692">
        <f>SUM($N$100:N108)</f>
        <v>9</v>
      </c>
      <c r="B108" s="1214">
        <f>IF('Advance Tax'!D11&gt;0,'Advance Tax'!D11,0)</f>
        <v>0</v>
      </c>
      <c r="C108" s="1214"/>
      <c r="D108" s="1214"/>
      <c r="E108" s="1213" t="str">
        <f>IF(B108&gt;0,'Advance Tax'!E11,"")</f>
        <v/>
      </c>
      <c r="F108" s="1213"/>
      <c r="G108" s="1213"/>
      <c r="H108" s="1222" t="str">
        <f>IF(E108="","",'Advance Tax'!F11)</f>
        <v/>
      </c>
      <c r="I108" s="1222"/>
      <c r="J108" s="1222"/>
      <c r="K108" s="1217" t="str">
        <f>IF(E108="","",'Advance Tax'!G11)</f>
        <v/>
      </c>
      <c r="L108" s="1217"/>
      <c r="M108" s="1218"/>
      <c r="N108" s="542">
        <v>1</v>
      </c>
      <c r="O108" s="541"/>
    </row>
    <row r="109" spans="1:15" s="693" customFormat="1" ht="18" customHeight="1">
      <c r="A109" s="692">
        <f>SUM($N$100:N109)</f>
        <v>10</v>
      </c>
      <c r="B109" s="1214">
        <f>IF('Advance Tax'!D12&gt;0,'Advance Tax'!D12,0)</f>
        <v>0</v>
      </c>
      <c r="C109" s="1214"/>
      <c r="D109" s="1214"/>
      <c r="E109" s="1213" t="str">
        <f>IF(B109&gt;0,'Advance Tax'!E12,"")</f>
        <v/>
      </c>
      <c r="F109" s="1213"/>
      <c r="G109" s="1213"/>
      <c r="H109" s="1222" t="str">
        <f>IF(E109="","",'Advance Tax'!F12)</f>
        <v/>
      </c>
      <c r="I109" s="1222"/>
      <c r="J109" s="1222"/>
      <c r="K109" s="1217" t="str">
        <f>IF(E109="","",'Advance Tax'!G12)</f>
        <v/>
      </c>
      <c r="L109" s="1217"/>
      <c r="M109" s="1218"/>
      <c r="N109" s="542">
        <v>1</v>
      </c>
      <c r="O109" s="541"/>
    </row>
    <row r="110" spans="1:15" s="693" customFormat="1" ht="18" customHeight="1">
      <c r="A110" s="692">
        <f>SUM($N$100:N110)</f>
        <v>11</v>
      </c>
      <c r="B110" s="1214">
        <f>IF('Advance Tax'!D13&gt;0,'Advance Tax'!D13,0)</f>
        <v>0</v>
      </c>
      <c r="C110" s="1214"/>
      <c r="D110" s="1214"/>
      <c r="E110" s="1213" t="str">
        <f>IF(B110&gt;0,'Advance Tax'!E13,"")</f>
        <v/>
      </c>
      <c r="F110" s="1213"/>
      <c r="G110" s="1213"/>
      <c r="H110" s="1222" t="str">
        <f>IF(E110="","",'Advance Tax'!F13)</f>
        <v/>
      </c>
      <c r="I110" s="1222"/>
      <c r="J110" s="1222"/>
      <c r="K110" s="1217" t="str">
        <f>IF(E110="","",'Advance Tax'!G13)</f>
        <v/>
      </c>
      <c r="L110" s="1217"/>
      <c r="M110" s="1218"/>
      <c r="N110" s="542">
        <v>1</v>
      </c>
      <c r="O110" s="541"/>
    </row>
    <row r="111" spans="1:15" s="693" customFormat="1" ht="18" customHeight="1">
      <c r="A111" s="692">
        <f>SUM($N$100:N111)</f>
        <v>12</v>
      </c>
      <c r="B111" s="1214">
        <f ca="1">IF('Advance Tax'!D14&gt;0,'Advance Tax'!D14,0)</f>
        <v>57363</v>
      </c>
      <c r="C111" s="1214"/>
      <c r="D111" s="1214"/>
      <c r="E111" s="1213">
        <f ca="1">IF(B111&gt;0,'Advance Tax'!E14,"")</f>
        <v>0</v>
      </c>
      <c r="F111" s="1213"/>
      <c r="G111" s="1213"/>
      <c r="H111" s="1222">
        <f ca="1">IF(E111="","",'Advance Tax'!F14)</f>
        <v>0</v>
      </c>
      <c r="I111" s="1222"/>
      <c r="J111" s="1222"/>
      <c r="K111" s="1427">
        <f ca="1">IF(E111="","",'Advance Tax'!G14)</f>
        <v>42460</v>
      </c>
      <c r="L111" s="1428"/>
      <c r="M111" s="1429"/>
      <c r="N111" s="542">
        <v>1</v>
      </c>
      <c r="O111" s="541"/>
    </row>
    <row r="112" spans="1:15" ht="24.75" customHeight="1">
      <c r="A112" s="378" t="s">
        <v>31</v>
      </c>
      <c r="B112" s="1350">
        <f ca="1">SUM(B100:D111)</f>
        <v>57363</v>
      </c>
      <c r="C112" s="1351"/>
      <c r="D112" s="1352"/>
      <c r="E112" s="1424"/>
      <c r="F112" s="1425"/>
      <c r="G112" s="1425"/>
      <c r="H112" s="1426"/>
      <c r="I112" s="1426"/>
      <c r="J112" s="1426"/>
      <c r="K112" s="1419"/>
      <c r="L112" s="1419"/>
      <c r="M112" s="1420"/>
      <c r="N112" s="542">
        <v>1</v>
      </c>
    </row>
    <row r="113" spans="1:14" ht="12.75" customHeight="1">
      <c r="A113" s="346"/>
      <c r="B113" s="303"/>
      <c r="C113" s="303"/>
      <c r="D113" s="303"/>
      <c r="E113" s="303"/>
      <c r="F113" s="303"/>
      <c r="G113" s="303"/>
      <c r="H113" s="303"/>
      <c r="I113" s="409"/>
      <c r="J113" s="303"/>
      <c r="K113" s="303"/>
      <c r="L113" s="419"/>
      <c r="M113" s="347"/>
      <c r="N113" s="542">
        <v>1</v>
      </c>
    </row>
    <row r="114" spans="1:14" ht="18.75">
      <c r="A114" s="1361" t="s">
        <v>1664</v>
      </c>
      <c r="B114" s="1362"/>
      <c r="C114" s="1362"/>
      <c r="D114" s="1362"/>
      <c r="E114" s="1362"/>
      <c r="F114" s="1362"/>
      <c r="G114" s="1362"/>
      <c r="H114" s="1362"/>
      <c r="I114" s="1362"/>
      <c r="J114" s="1362"/>
      <c r="K114" s="1362"/>
      <c r="L114" s="1362"/>
      <c r="M114" s="1363"/>
      <c r="N114" s="542">
        <v>1</v>
      </c>
    </row>
    <row r="115" spans="1:14" ht="18.75">
      <c r="A115" s="1364" t="s">
        <v>1665</v>
      </c>
      <c r="B115" s="1365"/>
      <c r="C115" s="1365"/>
      <c r="D115" s="1365"/>
      <c r="E115" s="1365"/>
      <c r="F115" s="1365"/>
      <c r="G115" s="1365"/>
      <c r="H115" s="1365"/>
      <c r="I115" s="1365"/>
      <c r="J115" s="1365"/>
      <c r="K115" s="1365"/>
      <c r="L115" s="1365"/>
      <c r="M115" s="1366"/>
      <c r="N115" s="542">
        <v>1</v>
      </c>
    </row>
    <row r="116" spans="1:14" ht="18.75">
      <c r="A116" s="1353" t="s">
        <v>1666</v>
      </c>
      <c r="B116" s="1354"/>
      <c r="C116" s="1354"/>
      <c r="D116" s="1354"/>
      <c r="E116" s="1354"/>
      <c r="F116" s="1354"/>
      <c r="G116" s="1354"/>
      <c r="H116" s="1354"/>
      <c r="I116" s="1354"/>
      <c r="J116" s="1354"/>
      <c r="K116" s="1354"/>
      <c r="L116" s="1354"/>
      <c r="M116" s="1355"/>
      <c r="N116" s="542">
        <v>1</v>
      </c>
    </row>
    <row r="117" spans="1:14" ht="15" customHeight="1">
      <c r="A117" s="1356" t="s">
        <v>1659</v>
      </c>
      <c r="B117" s="1335" t="s">
        <v>1667</v>
      </c>
      <c r="C117" s="1336"/>
      <c r="D117" s="1336"/>
      <c r="E117" s="1336"/>
      <c r="F117" s="1337"/>
      <c r="G117" s="1358" t="s">
        <v>1668</v>
      </c>
      <c r="H117" s="1358"/>
      <c r="I117" s="1358"/>
      <c r="J117" s="1358"/>
      <c r="K117" s="1358"/>
      <c r="L117" s="1358"/>
      <c r="M117" s="1359"/>
      <c r="N117" s="542">
        <v>1</v>
      </c>
    </row>
    <row r="118" spans="1:14" ht="33.75" customHeight="1">
      <c r="A118" s="1357"/>
      <c r="B118" s="1338"/>
      <c r="C118" s="1339"/>
      <c r="D118" s="1339"/>
      <c r="E118" s="1339"/>
      <c r="F118" s="1340"/>
      <c r="G118" s="1360" t="s">
        <v>1669</v>
      </c>
      <c r="H118" s="1360"/>
      <c r="I118" s="1360"/>
      <c r="J118" s="1360" t="s">
        <v>1670</v>
      </c>
      <c r="K118" s="1360"/>
      <c r="L118" s="1360" t="s">
        <v>1671</v>
      </c>
      <c r="M118" s="1371"/>
      <c r="N118" s="542">
        <v>1</v>
      </c>
    </row>
    <row r="119" spans="1:14" ht="18" customHeight="1">
      <c r="A119" s="543"/>
      <c r="B119" s="1367"/>
      <c r="C119" s="1430"/>
      <c r="D119" s="1430"/>
      <c r="E119" s="1430"/>
      <c r="F119" s="1368"/>
      <c r="G119" s="1367"/>
      <c r="H119" s="1430"/>
      <c r="I119" s="1368"/>
      <c r="J119" s="1367"/>
      <c r="K119" s="1368"/>
      <c r="L119" s="1367"/>
      <c r="M119" s="1372"/>
      <c r="N119" s="542">
        <v>1</v>
      </c>
    </row>
    <row r="120" spans="1:14" ht="18" customHeight="1">
      <c r="A120" s="543"/>
      <c r="B120" s="1367"/>
      <c r="C120" s="1430"/>
      <c r="D120" s="1430"/>
      <c r="E120" s="1430"/>
      <c r="F120" s="1368"/>
      <c r="G120" s="1367"/>
      <c r="H120" s="1430"/>
      <c r="I120" s="1368"/>
      <c r="J120" s="1367"/>
      <c r="K120" s="1368"/>
      <c r="L120" s="1367"/>
      <c r="M120" s="1372"/>
      <c r="N120" s="542">
        <v>1</v>
      </c>
    </row>
    <row r="121" spans="1:14" ht="18" customHeight="1">
      <c r="A121" s="543"/>
      <c r="B121" s="1367"/>
      <c r="C121" s="1430"/>
      <c r="D121" s="1430"/>
      <c r="E121" s="1430"/>
      <c r="F121" s="1368"/>
      <c r="G121" s="1367"/>
      <c r="H121" s="1430"/>
      <c r="I121" s="1368"/>
      <c r="J121" s="1367"/>
      <c r="K121" s="1368"/>
      <c r="L121" s="1367"/>
      <c r="M121" s="1372"/>
      <c r="N121" s="542">
        <v>1</v>
      </c>
    </row>
    <row r="122" spans="1:14" ht="18" hidden="1" customHeight="1">
      <c r="A122" s="543"/>
      <c r="B122" s="1367"/>
      <c r="C122" s="1430"/>
      <c r="D122" s="1430"/>
      <c r="E122" s="1430"/>
      <c r="F122" s="1368"/>
      <c r="G122" s="1367"/>
      <c r="H122" s="1430"/>
      <c r="I122" s="1368"/>
      <c r="J122" s="1367"/>
      <c r="K122" s="1368"/>
      <c r="L122" s="1367"/>
      <c r="M122" s="1372"/>
      <c r="N122" s="542"/>
    </row>
    <row r="123" spans="1:14" ht="18" hidden="1" customHeight="1">
      <c r="A123" s="543"/>
      <c r="B123" s="1367"/>
      <c r="C123" s="1430"/>
      <c r="D123" s="1430"/>
      <c r="E123" s="1430"/>
      <c r="F123" s="1368"/>
      <c r="G123" s="1367"/>
      <c r="H123" s="1430"/>
      <c r="I123" s="1368"/>
      <c r="J123" s="1367"/>
      <c r="K123" s="1368"/>
      <c r="L123" s="1367"/>
      <c r="M123" s="1372"/>
      <c r="N123" s="542"/>
    </row>
    <row r="124" spans="1:14" ht="18" hidden="1" customHeight="1">
      <c r="A124" s="544"/>
      <c r="B124" s="1329" t="s">
        <v>41</v>
      </c>
      <c r="C124" s="1330"/>
      <c r="D124" s="1330"/>
      <c r="E124" s="1330"/>
      <c r="F124" s="1331"/>
      <c r="G124" s="1347"/>
      <c r="H124" s="1348"/>
      <c r="I124" s="1349"/>
      <c r="J124" s="1367"/>
      <c r="K124" s="1368"/>
      <c r="L124" s="1367"/>
      <c r="M124" s="1372"/>
      <c r="N124" s="542"/>
    </row>
    <row r="125" spans="1:14" ht="18.75">
      <c r="A125" s="544" t="s">
        <v>31</v>
      </c>
      <c r="B125" s="1332"/>
      <c r="C125" s="1333"/>
      <c r="D125" s="1333"/>
      <c r="E125" s="1333"/>
      <c r="F125" s="1334"/>
      <c r="G125" s="1344"/>
      <c r="H125" s="1345"/>
      <c r="I125" s="1346"/>
      <c r="J125" s="1369"/>
      <c r="K125" s="1370"/>
      <c r="L125" s="1369"/>
      <c r="M125" s="1373"/>
      <c r="N125" s="542">
        <v>1</v>
      </c>
    </row>
    <row r="126" spans="1:14" ht="8.25" customHeight="1" thickBot="1">
      <c r="A126" s="545"/>
      <c r="B126" s="1341"/>
      <c r="C126" s="1342"/>
      <c r="D126" s="1342"/>
      <c r="E126" s="1342"/>
      <c r="F126" s="546"/>
      <c r="G126" s="1342"/>
      <c r="H126" s="1342"/>
      <c r="I126" s="1342"/>
      <c r="J126" s="546"/>
      <c r="K126" s="1342"/>
      <c r="L126" s="1342"/>
      <c r="M126" s="1343"/>
      <c r="N126" s="542">
        <v>1</v>
      </c>
    </row>
    <row r="127" spans="1:14" ht="15.75" thickTop="1">
      <c r="A127" s="547"/>
      <c r="B127" s="548"/>
      <c r="C127" s="548"/>
      <c r="D127" s="548"/>
      <c r="E127" s="548"/>
      <c r="F127" s="548"/>
      <c r="G127" s="548"/>
      <c r="H127" s="548"/>
      <c r="I127" s="549"/>
      <c r="J127" s="548"/>
      <c r="K127" s="548"/>
      <c r="L127" s="548"/>
      <c r="M127" s="548"/>
    </row>
    <row r="128" spans="1:14">
      <c r="A128" s="547"/>
      <c r="B128" s="548"/>
      <c r="C128" s="548"/>
      <c r="D128" s="548"/>
      <c r="E128" s="548"/>
      <c r="F128" s="548"/>
      <c r="G128" s="548"/>
      <c r="H128" s="548"/>
      <c r="I128" s="549"/>
      <c r="J128" s="548"/>
      <c r="K128" s="548"/>
      <c r="L128" s="548"/>
      <c r="M128" s="548"/>
    </row>
    <row r="129" spans="1:13">
      <c r="A129" s="547"/>
      <c r="B129" s="548"/>
      <c r="C129" s="548"/>
      <c r="D129" s="548"/>
      <c r="E129" s="548"/>
      <c r="F129" s="548"/>
      <c r="G129" s="548"/>
      <c r="H129" s="548"/>
      <c r="I129" s="549"/>
      <c r="J129" s="548"/>
      <c r="K129" s="548"/>
      <c r="L129" s="548"/>
      <c r="M129" s="548"/>
    </row>
    <row r="130" spans="1:13">
      <c r="A130" s="550"/>
      <c r="B130" s="550"/>
      <c r="C130" s="550"/>
      <c r="D130" s="550"/>
      <c r="E130" s="550"/>
      <c r="F130" s="550"/>
      <c r="G130" s="550"/>
      <c r="H130" s="550"/>
      <c r="I130" s="551"/>
      <c r="J130" s="550"/>
      <c r="K130" s="550"/>
      <c r="L130" s="552"/>
      <c r="M130" s="550"/>
    </row>
    <row r="131" spans="1:13">
      <c r="A131" s="553"/>
      <c r="B131" s="553"/>
      <c r="C131" s="553"/>
      <c r="D131" s="553"/>
      <c r="E131" s="553"/>
      <c r="F131" s="553"/>
      <c r="G131" s="553"/>
      <c r="H131" s="553"/>
      <c r="I131" s="554"/>
      <c r="J131" s="553"/>
      <c r="K131" s="553"/>
      <c r="L131" s="555"/>
      <c r="M131" s="553"/>
    </row>
    <row r="132" spans="1:13">
      <c r="A132" s="553"/>
      <c r="B132" s="553"/>
      <c r="C132" s="553"/>
      <c r="D132" s="553"/>
      <c r="E132" s="553"/>
      <c r="F132" s="553"/>
      <c r="G132" s="553"/>
      <c r="H132" s="553"/>
      <c r="I132" s="554"/>
      <c r="J132" s="553"/>
      <c r="K132" s="553"/>
      <c r="L132" s="555"/>
      <c r="M132" s="553"/>
    </row>
    <row r="133" spans="1:13">
      <c r="A133" s="553"/>
      <c r="B133" s="553"/>
      <c r="C133" s="553"/>
      <c r="D133" s="553"/>
      <c r="E133" s="553"/>
      <c r="F133" s="553"/>
      <c r="G133" s="553"/>
      <c r="H133" s="553"/>
      <c r="I133" s="554"/>
      <c r="J133" s="553"/>
      <c r="K133" s="553"/>
      <c r="L133" s="555"/>
      <c r="M133" s="553"/>
    </row>
    <row r="134" spans="1:13">
      <c r="A134" s="553"/>
      <c r="B134" s="553"/>
      <c r="C134" s="553"/>
      <c r="D134" s="553"/>
      <c r="E134" s="553"/>
      <c r="F134" s="553"/>
      <c r="G134" s="553"/>
      <c r="H134" s="553"/>
      <c r="I134" s="554"/>
      <c r="J134" s="553"/>
      <c r="K134" s="553"/>
      <c r="L134" s="555"/>
      <c r="M134" s="553"/>
    </row>
    <row r="135" spans="1:13">
      <c r="A135" s="553"/>
      <c r="B135" s="553"/>
      <c r="C135" s="553"/>
      <c r="D135" s="553"/>
      <c r="E135" s="553"/>
      <c r="F135" s="553"/>
      <c r="G135" s="553"/>
      <c r="H135" s="553"/>
      <c r="I135" s="554"/>
      <c r="J135" s="553"/>
      <c r="K135" s="553"/>
      <c r="L135" s="555"/>
      <c r="M135" s="553"/>
    </row>
    <row r="136" spans="1:13">
      <c r="A136" s="553"/>
      <c r="B136" s="553"/>
      <c r="C136" s="553"/>
      <c r="D136" s="553"/>
      <c r="E136" s="553"/>
      <c r="F136" s="553"/>
      <c r="G136" s="553"/>
      <c r="H136" s="553"/>
      <c r="I136" s="554"/>
      <c r="J136" s="553"/>
      <c r="K136" s="553"/>
      <c r="L136" s="555"/>
      <c r="M136" s="553"/>
    </row>
    <row r="137" spans="1:13">
      <c r="A137" s="553"/>
      <c r="B137" s="553"/>
      <c r="C137" s="553"/>
      <c r="D137" s="553"/>
      <c r="E137" s="553"/>
      <c r="F137" s="553"/>
      <c r="G137" s="553"/>
      <c r="H137" s="553"/>
      <c r="I137" s="554"/>
      <c r="J137" s="553"/>
      <c r="K137" s="553"/>
      <c r="L137" s="555"/>
      <c r="M137" s="553"/>
    </row>
    <row r="138" spans="1:13">
      <c r="A138" s="553"/>
      <c r="B138" s="553"/>
      <c r="C138" s="553"/>
      <c r="D138" s="553"/>
      <c r="E138" s="553"/>
      <c r="F138" s="553"/>
      <c r="G138" s="553"/>
      <c r="H138" s="553"/>
      <c r="I138" s="554"/>
      <c r="J138" s="553"/>
      <c r="K138" s="553"/>
      <c r="L138" s="555"/>
      <c r="M138" s="553"/>
    </row>
    <row r="139" spans="1:13">
      <c r="A139" s="553"/>
      <c r="B139" s="553"/>
      <c r="C139" s="553"/>
      <c r="D139" s="553"/>
      <c r="E139" s="553"/>
      <c r="F139" s="553"/>
      <c r="G139" s="553"/>
      <c r="H139" s="553"/>
      <c r="I139" s="554"/>
      <c r="J139" s="553"/>
      <c r="K139" s="553"/>
      <c r="L139" s="555"/>
      <c r="M139" s="553"/>
    </row>
    <row r="140" spans="1:13">
      <c r="A140" s="553"/>
      <c r="B140" s="553"/>
      <c r="C140" s="553"/>
      <c r="D140" s="553"/>
      <c r="E140" s="553"/>
      <c r="F140" s="553"/>
      <c r="G140" s="553"/>
      <c r="H140" s="553"/>
      <c r="I140" s="554"/>
      <c r="J140" s="553"/>
      <c r="K140" s="553"/>
      <c r="L140" s="555"/>
      <c r="M140" s="553"/>
    </row>
    <row r="141" spans="1:13">
      <c r="A141" s="553"/>
      <c r="B141" s="553"/>
      <c r="C141" s="553"/>
      <c r="D141" s="553"/>
      <c r="E141" s="553"/>
      <c r="F141" s="553"/>
      <c r="G141" s="553"/>
      <c r="H141" s="553"/>
      <c r="I141" s="554"/>
      <c r="J141" s="553"/>
      <c r="K141" s="553"/>
      <c r="L141" s="555"/>
      <c r="M141" s="553"/>
    </row>
    <row r="142" spans="1:13">
      <c r="A142" s="553"/>
      <c r="B142" s="553"/>
      <c r="C142" s="553"/>
      <c r="D142" s="553"/>
      <c r="E142" s="553"/>
      <c r="F142" s="553"/>
      <c r="G142" s="553"/>
      <c r="H142" s="553"/>
      <c r="I142" s="554"/>
      <c r="J142" s="553"/>
      <c r="K142" s="553"/>
      <c r="L142" s="555"/>
      <c r="M142" s="553"/>
    </row>
    <row r="143" spans="1:13">
      <c r="A143" s="553"/>
      <c r="B143" s="553"/>
      <c r="C143" s="553"/>
      <c r="D143" s="553"/>
      <c r="E143" s="553"/>
      <c r="F143" s="553"/>
      <c r="G143" s="553"/>
      <c r="H143" s="553"/>
      <c r="I143" s="554"/>
      <c r="J143" s="553"/>
      <c r="K143" s="553"/>
      <c r="L143" s="555"/>
      <c r="M143" s="553"/>
    </row>
    <row r="144" spans="1:13">
      <c r="A144" s="553"/>
      <c r="B144" s="553"/>
      <c r="C144" s="553"/>
      <c r="D144" s="553"/>
      <c r="E144" s="553"/>
      <c r="F144" s="553"/>
      <c r="G144" s="553"/>
      <c r="H144" s="553"/>
      <c r="I144" s="554"/>
      <c r="J144" s="553"/>
      <c r="K144" s="553"/>
      <c r="L144" s="555"/>
      <c r="M144" s="553"/>
    </row>
    <row r="145" spans="1:13">
      <c r="A145" s="553"/>
      <c r="B145" s="553"/>
      <c r="C145" s="553"/>
      <c r="D145" s="553"/>
      <c r="E145" s="553"/>
      <c r="F145" s="553"/>
      <c r="G145" s="553"/>
      <c r="H145" s="553"/>
      <c r="I145" s="554"/>
      <c r="J145" s="553"/>
      <c r="K145" s="553"/>
      <c r="L145" s="555"/>
      <c r="M145" s="553"/>
    </row>
    <row r="146" spans="1:13">
      <c r="A146" s="553"/>
      <c r="B146" s="553"/>
      <c r="C146" s="553"/>
      <c r="D146" s="553"/>
      <c r="E146" s="553"/>
      <c r="F146" s="553"/>
      <c r="G146" s="553"/>
      <c r="H146" s="553"/>
      <c r="I146" s="554"/>
      <c r="J146" s="553"/>
      <c r="K146" s="553"/>
      <c r="L146" s="555"/>
      <c r="M146" s="553"/>
    </row>
    <row r="147" spans="1:13">
      <c r="A147" s="553"/>
      <c r="B147" s="553"/>
      <c r="C147" s="553"/>
      <c r="D147" s="553"/>
      <c r="E147" s="553"/>
      <c r="F147" s="553"/>
      <c r="G147" s="553"/>
      <c r="H147" s="553"/>
      <c r="I147" s="554"/>
      <c r="J147" s="553"/>
      <c r="K147" s="553"/>
      <c r="L147" s="555"/>
      <c r="M147" s="553"/>
    </row>
    <row r="148" spans="1:13">
      <c r="A148" s="553"/>
      <c r="B148" s="553"/>
      <c r="C148" s="553"/>
      <c r="D148" s="553"/>
      <c r="E148" s="553"/>
      <c r="F148" s="553"/>
      <c r="G148" s="553"/>
      <c r="H148" s="553"/>
      <c r="I148" s="554"/>
      <c r="J148" s="553"/>
      <c r="K148" s="553"/>
      <c r="L148" s="555"/>
      <c r="M148" s="553"/>
    </row>
    <row r="149" spans="1:13">
      <c r="A149" s="553"/>
      <c r="B149" s="553"/>
      <c r="C149" s="553"/>
      <c r="D149" s="553"/>
      <c r="E149" s="553"/>
      <c r="F149" s="553"/>
      <c r="G149" s="553"/>
      <c r="H149" s="553"/>
      <c r="I149" s="554"/>
      <c r="J149" s="553"/>
      <c r="K149" s="553"/>
      <c r="L149" s="555"/>
      <c r="M149" s="553"/>
    </row>
    <row r="150" spans="1:13">
      <c r="A150" s="553"/>
      <c r="B150" s="553"/>
      <c r="C150" s="553"/>
      <c r="D150" s="553"/>
      <c r="E150" s="553"/>
      <c r="F150" s="553"/>
      <c r="G150" s="553"/>
      <c r="H150" s="553"/>
      <c r="I150" s="554"/>
      <c r="J150" s="553"/>
      <c r="K150" s="553"/>
      <c r="L150" s="555"/>
      <c r="M150" s="553"/>
    </row>
    <row r="151" spans="1:13">
      <c r="A151" s="553"/>
      <c r="B151" s="553"/>
      <c r="C151" s="553"/>
      <c r="D151" s="553"/>
      <c r="E151" s="553"/>
      <c r="F151" s="553"/>
      <c r="G151" s="553"/>
      <c r="H151" s="553"/>
      <c r="I151" s="554"/>
      <c r="J151" s="553"/>
      <c r="K151" s="553"/>
      <c r="L151" s="555"/>
      <c r="M151" s="553"/>
    </row>
    <row r="152" spans="1:13">
      <c r="A152" s="553"/>
      <c r="B152" s="553"/>
      <c r="C152" s="553"/>
      <c r="D152" s="553"/>
      <c r="E152" s="553"/>
      <c r="F152" s="553"/>
      <c r="G152" s="553"/>
      <c r="H152" s="553"/>
      <c r="I152" s="554"/>
      <c r="J152" s="553"/>
      <c r="K152" s="553"/>
      <c r="L152" s="555"/>
      <c r="M152" s="553"/>
    </row>
    <row r="153" spans="1:13">
      <c r="A153" s="553"/>
      <c r="B153" s="553"/>
      <c r="C153" s="553"/>
      <c r="D153" s="553"/>
      <c r="E153" s="553"/>
      <c r="F153" s="553"/>
      <c r="G153" s="553"/>
      <c r="H153" s="553"/>
      <c r="I153" s="554"/>
      <c r="J153" s="553"/>
      <c r="K153" s="553"/>
      <c r="L153" s="555"/>
      <c r="M153" s="553"/>
    </row>
    <row r="154" spans="1:13">
      <c r="A154" s="553"/>
      <c r="B154" s="553"/>
      <c r="C154" s="553"/>
      <c r="D154" s="553"/>
      <c r="E154" s="553"/>
      <c r="F154" s="553"/>
      <c r="G154" s="553"/>
      <c r="H154" s="553"/>
      <c r="I154" s="554"/>
      <c r="J154" s="553"/>
      <c r="K154" s="553"/>
      <c r="L154" s="555"/>
      <c r="M154" s="553"/>
    </row>
    <row r="155" spans="1:13">
      <c r="A155" s="553"/>
      <c r="B155" s="553"/>
      <c r="C155" s="553"/>
      <c r="D155" s="553"/>
      <c r="E155" s="553"/>
      <c r="F155" s="553"/>
      <c r="G155" s="553"/>
      <c r="H155" s="553"/>
      <c r="I155" s="554"/>
      <c r="J155" s="553"/>
      <c r="K155" s="553"/>
      <c r="L155" s="555"/>
      <c r="M155" s="553"/>
    </row>
    <row r="156" spans="1:13">
      <c r="A156" s="553"/>
      <c r="B156" s="553"/>
      <c r="C156" s="553"/>
      <c r="D156" s="553"/>
      <c r="E156" s="553"/>
      <c r="F156" s="553"/>
      <c r="G156" s="553"/>
      <c r="H156" s="553"/>
      <c r="I156" s="554"/>
      <c r="J156" s="553"/>
      <c r="K156" s="553"/>
      <c r="L156" s="555"/>
      <c r="M156" s="553"/>
    </row>
    <row r="157" spans="1:13">
      <c r="A157" s="553"/>
      <c r="B157" s="553"/>
      <c r="C157" s="553"/>
      <c r="D157" s="553"/>
      <c r="E157" s="553"/>
      <c r="F157" s="553"/>
      <c r="G157" s="553"/>
      <c r="H157" s="553"/>
      <c r="I157" s="554"/>
      <c r="J157" s="553"/>
      <c r="K157" s="553"/>
      <c r="L157" s="555"/>
      <c r="M157" s="553"/>
    </row>
    <row r="158" spans="1:13">
      <c r="A158" s="553"/>
      <c r="B158" s="553"/>
      <c r="C158" s="553"/>
      <c r="D158" s="553"/>
      <c r="E158" s="553"/>
      <c r="F158" s="553"/>
      <c r="G158" s="553"/>
      <c r="H158" s="553"/>
      <c r="I158" s="554"/>
      <c r="J158" s="553"/>
      <c r="K158" s="553"/>
      <c r="L158" s="555"/>
      <c r="M158" s="553"/>
    </row>
    <row r="159" spans="1:13">
      <c r="A159" s="553"/>
      <c r="B159" s="553"/>
      <c r="C159" s="553"/>
      <c r="D159" s="553"/>
      <c r="E159" s="553"/>
      <c r="F159" s="553"/>
      <c r="G159" s="553"/>
      <c r="H159" s="553"/>
      <c r="I159" s="554"/>
      <c r="J159" s="553"/>
      <c r="K159" s="553"/>
      <c r="L159" s="555"/>
      <c r="M159" s="553"/>
    </row>
    <row r="160" spans="1:13">
      <c r="A160" s="553"/>
      <c r="B160" s="553"/>
      <c r="C160" s="553"/>
      <c r="D160" s="553"/>
      <c r="E160" s="553"/>
      <c r="F160" s="553"/>
      <c r="G160" s="553"/>
      <c r="H160" s="553"/>
      <c r="I160" s="554"/>
      <c r="J160" s="553"/>
      <c r="K160" s="553"/>
      <c r="L160" s="555"/>
      <c r="M160" s="553"/>
    </row>
    <row r="161" spans="1:13">
      <c r="A161" s="553"/>
      <c r="B161" s="553"/>
      <c r="C161" s="553"/>
      <c r="D161" s="553"/>
      <c r="E161" s="553"/>
      <c r="F161" s="553"/>
      <c r="G161" s="553"/>
      <c r="H161" s="553"/>
      <c r="I161" s="554"/>
      <c r="J161" s="553"/>
      <c r="K161" s="553"/>
      <c r="L161" s="555"/>
      <c r="M161" s="553"/>
    </row>
    <row r="162" spans="1:13">
      <c r="A162" s="553"/>
      <c r="B162" s="553"/>
      <c r="C162" s="553"/>
      <c r="D162" s="553"/>
      <c r="E162" s="553"/>
      <c r="F162" s="553"/>
      <c r="G162" s="553"/>
      <c r="H162" s="553"/>
      <c r="I162" s="554"/>
      <c r="J162" s="553"/>
      <c r="K162" s="553"/>
      <c r="L162" s="555"/>
      <c r="M162" s="553"/>
    </row>
    <row r="163" spans="1:13">
      <c r="A163" s="553"/>
      <c r="B163" s="553"/>
      <c r="C163" s="553"/>
      <c r="D163" s="553"/>
      <c r="E163" s="553"/>
      <c r="F163" s="553"/>
      <c r="G163" s="553"/>
      <c r="H163" s="553"/>
      <c r="I163" s="554"/>
      <c r="J163" s="553"/>
      <c r="K163" s="553"/>
      <c r="L163" s="555"/>
      <c r="M163" s="553"/>
    </row>
    <row r="164" spans="1:13">
      <c r="A164" s="553"/>
      <c r="B164" s="553"/>
      <c r="C164" s="553"/>
      <c r="D164" s="553"/>
      <c r="E164" s="553"/>
      <c r="F164" s="553"/>
      <c r="G164" s="553"/>
      <c r="H164" s="553"/>
      <c r="I164" s="554"/>
      <c r="J164" s="553"/>
      <c r="K164" s="553"/>
      <c r="L164" s="555"/>
      <c r="M164" s="553"/>
    </row>
    <row r="165" spans="1:13">
      <c r="A165" s="553"/>
      <c r="B165" s="553"/>
      <c r="C165" s="553"/>
      <c r="D165" s="553"/>
      <c r="E165" s="553"/>
      <c r="F165" s="553"/>
      <c r="G165" s="553"/>
      <c r="H165" s="553"/>
      <c r="I165" s="554"/>
      <c r="J165" s="553"/>
      <c r="K165" s="553"/>
      <c r="L165" s="555"/>
      <c r="M165" s="553"/>
    </row>
    <row r="166" spans="1:13">
      <c r="A166" s="553"/>
      <c r="B166" s="553"/>
      <c r="C166" s="553"/>
      <c r="D166" s="553"/>
      <c r="E166" s="553"/>
      <c r="F166" s="553"/>
      <c r="G166" s="553"/>
      <c r="H166" s="553"/>
      <c r="I166" s="554"/>
      <c r="J166" s="553"/>
      <c r="K166" s="553"/>
      <c r="L166" s="555"/>
      <c r="M166" s="553"/>
    </row>
    <row r="167" spans="1:13">
      <c r="A167" s="553"/>
      <c r="B167" s="553"/>
      <c r="C167" s="553"/>
      <c r="D167" s="553"/>
      <c r="E167" s="553"/>
      <c r="F167" s="553"/>
      <c r="G167" s="553"/>
      <c r="H167" s="553"/>
      <c r="I167" s="554"/>
      <c r="J167" s="553"/>
      <c r="K167" s="553"/>
      <c r="L167" s="555"/>
      <c r="M167" s="553"/>
    </row>
    <row r="168" spans="1:13">
      <c r="A168" s="553"/>
      <c r="B168" s="553"/>
      <c r="C168" s="553"/>
      <c r="D168" s="553"/>
      <c r="E168" s="553"/>
      <c r="F168" s="553"/>
      <c r="G168" s="553"/>
      <c r="H168" s="553"/>
      <c r="I168" s="554"/>
      <c r="J168" s="553"/>
      <c r="K168" s="553"/>
      <c r="L168" s="555"/>
      <c r="M168" s="553"/>
    </row>
    <row r="169" spans="1:13">
      <c r="A169" s="553"/>
      <c r="B169" s="553"/>
      <c r="C169" s="553"/>
      <c r="D169" s="553"/>
      <c r="E169" s="553"/>
      <c r="F169" s="553"/>
      <c r="G169" s="553"/>
      <c r="H169" s="553"/>
      <c r="I169" s="554"/>
      <c r="J169" s="553"/>
      <c r="K169" s="553"/>
      <c r="L169" s="555"/>
      <c r="M169" s="553"/>
    </row>
    <row r="170" spans="1:13">
      <c r="A170" s="553"/>
      <c r="B170" s="553"/>
      <c r="C170" s="553"/>
      <c r="D170" s="553"/>
      <c r="E170" s="553"/>
      <c r="F170" s="553"/>
      <c r="G170" s="553"/>
      <c r="H170" s="553"/>
      <c r="I170" s="554"/>
      <c r="J170" s="553"/>
      <c r="K170" s="553"/>
      <c r="L170" s="555"/>
      <c r="M170" s="553"/>
    </row>
    <row r="171" spans="1:13">
      <c r="A171" s="553"/>
      <c r="B171" s="553"/>
      <c r="C171" s="553"/>
      <c r="D171" s="553"/>
      <c r="E171" s="553"/>
      <c r="F171" s="553"/>
      <c r="G171" s="553"/>
      <c r="H171" s="553"/>
      <c r="I171" s="554"/>
      <c r="J171" s="553"/>
      <c r="K171" s="553"/>
      <c r="L171" s="555"/>
      <c r="M171" s="553"/>
    </row>
    <row r="172" spans="1:13">
      <c r="A172" s="553"/>
      <c r="B172" s="553"/>
      <c r="C172" s="553"/>
      <c r="D172" s="553"/>
      <c r="E172" s="553"/>
      <c r="F172" s="553"/>
      <c r="G172" s="553"/>
      <c r="H172" s="553"/>
      <c r="I172" s="554"/>
      <c r="J172" s="553"/>
      <c r="K172" s="553"/>
      <c r="L172" s="555"/>
      <c r="M172" s="553"/>
    </row>
    <row r="173" spans="1:13">
      <c r="A173" s="553"/>
      <c r="B173" s="553"/>
      <c r="C173" s="553"/>
      <c r="D173" s="553"/>
      <c r="E173" s="553"/>
      <c r="F173" s="553"/>
      <c r="G173" s="553"/>
      <c r="H173" s="553"/>
      <c r="I173" s="554"/>
      <c r="J173" s="553"/>
      <c r="K173" s="553"/>
      <c r="L173" s="555"/>
      <c r="M173" s="553"/>
    </row>
    <row r="174" spans="1:13">
      <c r="A174" s="553"/>
      <c r="B174" s="553"/>
      <c r="C174" s="553"/>
      <c r="D174" s="553"/>
      <c r="E174" s="553"/>
      <c r="F174" s="553"/>
      <c r="G174" s="553"/>
      <c r="H174" s="553"/>
      <c r="I174" s="554"/>
      <c r="J174" s="553"/>
      <c r="K174" s="553"/>
      <c r="L174" s="555"/>
      <c r="M174" s="553"/>
    </row>
  </sheetData>
  <sheetProtection password="F90B" sheet="1" objects="1" scenarios="1" formatCells="0" formatColumns="0" formatRows="0" autoFilter="0"/>
  <autoFilter ref="N7:N126">
    <filterColumn colId="0">
      <customFilters>
        <customFilter operator="notEqual" val=" "/>
      </customFilters>
    </filterColumn>
  </autoFilter>
  <customSheetViews>
    <customSheetView guid="{AF8DD0C3-82AF-40F4-9518-B58C2E7D25DB}" filter="1" showAutoFilter="1" topLeftCell="A7">
      <selection activeCell="O6" sqref="O6"/>
      <rowBreaks count="1" manualBreakCount="1">
        <brk id="63" max="16383" man="1"/>
      </rowBreaks>
      <pageMargins left="0.45" right="0.45" top="0.5" bottom="0.5" header="0.3" footer="0.3"/>
      <printOptions horizontalCentered="1"/>
      <pageSetup paperSize="5" scale="80" orientation="portrait" verticalDpi="0" r:id="rId1"/>
      <autoFilter ref="N7:N121">
        <filterColumn colId="0">
          <customFilters>
            <customFilter operator="notEqual" val=" "/>
          </customFilters>
        </filterColumn>
      </autoFilter>
    </customSheetView>
    <customSheetView guid="{79BDAD5E-470D-413B-AE3A-BBB122EFD8E5}" showPageBreaks="1" printArea="1" filter="1" showAutoFilter="1" view="pageBreakPreview">
      <selection activeCell="L19" sqref="L19:M19"/>
      <rowBreaks count="1" manualBreakCount="1">
        <brk id="63" max="16383" man="1"/>
      </rowBreaks>
      <pageMargins left="0.45" right="0.45" top="0.5" bottom="0.5" header="0.3" footer="0.3"/>
      <printOptions horizontalCentered="1"/>
      <pageSetup paperSize="5" scale="80" orientation="portrait" verticalDpi="0" r:id="rId2"/>
      <autoFilter ref="N7:N125">
        <filterColumn colId="0">
          <customFilters>
            <customFilter operator="notEqual" val=" "/>
          </customFilters>
        </filterColumn>
      </autoFilter>
    </customSheetView>
  </customSheetViews>
  <mergeCells count="245">
    <mergeCell ref="E106:G106"/>
    <mergeCell ref="H105:J105"/>
    <mergeCell ref="B122:F122"/>
    <mergeCell ref="B123:F123"/>
    <mergeCell ref="G122:I122"/>
    <mergeCell ref="G123:I123"/>
    <mergeCell ref="J122:K122"/>
    <mergeCell ref="J123:K123"/>
    <mergeCell ref="L122:M122"/>
    <mergeCell ref="L123:M123"/>
    <mergeCell ref="L119:M119"/>
    <mergeCell ref="L120:M120"/>
    <mergeCell ref="L121:M121"/>
    <mergeCell ref="B119:F119"/>
    <mergeCell ref="B120:F120"/>
    <mergeCell ref="B121:F121"/>
    <mergeCell ref="G119:I119"/>
    <mergeCell ref="G120:I120"/>
    <mergeCell ref="G121:I121"/>
    <mergeCell ref="J119:K119"/>
    <mergeCell ref="J120:K120"/>
    <mergeCell ref="J121:K121"/>
    <mergeCell ref="H106:J106"/>
    <mergeCell ref="K105:M105"/>
    <mergeCell ref="B41:F41"/>
    <mergeCell ref="C36:G36"/>
    <mergeCell ref="C37:G37"/>
    <mergeCell ref="C42:F42"/>
    <mergeCell ref="C43:F43"/>
    <mergeCell ref="C44:F44"/>
    <mergeCell ref="J47:K47"/>
    <mergeCell ref="K112:M112"/>
    <mergeCell ref="H107:J107"/>
    <mergeCell ref="H110:J110"/>
    <mergeCell ref="E108:G108"/>
    <mergeCell ref="E109:G109"/>
    <mergeCell ref="H108:J108"/>
    <mergeCell ref="H109:J109"/>
    <mergeCell ref="H91:M91"/>
    <mergeCell ref="E110:G110"/>
    <mergeCell ref="E111:G111"/>
    <mergeCell ref="E112:G112"/>
    <mergeCell ref="H111:J111"/>
    <mergeCell ref="H112:J112"/>
    <mergeCell ref="K110:M110"/>
    <mergeCell ref="K111:M111"/>
    <mergeCell ref="B105:D105"/>
    <mergeCell ref="B106:D106"/>
    <mergeCell ref="L15:M15"/>
    <mergeCell ref="L16:M16"/>
    <mergeCell ref="L17:M17"/>
    <mergeCell ref="L18:M18"/>
    <mergeCell ref="D89:G89"/>
    <mergeCell ref="B100:D100"/>
    <mergeCell ref="B101:D101"/>
    <mergeCell ref="B102:D102"/>
    <mergeCell ref="A91:C91"/>
    <mergeCell ref="D91:G91"/>
    <mergeCell ref="B98:D99"/>
    <mergeCell ref="B46:G46"/>
    <mergeCell ref="B64:G64"/>
    <mergeCell ref="C68:D68"/>
    <mergeCell ref="C70:D70"/>
    <mergeCell ref="C48:G48"/>
    <mergeCell ref="D49:G49"/>
    <mergeCell ref="D50:G50"/>
    <mergeCell ref="B45:G45"/>
    <mergeCell ref="E72:G72"/>
    <mergeCell ref="E73:G73"/>
    <mergeCell ref="L19:M19"/>
    <mergeCell ref="L47:M47"/>
    <mergeCell ref="J64:K64"/>
    <mergeCell ref="J124:K124"/>
    <mergeCell ref="J125:K125"/>
    <mergeCell ref="L118:M118"/>
    <mergeCell ref="L124:M124"/>
    <mergeCell ref="L125:M125"/>
    <mergeCell ref="K107:M107"/>
    <mergeCell ref="A20:M20"/>
    <mergeCell ref="A21:M21"/>
    <mergeCell ref="B22:G22"/>
    <mergeCell ref="C23:G23"/>
    <mergeCell ref="C24:G24"/>
    <mergeCell ref="K106:M106"/>
    <mergeCell ref="L64:M64"/>
    <mergeCell ref="H64:I64"/>
    <mergeCell ref="D54:G54"/>
    <mergeCell ref="D55:G55"/>
    <mergeCell ref="D56:G56"/>
    <mergeCell ref="D57:G57"/>
    <mergeCell ref="D58:G58"/>
    <mergeCell ref="C61:G61"/>
    <mergeCell ref="C62:G62"/>
    <mergeCell ref="B47:G47"/>
    <mergeCell ref="D59:G59"/>
    <mergeCell ref="H47:I47"/>
    <mergeCell ref="B124:F124"/>
    <mergeCell ref="B125:F125"/>
    <mergeCell ref="B117:F118"/>
    <mergeCell ref="B126:E126"/>
    <mergeCell ref="G126:I126"/>
    <mergeCell ref="K126:M126"/>
    <mergeCell ref="G125:I125"/>
    <mergeCell ref="G124:I124"/>
    <mergeCell ref="B107:D107"/>
    <mergeCell ref="B110:D110"/>
    <mergeCell ref="B111:D111"/>
    <mergeCell ref="B112:D112"/>
    <mergeCell ref="E107:G107"/>
    <mergeCell ref="B108:D108"/>
    <mergeCell ref="B109:D109"/>
    <mergeCell ref="A116:M116"/>
    <mergeCell ref="A117:A118"/>
    <mergeCell ref="G117:M117"/>
    <mergeCell ref="G118:I118"/>
    <mergeCell ref="J118:K118"/>
    <mergeCell ref="K108:M108"/>
    <mergeCell ref="K109:M109"/>
    <mergeCell ref="A114:M114"/>
    <mergeCell ref="A115:M115"/>
    <mergeCell ref="C25:G25"/>
    <mergeCell ref="C26:E26"/>
    <mergeCell ref="C29:F29"/>
    <mergeCell ref="B35:E35"/>
    <mergeCell ref="B34:G34"/>
    <mergeCell ref="B38:E38"/>
    <mergeCell ref="B39:G39"/>
    <mergeCell ref="B40:G40"/>
    <mergeCell ref="C30:F30"/>
    <mergeCell ref="C31:F31"/>
    <mergeCell ref="C33:F33"/>
    <mergeCell ref="B27:F27"/>
    <mergeCell ref="C28:F28"/>
    <mergeCell ref="C32:F32"/>
    <mergeCell ref="A12:G12"/>
    <mergeCell ref="A13:M13"/>
    <mergeCell ref="A14:C14"/>
    <mergeCell ref="A9:G9"/>
    <mergeCell ref="K11:L11"/>
    <mergeCell ref="L14:M14"/>
    <mergeCell ref="H9:J10"/>
    <mergeCell ref="K9:M10"/>
    <mergeCell ref="H11:J12"/>
    <mergeCell ref="K12:L12"/>
    <mergeCell ref="A10:G11"/>
    <mergeCell ref="D14:E14"/>
    <mergeCell ref="A7:D7"/>
    <mergeCell ref="A8:D8"/>
    <mergeCell ref="A1:M1"/>
    <mergeCell ref="A2:M2"/>
    <mergeCell ref="A3:M3"/>
    <mergeCell ref="A4:M4"/>
    <mergeCell ref="A6:F6"/>
    <mergeCell ref="G6:M6"/>
    <mergeCell ref="E7:F7"/>
    <mergeCell ref="E8:F8"/>
    <mergeCell ref="G7:M7"/>
    <mergeCell ref="G8:M8"/>
    <mergeCell ref="A5:F5"/>
    <mergeCell ref="G5:M5"/>
    <mergeCell ref="A97:M97"/>
    <mergeCell ref="A98:A99"/>
    <mergeCell ref="A90:C90"/>
    <mergeCell ref="D90:G90"/>
    <mergeCell ref="B75:G75"/>
    <mergeCell ref="A87:M87"/>
    <mergeCell ref="B79:G79"/>
    <mergeCell ref="E65:G65"/>
    <mergeCell ref="C65:D65"/>
    <mergeCell ref="E68:G68"/>
    <mergeCell ref="E70:G70"/>
    <mergeCell ref="E71:G71"/>
    <mergeCell ref="B82:G82"/>
    <mergeCell ref="B83:G83"/>
    <mergeCell ref="B84:G84"/>
    <mergeCell ref="B85:G85"/>
    <mergeCell ref="H89:M89"/>
    <mergeCell ref="H90:M90"/>
    <mergeCell ref="B76:G76"/>
    <mergeCell ref="B77:G77"/>
    <mergeCell ref="B80:G80"/>
    <mergeCell ref="B81:G81"/>
    <mergeCell ref="C66:D66"/>
    <mergeCell ref="E66:G66"/>
    <mergeCell ref="A95:M95"/>
    <mergeCell ref="A86:M86"/>
    <mergeCell ref="C71:D71"/>
    <mergeCell ref="C72:D72"/>
    <mergeCell ref="C73:D73"/>
    <mergeCell ref="D51:G51"/>
    <mergeCell ref="D52:G52"/>
    <mergeCell ref="D53:G53"/>
    <mergeCell ref="A96:M96"/>
    <mergeCell ref="B63:G63"/>
    <mergeCell ref="A89:C89"/>
    <mergeCell ref="A74:G74"/>
    <mergeCell ref="B78:G78"/>
    <mergeCell ref="E69:G69"/>
    <mergeCell ref="C69:D69"/>
    <mergeCell ref="C67:D67"/>
    <mergeCell ref="E67:G67"/>
    <mergeCell ref="B60:G60"/>
    <mergeCell ref="E105:G105"/>
    <mergeCell ref="B103:D103"/>
    <mergeCell ref="B104:D104"/>
    <mergeCell ref="E98:M98"/>
    <mergeCell ref="E99:G99"/>
    <mergeCell ref="E100:G100"/>
    <mergeCell ref="K100:M100"/>
    <mergeCell ref="K101:M101"/>
    <mergeCell ref="K102:M102"/>
    <mergeCell ref="K103:M103"/>
    <mergeCell ref="K104:M104"/>
    <mergeCell ref="E101:G101"/>
    <mergeCell ref="E102:G102"/>
    <mergeCell ref="E103:G103"/>
    <mergeCell ref="E104:G104"/>
    <mergeCell ref="H99:J99"/>
    <mergeCell ref="K99:M99"/>
    <mergeCell ref="H100:J100"/>
    <mergeCell ref="H101:J101"/>
    <mergeCell ref="H102:J102"/>
    <mergeCell ref="H103:J103"/>
    <mergeCell ref="H104:J104"/>
    <mergeCell ref="A19:E19"/>
    <mergeCell ref="F19:H19"/>
    <mergeCell ref="I14:K14"/>
    <mergeCell ref="I15:K15"/>
    <mergeCell ref="I16:K16"/>
    <mergeCell ref="I17:K17"/>
    <mergeCell ref="I18:K18"/>
    <mergeCell ref="I19:K19"/>
    <mergeCell ref="F14:H14"/>
    <mergeCell ref="F15:H15"/>
    <mergeCell ref="F16:H16"/>
    <mergeCell ref="F17:H17"/>
    <mergeCell ref="F18:H18"/>
    <mergeCell ref="D15:E15"/>
    <mergeCell ref="D16:E16"/>
    <mergeCell ref="D17:E17"/>
    <mergeCell ref="D18:E18"/>
    <mergeCell ref="A17:C17"/>
    <mergeCell ref="A18:C18"/>
    <mergeCell ref="A15:C15"/>
    <mergeCell ref="A16:C16"/>
  </mergeCells>
  <conditionalFormatting sqref="A165:XFD1048576 C75:G75 H92:M92 C86:G92 M93:M118 C126:F149 K124:K149 H124:I149 H93:I118 J93:J149 L93:L149 K93:K118 M126:M149 H75:H89 L68:M72 F64:G64 N1:N6 B12:G13 M1:M18 D20:F41 B1:G9 A1:A10 H1:L13 N66:XFD149 B64:E65 L74 B61:G62 A75:B149 G93:G149 C93:F118 G20:G48 D45:F48 O1:XFD13 A12:A73 B20:C59 I75:M88 H48:M63 C49:D49 C50:G59 C68:G68 C70:G73 E69:G69 H68:K74 B66:B73 N8:N73 H65:H67 I66:M67 B14:D18 H20:M46 L14:L19 I14:I19 F14 O15:XFD65 O14:P14 S14:XFD14">
    <cfRule type="cellIs" dxfId="6" priority="14" operator="equal">
      <formula>0</formula>
    </cfRule>
  </conditionalFormatting>
  <conditionalFormatting sqref="J65">
    <cfRule type="cellIs" dxfId="5" priority="3" operator="equal">
      <formula>0</formula>
    </cfRule>
  </conditionalFormatting>
  <conditionalFormatting sqref="C69:D69">
    <cfRule type="cellIs" dxfId="4" priority="2" operator="equal">
      <formula>0</formula>
    </cfRule>
  </conditionalFormatting>
  <conditionalFormatting sqref="F15:F19">
    <cfRule type="cellIs" dxfId="3" priority="1" operator="equal">
      <formula>0</formula>
    </cfRule>
  </conditionalFormatting>
  <printOptions horizontalCentered="1" verticalCentered="1"/>
  <pageMargins left="0.43307086614173201" right="0.43307086614173201" top="0.118110236220472" bottom="0.118110236220472" header="0.31496062992126" footer="0.31496062992126"/>
  <pageSetup paperSize="5" scale="89" orientation="portrait" r:id="rId3"/>
  <rowBreaks count="1" manualBreakCount="1">
    <brk id="63" max="16383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1</vt:lpstr>
      <vt:lpstr>Main</vt:lpstr>
      <vt:lpstr>Advance Tax</vt:lpstr>
      <vt:lpstr>W</vt:lpstr>
      <vt:lpstr>IN RPS-2010</vt:lpstr>
      <vt:lpstr>IN RPS-2015</vt:lpstr>
      <vt:lpstr>SB</vt:lpstr>
      <vt:lpstr>Statement</vt:lpstr>
      <vt:lpstr>16</vt:lpstr>
      <vt:lpstr>Rent Receipt</vt:lpstr>
      <vt:lpstr>IHP</vt:lpstr>
      <vt:lpstr>10-IA</vt:lpstr>
      <vt:lpstr>10I</vt:lpstr>
      <vt:lpstr>'10I'!Print_Area</vt:lpstr>
      <vt:lpstr>'16'!Print_Area</vt:lpstr>
      <vt:lpstr>IHP!Print_Area</vt:lpstr>
      <vt:lpstr>'Rent Receipt'!Print_Area</vt:lpstr>
      <vt:lpstr>SB!Print_Area</vt:lpstr>
      <vt:lpstr>Statement!Print_Area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BALAKRISHNAIAH.I</dc:creator>
  <cp:lastModifiedBy>IRUVURU BALAKRISHNAIAH</cp:lastModifiedBy>
  <cp:lastPrinted>2016-02-09T00:46:39Z</cp:lastPrinted>
  <dcterms:created xsi:type="dcterms:W3CDTF">1996-10-14T23:33:28Z</dcterms:created>
  <dcterms:modified xsi:type="dcterms:W3CDTF">2016-02-24T15:58:01Z</dcterms:modified>
</cp:coreProperties>
</file>